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workbookProtection/>
  <bookViews>
    <workbookView visibility="visible" minimized="0" showHorizontalScroll="1" showVerticalScroll="1" showSheetTabs="1" tabRatio="600" firstSheet="0" activeTab="0" autoFilterDateGrouping="1"/>
  </bookViews>
  <sheets>
    <sheet xmlns:r="http://schemas.openxmlformats.org/officeDocument/2006/relationships" name="Variants" sheetId="1" state="visible" r:id="rId1"/>
    <sheet xmlns:r="http://schemas.openxmlformats.org/officeDocument/2006/relationships" name="Genes" sheetId="2" state="visible" r:id="rId2"/>
  </sheets>
  <definedNames/>
  <calcPr calcId="124519" fullCalcOnLoad="1"/>
</workbook>
</file>

<file path=xl/styles.xml><?xml version="1.0" encoding="utf-8"?>
<styleSheet xmlns="http://schemas.openxmlformats.org/spreadsheetml/2006/main">
  <numFmts count="0"/>
  <fonts count="2">
    <font>
      <name val="Calibri"/>
      <family val="2"/>
      <color theme="1"/>
      <sz val="11"/>
      <scheme val="minor"/>
    </font>
    <font>
      <b val="1"/>
    </font>
  </fonts>
  <fills count="2">
    <fill>
      <patternFill/>
    </fill>
    <fill>
      <patternFill patternType="gray125"/>
    </fill>
  </fills>
  <borders count="2">
    <border>
      <left/>
      <right/>
      <top/>
      <bottom/>
      <diagonal/>
    </border>
    <border>
      <left style="thin"/>
      <right style="thin"/>
      <top style="thin"/>
      <bottom style="thin"/>
    </border>
  </borders>
  <cellStyleXfs count="1">
    <xf numFmtId="0" fontId="0" fillId="0" borderId="0"/>
  </cellStyleXfs>
  <cellXfs count="2">
    <xf numFmtId="0" fontId="0" fillId="0" borderId="0" pivotButton="0" quotePrefix="0" xfId="0"/>
    <xf numFmtId="0" fontId="1" fillId="0" borderId="1" applyAlignment="1" pivotButton="0" quotePrefix="0" xfId="0">
      <alignment horizontal="center" vertical="top"/>
    </xf>
  </cellXfs>
  <cellStyles count="1">
    <cellStyle name="Normal" xfId="0" builtinId="0" hidden="0"/>
  </cellStyle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styles" Target="styles.xml" Id="rId3"/><Relationship Type="http://schemas.openxmlformats.org/officeDocument/2006/relationships/theme" Target="theme/theme1.xml" Id="rId4"/></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sheetPr>
    <outlinePr summaryBelow="1" summaryRight="1"/>
    <pageSetUpPr/>
  </sheetPr>
  <dimension ref="A1:AL1095"/>
  <sheetViews>
    <sheetView workbookViewId="0">
      <selection activeCell="A1" sqref="A1"/>
    </sheetView>
  </sheetViews>
  <sheetFormatPr baseColWidth="8" defaultRowHeight="15"/>
  <sheetData>
    <row r="1">
      <c r="A1" s="1" t="inlineStr">
        <is>
          <t>Comment</t>
        </is>
      </c>
      <c r="B1" s="1" t="inlineStr">
        <is>
          <t>UCSC</t>
        </is>
      </c>
      <c r="C1" s="1" t="inlineStr">
        <is>
          <t>Chr</t>
        </is>
      </c>
      <c r="D1" s="1" t="inlineStr">
        <is>
          <t>Start</t>
        </is>
      </c>
      <c r="E1" s="1" t="inlineStr">
        <is>
          <t>End</t>
        </is>
      </c>
      <c r="F1" s="1" t="inlineStr">
        <is>
          <t>Ref</t>
        </is>
      </c>
      <c r="G1" s="1" t="inlineStr">
        <is>
          <t>Alt</t>
        </is>
      </c>
      <c r="H1" s="1" t="inlineStr">
        <is>
          <t>VCF.QUAL</t>
        </is>
      </c>
      <c r="I1" s="1" t="inlineStr">
        <is>
          <t>VCF.DP</t>
        </is>
      </c>
      <c r="J1" s="1" t="inlineStr">
        <is>
          <t>VCF.AD</t>
        </is>
      </c>
      <c r="K1" s="1" t="inlineStr">
        <is>
          <t>HGMD</t>
        </is>
      </c>
      <c r="L1" s="1" t="inlineStr">
        <is>
          <t>avsnp150</t>
        </is>
      </c>
      <c r="M1" s="1" t="inlineStr">
        <is>
          <t>AnnoFit.GeneName</t>
        </is>
      </c>
      <c r="N1" s="1" t="inlineStr">
        <is>
          <t>AnnoFit.Func</t>
        </is>
      </c>
      <c r="O1" s="1" t="inlineStr">
        <is>
          <t>AnnoFit.ExonicFunc</t>
        </is>
      </c>
      <c r="P1" s="1" t="inlineStr">
        <is>
          <t>AnnoFit.Details</t>
        </is>
      </c>
      <c r="Q1" s="1" t="inlineStr">
        <is>
          <t>AnnoFit.PopFreqMax</t>
        </is>
      </c>
      <c r="R1" s="1" t="inlineStr">
        <is>
          <t>non_topmed_AF_popmax</t>
        </is>
      </c>
      <c r="S1" s="1" t="inlineStr">
        <is>
          <t>non_neuro_AF_popmax</t>
        </is>
      </c>
      <c r="T1" s="1" t="inlineStr">
        <is>
          <t>non_cancer_AF_popmax</t>
        </is>
      </c>
      <c r="U1" s="1" t="inlineStr">
        <is>
          <t>controls_AF_popmax</t>
        </is>
      </c>
      <c r="V1" s="1" t="inlineStr">
        <is>
          <t>AnnoFit.ExonPred</t>
        </is>
      </c>
      <c r="W1" s="1" t="inlineStr">
        <is>
          <t>AnnoFit.SplicePred</t>
        </is>
      </c>
      <c r="X1" s="1" t="inlineStr">
        <is>
          <t>regsnp_disease</t>
        </is>
      </c>
      <c r="Y1" s="1" t="inlineStr">
        <is>
          <t>regsnp_splicing_site</t>
        </is>
      </c>
      <c r="Z1" s="1" t="inlineStr">
        <is>
          <t>AnnoFit.Conservation</t>
        </is>
      </c>
      <c r="AA1" s="1" t="inlineStr">
        <is>
          <t>InterVar_automated</t>
        </is>
      </c>
      <c r="AB1" s="1" t="inlineStr">
        <is>
          <t>CLNSIG</t>
        </is>
      </c>
      <c r="AC1" s="1" t="inlineStr">
        <is>
          <t>VCF.GT</t>
        </is>
      </c>
      <c r="AD1" s="1" t="inlineStr">
        <is>
          <t>Annofit.Compound</t>
        </is>
      </c>
      <c r="AE1" s="1" t="inlineStr">
        <is>
          <t>pLi</t>
        </is>
      </c>
      <c r="AF1" s="1" t="inlineStr">
        <is>
          <t>Gene_full_name</t>
        </is>
      </c>
      <c r="AG1" s="1" t="inlineStr">
        <is>
          <t>Function_description</t>
        </is>
      </c>
      <c r="AH1" s="1" t="inlineStr">
        <is>
          <t>Disease_description</t>
        </is>
      </c>
      <c r="AI1" s="1" t="inlineStr">
        <is>
          <t>GIAB_Problems</t>
        </is>
      </c>
      <c r="AJ1" s="1" t="inlineStr">
        <is>
          <t>ENCODE_Blacklist</t>
        </is>
      </c>
      <c r="AK1" s="1" t="inlineStr">
        <is>
          <t>UCSC_UnusualRegions</t>
        </is>
      </c>
      <c r="AL1" s="1" t="inlineStr">
        <is>
          <t>NCBI_Problems</t>
        </is>
      </c>
    </row>
    <row r="2">
      <c r="A2" t="inlineStr"/>
      <c r="B2">
        <f>HYPERLINK("https://genome.ucsc.edu/cgi-bin/hgTracks?db=hg19&amp;position=chr1%3A1337592%2D1337592", "chr1:1337592")</f>
        <v/>
      </c>
      <c r="C2" t="inlineStr">
        <is>
          <t>chr1</t>
        </is>
      </c>
      <c r="D2" t="n">
        <v>1337592</v>
      </c>
      <c r="E2" t="n">
        <v>1337592</v>
      </c>
      <c r="F2" t="inlineStr">
        <is>
          <t>G</t>
        </is>
      </c>
      <c r="G2" t="inlineStr">
        <is>
          <t>C</t>
        </is>
      </c>
      <c r="H2" t="inlineStr">
        <is>
          <t>50.64</t>
        </is>
      </c>
      <c r="I2" t="inlineStr">
        <is>
          <t>99</t>
        </is>
      </c>
      <c r="J2" t="inlineStr">
        <is>
          <t>87,12</t>
        </is>
      </c>
      <c r="K2" t="inlineStr">
        <is>
          <t>.</t>
        </is>
      </c>
      <c r="L2">
        <f>HYPERLINK("https://www.ncbi.nlm.nih.gov/snp/rs201348345", "rs201348345")</f>
        <v/>
      </c>
      <c r="M2">
        <f>HYPERLINK("https://www.genecards.org/Search/Keyword?queryString=%5Baliases%5D(%20MRPL20%20)&amp;keywords=MRPL20", "MRPL20")</f>
        <v/>
      </c>
      <c r="N2" t="inlineStr">
        <is>
          <t>exonic</t>
        </is>
      </c>
      <c r="O2" t="inlineStr">
        <is>
          <t>nonsynonymous SNV</t>
        </is>
      </c>
      <c r="P2" t="inlineStr">
        <is>
          <t>MRPL20:NM_017971:exon4:c.C321G:p.I107M;MRPL20:uc001afo.4:exon4:c.C321G:p.I107M;MRPL20:ENST00000344843.12_5:exon4:c.C321G:p.I107M</t>
        </is>
      </c>
      <c r="Q2" t="n">
        <v>0.001</v>
      </c>
      <c r="R2" t="n">
        <v>-1</v>
      </c>
      <c r="S2" t="n">
        <v>-1</v>
      </c>
      <c r="T2" t="n">
        <v>-1</v>
      </c>
      <c r="U2" t="n">
        <v>-1</v>
      </c>
      <c r="V2" t="inlineStr">
        <is>
          <t>6/11</t>
        </is>
      </c>
      <c r="W2" t="inlineStr">
        <is>
          <t>.</t>
        </is>
      </c>
      <c r="X2" t="inlineStr">
        <is>
          <t>.</t>
        </is>
      </c>
      <c r="Y2" t="inlineStr">
        <is>
          <t>.</t>
        </is>
      </c>
      <c r="Z2" t="inlineStr">
        <is>
          <t>3/7</t>
        </is>
      </c>
      <c r="AA2" t="inlineStr">
        <is>
          <t>Uncertain significance</t>
        </is>
      </c>
      <c r="AB2" t="inlineStr">
        <is>
          <t>.</t>
        </is>
      </c>
      <c r="AC2" t="inlineStr">
        <is>
          <t>0/1</t>
        </is>
      </c>
      <c r="AD2" t="inlineStr">
        <is>
          <t>1</t>
        </is>
      </c>
      <c r="AE2" t="inlineStr">
        <is>
          <t>0.000171803357075406</t>
        </is>
      </c>
      <c r="AF2" t="inlineStr">
        <is>
          <t>mitochondrial ribosomal protein L20</t>
        </is>
      </c>
      <c r="AG2" t="inlineStr">
        <is>
          <t>.</t>
        </is>
      </c>
      <c r="AH2" t="inlineStr">
        <is>
          <t>.</t>
        </is>
      </c>
      <c r="AI2" t="inlineStr">
        <is>
          <t>.</t>
        </is>
      </c>
      <c r="AJ2" t="inlineStr">
        <is>
          <t>.</t>
        </is>
      </c>
      <c r="AK2" t="inlineStr">
        <is>
          <t>.</t>
        </is>
      </c>
      <c r="AL2" t="inlineStr">
        <is>
          <t>.</t>
        </is>
      </c>
    </row>
    <row r="3">
      <c r="A3" t="inlineStr"/>
      <c r="B3">
        <f>HYPERLINK("https://genome.ucsc.edu/cgi-bin/hgTracks?db=hg19&amp;position=chr1%3A1687196%2D1687196", "chr1:1687196")</f>
        <v/>
      </c>
      <c r="C3" t="inlineStr">
        <is>
          <t>chr1</t>
        </is>
      </c>
      <c r="D3" t="n">
        <v>1687196</v>
      </c>
      <c r="E3" t="n">
        <v>1687196</v>
      </c>
      <c r="F3" t="inlineStr">
        <is>
          <t>G</t>
        </is>
      </c>
      <c r="G3" t="inlineStr">
        <is>
          <t>C</t>
        </is>
      </c>
      <c r="H3" t="inlineStr">
        <is>
          <t>41.64</t>
        </is>
      </c>
      <c r="I3" t="inlineStr">
        <is>
          <t>7</t>
        </is>
      </c>
      <c r="J3" t="inlineStr">
        <is>
          <t>5,2</t>
        </is>
      </c>
      <c r="K3" t="inlineStr">
        <is>
          <t>.</t>
        </is>
      </c>
      <c r="L3" t="inlineStr">
        <is>
          <t>.</t>
        </is>
      </c>
      <c r="M3">
        <f>HYPERLINK("https://www.genecards.org/Search/Keyword?queryString=%5Baliases%5D(%20NADK%20)&amp;keywords=NADK", "NADK")</f>
        <v/>
      </c>
      <c r="N3" t="inlineStr">
        <is>
          <t>intronic</t>
        </is>
      </c>
      <c r="O3" t="inlineStr">
        <is>
          <t>.</t>
        </is>
      </c>
      <c r="P3" t="inlineStr">
        <is>
          <t>.</t>
        </is>
      </c>
      <c r="Q3" t="n">
        <v>-1</v>
      </c>
      <c r="R3" t="n">
        <v>-1</v>
      </c>
      <c r="S3" t="n">
        <v>-1</v>
      </c>
      <c r="T3" t="n">
        <v>-1</v>
      </c>
      <c r="U3" t="n">
        <v>-1</v>
      </c>
      <c r="V3" t="inlineStr">
        <is>
          <t>.</t>
        </is>
      </c>
      <c r="W3" t="inlineStr">
        <is>
          <t>.</t>
        </is>
      </c>
      <c r="X3" t="inlineStr">
        <is>
          <t>PD</t>
        </is>
      </c>
      <c r="Y3" t="inlineStr">
        <is>
          <t>off</t>
        </is>
      </c>
      <c r="Z3" t="inlineStr">
        <is>
          <t>.</t>
        </is>
      </c>
      <c r="AA3" t="inlineStr">
        <is>
          <t>.</t>
        </is>
      </c>
      <c r="AB3" t="inlineStr">
        <is>
          <t>.</t>
        </is>
      </c>
      <c r="AC3" t="inlineStr">
        <is>
          <t>0/1</t>
        </is>
      </c>
      <c r="AD3" t="inlineStr">
        <is>
          <t>1</t>
        </is>
      </c>
      <c r="AE3" t="inlineStr">
        <is>
          <t>0.00126768961404905</t>
        </is>
      </c>
      <c r="AF3" t="inlineStr">
        <is>
          <t>NAD kinase</t>
        </is>
      </c>
      <c r="AG3" t="inlineStr">
        <is>
          <t>.</t>
        </is>
      </c>
      <c r="AH3" t="inlineStr">
        <is>
          <t>.</t>
        </is>
      </c>
      <c r="AI3" t="inlineStr">
        <is>
          <t>.</t>
        </is>
      </c>
      <c r="AJ3" t="inlineStr">
        <is>
          <t>.</t>
        </is>
      </c>
      <c r="AK3" t="inlineStr">
        <is>
          <t>.</t>
        </is>
      </c>
      <c r="AL3" t="inlineStr">
        <is>
          <t>.</t>
        </is>
      </c>
    </row>
    <row r="4">
      <c r="A4" t="inlineStr"/>
      <c r="B4">
        <f>HYPERLINK("https://genome.ucsc.edu/cgi-bin/hgTracks?db=hg19&amp;position=chr1%3A1959415%2D1959415", "chr1:1959415")</f>
        <v/>
      </c>
      <c r="C4" t="inlineStr">
        <is>
          <t>chr1</t>
        </is>
      </c>
      <c r="D4" t="n">
        <v>1959415</v>
      </c>
      <c r="E4" t="n">
        <v>1959415</v>
      </c>
      <c r="F4" t="inlineStr">
        <is>
          <t>C</t>
        </is>
      </c>
      <c r="G4" t="inlineStr">
        <is>
          <t>A</t>
        </is>
      </c>
      <c r="H4" t="inlineStr">
        <is>
          <t>206.64</t>
        </is>
      </c>
      <c r="I4" t="inlineStr">
        <is>
          <t>36</t>
        </is>
      </c>
      <c r="J4" t="inlineStr">
        <is>
          <t>28,8</t>
        </is>
      </c>
      <c r="K4" t="inlineStr">
        <is>
          <t>.</t>
        </is>
      </c>
      <c r="L4" t="inlineStr">
        <is>
          <t>.</t>
        </is>
      </c>
      <c r="M4">
        <f>HYPERLINK("https://www.genecards.org/Search/Keyword?queryString=%5Baliases%5D(%20GABRD%20)&amp;keywords=GABRD", "GABRD")</f>
        <v/>
      </c>
      <c r="N4" t="inlineStr">
        <is>
          <t>intronic</t>
        </is>
      </c>
      <c r="O4" t="inlineStr">
        <is>
          <t>.</t>
        </is>
      </c>
      <c r="P4" t="inlineStr">
        <is>
          <t>.</t>
        </is>
      </c>
      <c r="Q4" t="n">
        <v>-1</v>
      </c>
      <c r="R4" t="n">
        <v>-1</v>
      </c>
      <c r="S4" t="n">
        <v>-1</v>
      </c>
      <c r="T4" t="n">
        <v>-1</v>
      </c>
      <c r="U4" t="n">
        <v>-1</v>
      </c>
      <c r="V4" t="inlineStr">
        <is>
          <t>.</t>
        </is>
      </c>
      <c r="W4" t="inlineStr">
        <is>
          <t>.</t>
        </is>
      </c>
      <c r="X4" t="inlineStr">
        <is>
          <t>D</t>
        </is>
      </c>
      <c r="Y4" t="inlineStr">
        <is>
          <t>off</t>
        </is>
      </c>
      <c r="Z4" t="inlineStr">
        <is>
          <t>.</t>
        </is>
      </c>
      <c r="AA4" t="inlineStr">
        <is>
          <t>.</t>
        </is>
      </c>
      <c r="AB4" t="inlineStr">
        <is>
          <t>.</t>
        </is>
      </c>
      <c r="AC4" t="inlineStr">
        <is>
          <t>0/1</t>
        </is>
      </c>
      <c r="AD4" t="inlineStr">
        <is>
          <t>1</t>
        </is>
      </c>
      <c r="AE4" t="inlineStr">
        <is>
          <t>0.923498878454823</t>
        </is>
      </c>
      <c r="AF4" t="inlineStr">
        <is>
          <t>gamma-aminobutyric acid type A receptor delta subunit</t>
        </is>
      </c>
      <c r="AG4" t="inlineStr">
        <is>
          <t xml:space="preserve">FUNCTION: GABA, the major inhibitory neurotransmitter in the vertebrate brain, mediates neuronal inhibition by binding to the GABA/benzodiazepine receptor and opening an integral chloride channel.; </t>
        </is>
      </c>
      <c r="AH4" t="inlineStr">
        <is>
          <t xml:space="preserve">DISEASE: Generalized epilepsy with febrile seizures plus 5 (GEFS+5) [MIM:613060]: A rare autosomal dominant, familial condition with incomplete penetrance and large intrafamilial variability. Patients display febrile seizures persisting sometimes beyond the age of 6 years and/or a variety of afebrile seizure types. This disease combines febrile seizures, generalized seizures often precipitated by fever at age 6 years or more, and partial seizures, with a variable degree of severity. {ECO:0000269|PubMed:15115768}. Note=Disease susceptibility is associated with variations affecting the gene represented in this entry.; DISEASE: Epilepsy, idiopathic generalized 10 (EIG10) [MIM:613060]: A disorder characterized by recurring generalized seizures in the absence of detectable brain lesions and/or metabolic abnormalities. Generalized seizures arise diffusely and simultaneously from both hemispheres of the brain. Note=Disease susceptibility is associated with variations affecting the gene represented in this entry.; DISEASE: Juvenile myoclonic epilepsy 7 (EJM7) [MIM:613060]: A subtype of idiopathic generalized epilepsy. Patients have afebrile seizures only, with onset in adolescence (rather than in childhood) and myoclonic jerks which usually occur after awakening and are triggered by sleep deprivation and fatigue. Note=Disease susceptibility is associated with variations affecting the gene represented in this entry.; </t>
        </is>
      </c>
      <c r="AI4" t="inlineStr">
        <is>
          <t>.</t>
        </is>
      </c>
      <c r="AJ4" t="inlineStr">
        <is>
          <t>.</t>
        </is>
      </c>
      <c r="AK4" t="inlineStr">
        <is>
          <t>.</t>
        </is>
      </c>
      <c r="AL4" t="inlineStr">
        <is>
          <t>.</t>
        </is>
      </c>
    </row>
    <row r="5">
      <c r="A5" t="inlineStr"/>
      <c r="B5">
        <f>HYPERLINK("https://genome.ucsc.edu/cgi-bin/hgTracks?db=hg19&amp;position=chr1%3A3342075%2D3342075", "chr1:3342075")</f>
        <v/>
      </c>
      <c r="C5" t="inlineStr">
        <is>
          <t>chr1</t>
        </is>
      </c>
      <c r="D5" t="n">
        <v>3342075</v>
      </c>
      <c r="E5" t="n">
        <v>3342075</v>
      </c>
      <c r="F5" t="inlineStr">
        <is>
          <t>C</t>
        </is>
      </c>
      <c r="G5" t="inlineStr">
        <is>
          <t>G</t>
        </is>
      </c>
      <c r="H5" t="inlineStr">
        <is>
          <t>43.64</t>
        </is>
      </c>
      <c r="I5" t="inlineStr">
        <is>
          <t>47</t>
        </is>
      </c>
      <c r="J5" t="inlineStr">
        <is>
          <t>39,8</t>
        </is>
      </c>
      <c r="K5" t="inlineStr">
        <is>
          <t>.</t>
        </is>
      </c>
      <c r="L5" t="inlineStr">
        <is>
          <t>.</t>
        </is>
      </c>
      <c r="M5">
        <f>HYPERLINK("https://www.genecards.org/Search/Keyword?queryString=%5Baliases%5D(%20PRDM16%20)&amp;keywords=PRDM16", "PRDM16")</f>
        <v/>
      </c>
      <c r="N5" t="inlineStr">
        <is>
          <t>intronic</t>
        </is>
      </c>
      <c r="O5" t="inlineStr">
        <is>
          <t>.</t>
        </is>
      </c>
      <c r="P5" t="inlineStr">
        <is>
          <t>.</t>
        </is>
      </c>
      <c r="Q5" t="n">
        <v>-1</v>
      </c>
      <c r="R5" t="n">
        <v>-1</v>
      </c>
      <c r="S5" t="n">
        <v>-1</v>
      </c>
      <c r="T5" t="n">
        <v>-1</v>
      </c>
      <c r="U5" t="n">
        <v>-1</v>
      </c>
      <c r="V5" t="inlineStr">
        <is>
          <t>.</t>
        </is>
      </c>
      <c r="W5" t="inlineStr">
        <is>
          <t>.</t>
        </is>
      </c>
      <c r="X5" t="inlineStr">
        <is>
          <t>D</t>
        </is>
      </c>
      <c r="Y5" t="inlineStr">
        <is>
          <t>off</t>
        </is>
      </c>
      <c r="Z5" t="inlineStr">
        <is>
          <t>.</t>
        </is>
      </c>
      <c r="AA5" t="inlineStr">
        <is>
          <t>.</t>
        </is>
      </c>
      <c r="AB5" t="inlineStr">
        <is>
          <t>.</t>
        </is>
      </c>
      <c r="AC5" t="inlineStr">
        <is>
          <t>0/1</t>
        </is>
      </c>
      <c r="AD5" t="inlineStr">
        <is>
          <t>1</t>
        </is>
      </c>
      <c r="AE5" t="inlineStr">
        <is>
          <t>0.999843194473124</t>
        </is>
      </c>
      <c r="AF5" t="inlineStr">
        <is>
          <t>PR domain 16</t>
        </is>
      </c>
      <c r="AG5" t="inlineStr">
        <is>
          <t xml:space="preserve">FUNCTION: Binds DNA and functions as a transcriptional regulator. Functions in the differentiation of brown adipose tissue (BAT) which is specialized in dissipating chemical energy in the form of heat in response to cold or excess feeding while white adipose tissue (WAT) is specialized in the storage of excess energy and the control of systemic metabolism. Together with CEBPB, regulates the differentiation of myoblastic precursors into brown adipose cells. Functions also as a repressor of TGF-beta signaling. Isoform 4 may regulate granulocytes differentiation. {ECO:0000269|PubMed:12816872, ECO:0000269|PubMed:14656887, ECO:0000269|PubMed:19049980}.; </t>
        </is>
      </c>
      <c r="AH5" t="inlineStr">
        <is>
          <t xml:space="preserve">DISEASE: Cardiomyopathy, dilated 1LL (CMD1LL) [MIM:615373]: A disorder characterized by ventricular dilation and impaired systolic function, resulting in congestive heart failure and arrhythmia. Patients are at risk of premature death. {ECO:0000269|PubMed:23768516}. Note=The disease is caused by mutations affecting the gene represented in this entry.; DISEASE: Note=A chromosomal aberration involving PRDM16 is found in myelodysplastic syndrome (MDS) and acute myeloid leukemia (AML). Reciprocal translocation t(1;3)(p36;q21). Isoform 4 is specifically expressed in adult T-cell leukemia. {ECO:0000269|PubMed:11050005, ECO:0000269|PubMed:12557231}.; </t>
        </is>
      </c>
      <c r="AI5" t="inlineStr">
        <is>
          <t>.</t>
        </is>
      </c>
      <c r="AJ5" t="inlineStr">
        <is>
          <t>.</t>
        </is>
      </c>
      <c r="AK5" t="inlineStr">
        <is>
          <t>.</t>
        </is>
      </c>
      <c r="AL5" t="inlineStr">
        <is>
          <t>.</t>
        </is>
      </c>
    </row>
    <row r="6">
      <c r="A6" t="inlineStr"/>
      <c r="B6">
        <f>HYPERLINK("https://genome.ucsc.edu/cgi-bin/hgTracks?db=hg19&amp;position=chr1%3A6181198%2D6181198", "chr1:6181198")</f>
        <v/>
      </c>
      <c r="C6" t="inlineStr">
        <is>
          <t>chr1</t>
        </is>
      </c>
      <c r="D6" t="n">
        <v>6181198</v>
      </c>
      <c r="E6" t="n">
        <v>6181198</v>
      </c>
      <c r="F6" t="inlineStr">
        <is>
          <t>T</t>
        </is>
      </c>
      <c r="G6" t="inlineStr">
        <is>
          <t>G</t>
        </is>
      </c>
      <c r="H6" t="inlineStr">
        <is>
          <t>1109.64</t>
        </is>
      </c>
      <c r="I6" t="inlineStr">
        <is>
          <t>73</t>
        </is>
      </c>
      <c r="J6" t="inlineStr">
        <is>
          <t>42,31</t>
        </is>
      </c>
      <c r="K6" t="inlineStr">
        <is>
          <t>.</t>
        </is>
      </c>
      <c r="L6" t="inlineStr">
        <is>
          <t>.</t>
        </is>
      </c>
      <c r="M6">
        <f>HYPERLINK("https://www.genecards.org/Search/Keyword?queryString=%5Baliases%5D(%20CHD5%20)&amp;keywords=CHD5", "CHD5")</f>
        <v/>
      </c>
      <c r="N6" t="inlineStr">
        <is>
          <t>exonic</t>
        </is>
      </c>
      <c r="O6" t="inlineStr">
        <is>
          <t>nonsynonymous SNV</t>
        </is>
      </c>
      <c r="P6" t="inlineStr">
        <is>
          <t>CHD5:NM_015557:exon33:c.A4879C:p.K1627Q;CHD5:uc001alz.2:exon13:c.A1450C:p.K484Q,CHD5:uc001amb.2:exon33:c.A4879C:p.K1627Q;CHD5:ENST00000262450.8_5:exon33:c.A4879C:p.K1627Q</t>
        </is>
      </c>
      <c r="Q6" t="n">
        <v>-1</v>
      </c>
      <c r="R6" t="n">
        <v>-1</v>
      </c>
      <c r="S6" t="n">
        <v>-1</v>
      </c>
      <c r="T6" t="n">
        <v>-1</v>
      </c>
      <c r="U6" t="n">
        <v>-1</v>
      </c>
      <c r="V6" t="inlineStr">
        <is>
          <t>5/11</t>
        </is>
      </c>
      <c r="W6" t="inlineStr">
        <is>
          <t>.</t>
        </is>
      </c>
      <c r="X6" t="inlineStr">
        <is>
          <t>.</t>
        </is>
      </c>
      <c r="Y6" t="inlineStr">
        <is>
          <t>.</t>
        </is>
      </c>
      <c r="Z6" t="inlineStr">
        <is>
          <t>1/7</t>
        </is>
      </c>
      <c r="AA6" t="inlineStr">
        <is>
          <t>Uncertain significance</t>
        </is>
      </c>
      <c r="AB6" t="inlineStr">
        <is>
          <t>.</t>
        </is>
      </c>
      <c r="AC6" t="inlineStr">
        <is>
          <t>.</t>
        </is>
      </c>
      <c r="AD6" t="inlineStr">
        <is>
          <t>3</t>
        </is>
      </c>
      <c r="AE6" t="inlineStr">
        <is>
          <t>0.999999995117076</t>
        </is>
      </c>
      <c r="AF6" t="inlineStr">
        <is>
          <t>chromodomain helicase DNA binding protein 5</t>
        </is>
      </c>
      <c r="AG6" t="inlineStr">
        <is>
          <t xml:space="preserve">FUNCTION: Chromatin-remodeling protein that binds DNA through histones and regulates gene transcription. May specifically recognize and bind trimethylated 'Lys-27' (H3K27me3) and non- methylated 'Lys-4' of histone H3. Plays a role in the development of the nervous system by activating the expression of genes promoting neuron terminal differentiation. In parallel, it may also positively regulate the trimethylation of histone H3 at 'Lys- 27' thereby specifically repressing genes that promote the differentiation into non-neuronal cell lineages. Tumor suppressor, it regulates the expression of genes involved in cell proliferation and differentiation. Downstream activated genes may include CDKN2A that positively regulates the p53/TP53 pathway, which in turn, prevents cell proliferation. In spermatogenesis, it probably regulates histone hyperacetylation and the replacement of histones by transition proteins in chromatin, a crucial step in the condensation of spermatid chromatin and the production of functional spermatozoa. {ECO:0000269|PubMed:23948251}.; </t>
        </is>
      </c>
      <c r="AH6" t="inlineStr">
        <is>
          <t xml:space="preserve">DISEASE: Note=Defects in CHD5 may be a cause of the development of cancers from epithelial, neural and hematopoietic origin. CHD5 is one of the missing genes in the del(1p36), a deletion which is extremely common in this type of cancers. A decrease of its expression, results in increased susceptibility of cells to Ras- mediated transformation in vitro and in vivo (PubMed:17289567). {ECO:0000269|PubMed:17289567}.; </t>
        </is>
      </c>
      <c r="AI6" t="inlineStr">
        <is>
          <t>.</t>
        </is>
      </c>
      <c r="AJ6" t="inlineStr">
        <is>
          <t>.</t>
        </is>
      </c>
      <c r="AK6" t="inlineStr">
        <is>
          <t>.</t>
        </is>
      </c>
      <c r="AL6" t="inlineStr">
        <is>
          <t>.</t>
        </is>
      </c>
    </row>
    <row r="7">
      <c r="A7" t="inlineStr"/>
      <c r="B7">
        <f>HYPERLINK("https://genome.ucsc.edu/cgi-bin/hgTracks?db=hg19&amp;position=chr1%3A6181199%2D6181199", "chr1:6181199")</f>
        <v/>
      </c>
      <c r="C7" t="inlineStr">
        <is>
          <t>chr1</t>
        </is>
      </c>
      <c r="D7" t="n">
        <v>6181199</v>
      </c>
      <c r="E7" t="n">
        <v>6181199</v>
      </c>
      <c r="F7" t="inlineStr">
        <is>
          <t>C</t>
        </is>
      </c>
      <c r="G7" t="inlineStr">
        <is>
          <t>A</t>
        </is>
      </c>
      <c r="H7" t="inlineStr">
        <is>
          <t>1109.64</t>
        </is>
      </c>
      <c r="I7" t="inlineStr">
        <is>
          <t>73</t>
        </is>
      </c>
      <c r="J7" t="inlineStr">
        <is>
          <t>42,31</t>
        </is>
      </c>
      <c r="K7" t="inlineStr">
        <is>
          <t>.</t>
        </is>
      </c>
      <c r="L7" t="inlineStr">
        <is>
          <t>.</t>
        </is>
      </c>
      <c r="M7">
        <f>HYPERLINK("https://www.genecards.org/Search/Keyword?queryString=%5Baliases%5D(%20CHD5%20)&amp;keywords=CHD5", "CHD5")</f>
        <v/>
      </c>
      <c r="N7" t="inlineStr">
        <is>
          <t>exonic</t>
        </is>
      </c>
      <c r="O7" t="inlineStr">
        <is>
          <t>nonsynonymous SNV</t>
        </is>
      </c>
      <c r="P7" t="inlineStr">
        <is>
          <t>CHD5:NM_015557:exon33:c.G4878T:p.E1626D;CHD5:uc001alz.2:exon13:c.G1449T:p.E483D,CHD5:uc001amb.2:exon33:c.G4878T:p.E1626D;CHD5:ENST00000262450.8_5:exon33:c.G4878T:p.E1626D</t>
        </is>
      </c>
      <c r="Q7" t="n">
        <v>-1</v>
      </c>
      <c r="R7" t="n">
        <v>-1</v>
      </c>
      <c r="S7" t="n">
        <v>-1</v>
      </c>
      <c r="T7" t="n">
        <v>-1</v>
      </c>
      <c r="U7" t="n">
        <v>-1</v>
      </c>
      <c r="V7" t="inlineStr">
        <is>
          <t>3/12</t>
        </is>
      </c>
      <c r="W7" t="inlineStr">
        <is>
          <t>.</t>
        </is>
      </c>
      <c r="X7" t="inlineStr">
        <is>
          <t>.</t>
        </is>
      </c>
      <c r="Y7" t="inlineStr">
        <is>
          <t>.</t>
        </is>
      </c>
      <c r="Z7" t="inlineStr">
        <is>
          <t>0/7</t>
        </is>
      </c>
      <c r="AA7" t="inlineStr">
        <is>
          <t>Uncertain significance</t>
        </is>
      </c>
      <c r="AB7" t="inlineStr">
        <is>
          <t>.</t>
        </is>
      </c>
      <c r="AC7" t="inlineStr">
        <is>
          <t>.</t>
        </is>
      </c>
      <c r="AD7" t="inlineStr">
        <is>
          <t>3</t>
        </is>
      </c>
      <c r="AE7" t="inlineStr">
        <is>
          <t>0.999999995117076</t>
        </is>
      </c>
      <c r="AF7" t="inlineStr">
        <is>
          <t>chromodomain helicase DNA binding protein 5</t>
        </is>
      </c>
      <c r="AG7" t="inlineStr">
        <is>
          <t xml:space="preserve">FUNCTION: Chromatin-remodeling protein that binds DNA through histones and regulates gene transcription. May specifically recognize and bind trimethylated 'Lys-27' (H3K27me3) and non- methylated 'Lys-4' of histone H3. Plays a role in the development of the nervous system by activating the expression of genes promoting neuron terminal differentiation. In parallel, it may also positively regulate the trimethylation of histone H3 at 'Lys- 27' thereby specifically repressing genes that promote the differentiation into non-neuronal cell lineages. Tumor suppressor, it regulates the expression of genes involved in cell proliferation and differentiation. Downstream activated genes may include CDKN2A that positively regulates the p53/TP53 pathway, which in turn, prevents cell proliferation. In spermatogenesis, it probably regulates histone hyperacetylation and the replacement of histones by transition proteins in chromatin, a crucial step in the condensation of spermatid chromatin and the production of functional spermatozoa. {ECO:0000269|PubMed:23948251}.; </t>
        </is>
      </c>
      <c r="AH7" t="inlineStr">
        <is>
          <t xml:space="preserve">DISEASE: Note=Defects in CHD5 may be a cause of the development of cancers from epithelial, neural and hematopoietic origin. CHD5 is one of the missing genes in the del(1p36), a deletion which is extremely common in this type of cancers. A decrease of its expression, results in increased susceptibility of cells to Ras- mediated transformation in vitro and in vivo (PubMed:17289567). {ECO:0000269|PubMed:17289567}.; </t>
        </is>
      </c>
      <c r="AI7" t="inlineStr">
        <is>
          <t>.</t>
        </is>
      </c>
      <c r="AJ7" t="inlineStr">
        <is>
          <t>.</t>
        </is>
      </c>
      <c r="AK7" t="inlineStr">
        <is>
          <t>.</t>
        </is>
      </c>
      <c r="AL7" t="inlineStr">
        <is>
          <t>.</t>
        </is>
      </c>
    </row>
    <row r="8">
      <c r="A8" t="inlineStr"/>
      <c r="B8">
        <f>HYPERLINK("https://genome.ucsc.edu/cgi-bin/hgTracks?db=hg19&amp;position=chr1%3A6196598%2D6196598", "chr1:6196598")</f>
        <v/>
      </c>
      <c r="C8" t="inlineStr">
        <is>
          <t>chr1</t>
        </is>
      </c>
      <c r="D8" t="n">
        <v>6196598</v>
      </c>
      <c r="E8" t="n">
        <v>6196598</v>
      </c>
      <c r="F8" t="inlineStr">
        <is>
          <t>A</t>
        </is>
      </c>
      <c r="G8" t="inlineStr">
        <is>
          <t>G</t>
        </is>
      </c>
      <c r="H8" t="inlineStr">
        <is>
          <t>421.64</t>
        </is>
      </c>
      <c r="I8" t="inlineStr">
        <is>
          <t>131</t>
        </is>
      </c>
      <c r="J8" t="inlineStr">
        <is>
          <t>106,25</t>
        </is>
      </c>
      <c r="K8" t="inlineStr">
        <is>
          <t>.</t>
        </is>
      </c>
      <c r="L8" t="inlineStr">
        <is>
          <t>.</t>
        </is>
      </c>
      <c r="M8">
        <f>HYPERLINK("https://www.genecards.org/Search/Keyword?queryString=%5Baliases%5D(%20CHD5%20)&amp;keywords=CHD5", "CHD5")</f>
        <v/>
      </c>
      <c r="N8" t="inlineStr">
        <is>
          <t>exonic</t>
        </is>
      </c>
      <c r="O8" t="inlineStr">
        <is>
          <t>nonsynonymous SNV</t>
        </is>
      </c>
      <c r="P8" t="inlineStr">
        <is>
          <t>CHD5:NM_015557:exon17:c.T2675C:p.F892S;CHD5:uc001amb.2:exon17:c.T2675C:p.F892S;CHD5:ENST00000262450.8_5:exon17:c.T2675C:p.F892S</t>
        </is>
      </c>
      <c r="Q8" t="n">
        <v>-1</v>
      </c>
      <c r="R8" t="n">
        <v>-1</v>
      </c>
      <c r="S8" t="n">
        <v>-1</v>
      </c>
      <c r="T8" t="n">
        <v>-1</v>
      </c>
      <c r="U8" t="n">
        <v>-1</v>
      </c>
      <c r="V8" t="inlineStr">
        <is>
          <t>11/12</t>
        </is>
      </c>
      <c r="W8" t="inlineStr">
        <is>
          <t>.</t>
        </is>
      </c>
      <c r="X8" t="inlineStr">
        <is>
          <t>.</t>
        </is>
      </c>
      <c r="Y8" t="inlineStr">
        <is>
          <t>.</t>
        </is>
      </c>
      <c r="Z8" t="inlineStr">
        <is>
          <t>4/7</t>
        </is>
      </c>
      <c r="AA8" t="inlineStr">
        <is>
          <t>Uncertain significance</t>
        </is>
      </c>
      <c r="AB8" t="inlineStr">
        <is>
          <t>.</t>
        </is>
      </c>
      <c r="AC8" t="inlineStr">
        <is>
          <t>0/1</t>
        </is>
      </c>
      <c r="AD8" t="inlineStr">
        <is>
          <t>3</t>
        </is>
      </c>
      <c r="AE8" t="inlineStr">
        <is>
          <t>0.999999995117076</t>
        </is>
      </c>
      <c r="AF8" t="inlineStr">
        <is>
          <t>chromodomain helicase DNA binding protein 5</t>
        </is>
      </c>
      <c r="AG8" t="inlineStr">
        <is>
          <t xml:space="preserve">FUNCTION: Chromatin-remodeling protein that binds DNA through histones and regulates gene transcription. May specifically recognize and bind trimethylated 'Lys-27' (H3K27me3) and non- methylated 'Lys-4' of histone H3. Plays a role in the development of the nervous system by activating the expression of genes promoting neuron terminal differentiation. In parallel, it may also positively regulate the trimethylation of histone H3 at 'Lys- 27' thereby specifically repressing genes that promote the differentiation into non-neuronal cell lineages. Tumor suppressor, it regulates the expression of genes involved in cell proliferation and differentiation. Downstream activated genes may include CDKN2A that positively regulates the p53/TP53 pathway, which in turn, prevents cell proliferation. In spermatogenesis, it probably regulates histone hyperacetylation and the replacement of histones by transition proteins in chromatin, a crucial step in the condensation of spermatid chromatin and the production of functional spermatozoa. {ECO:0000269|PubMed:23948251}.; </t>
        </is>
      </c>
      <c r="AH8" t="inlineStr">
        <is>
          <t xml:space="preserve">DISEASE: Note=Defects in CHD5 may be a cause of the development of cancers from epithelial, neural and hematopoietic origin. CHD5 is one of the missing genes in the del(1p36), a deletion which is extremely common in this type of cancers. A decrease of its expression, results in increased susceptibility of cells to Ras- mediated transformation in vitro and in vivo (PubMed:17289567). {ECO:0000269|PubMed:17289567}.; </t>
        </is>
      </c>
      <c r="AI8" t="inlineStr">
        <is>
          <t>.</t>
        </is>
      </c>
      <c r="AJ8" t="inlineStr">
        <is>
          <t>.</t>
        </is>
      </c>
      <c r="AK8" t="inlineStr">
        <is>
          <t>.</t>
        </is>
      </c>
      <c r="AL8" t="inlineStr">
        <is>
          <t>.</t>
        </is>
      </c>
    </row>
    <row r="9">
      <c r="A9" t="inlineStr"/>
      <c r="B9">
        <f>HYPERLINK("https://genome.ucsc.edu/cgi-bin/hgTracks?db=hg19&amp;position=chr1%3A8000053%2D8000053", "chr1:8000053")</f>
        <v/>
      </c>
      <c r="C9" t="inlineStr">
        <is>
          <t>chr1</t>
        </is>
      </c>
      <c r="D9" t="n">
        <v>8000053</v>
      </c>
      <c r="E9" t="n">
        <v>8000053</v>
      </c>
      <c r="F9" t="inlineStr">
        <is>
          <t>A</t>
        </is>
      </c>
      <c r="G9" t="inlineStr">
        <is>
          <t>G</t>
        </is>
      </c>
      <c r="H9" t="inlineStr">
        <is>
          <t>1546.64</t>
        </is>
      </c>
      <c r="I9" t="inlineStr">
        <is>
          <t>156</t>
        </is>
      </c>
      <c r="J9" t="inlineStr">
        <is>
          <t>85,71</t>
        </is>
      </c>
      <c r="K9" t="inlineStr">
        <is>
          <t>.</t>
        </is>
      </c>
      <c r="L9">
        <f>HYPERLINK("https://www.ncbi.nlm.nih.gov/snp/rs373429328", "rs373429328")</f>
        <v/>
      </c>
      <c r="M9">
        <f>HYPERLINK("https://www.genecards.org/Search/Keyword?queryString=%5Baliases%5D(%20TNFRSF9%20)&amp;keywords=TNFRSF9", "TNFRSF9")</f>
        <v/>
      </c>
      <c r="N9" t="inlineStr">
        <is>
          <t>exonic</t>
        </is>
      </c>
      <c r="O9" t="inlineStr">
        <is>
          <t>startloss</t>
        </is>
      </c>
      <c r="P9" t="inlineStr">
        <is>
          <t>TNFRSF9:NM_001561:exon2:c.T2C:p.M1?;TNFRSF9:uc001aot.3:exon3:c.T2C:p.M1?;TNFRSF9:ENST00000377507.8_5:exon2:c.T2C:p.M1?</t>
        </is>
      </c>
      <c r="Q9" t="n">
        <v>7.7e-05</v>
      </c>
      <c r="R9" t="n">
        <v>-1</v>
      </c>
      <c r="S9" t="n">
        <v>-1</v>
      </c>
      <c r="T9" t="n">
        <v>-1</v>
      </c>
      <c r="U9" t="n">
        <v>-1</v>
      </c>
      <c r="V9" t="inlineStr">
        <is>
          <t>5/10</t>
        </is>
      </c>
      <c r="W9" t="inlineStr">
        <is>
          <t>.</t>
        </is>
      </c>
      <c r="X9" t="inlineStr">
        <is>
          <t>.</t>
        </is>
      </c>
      <c r="Y9" t="inlineStr">
        <is>
          <t>.</t>
        </is>
      </c>
      <c r="Z9" t="inlineStr">
        <is>
          <t>2/7</t>
        </is>
      </c>
      <c r="AA9" t="inlineStr">
        <is>
          <t>Uncertain significance</t>
        </is>
      </c>
      <c r="AB9" t="inlineStr">
        <is>
          <t>.</t>
        </is>
      </c>
      <c r="AC9" t="inlineStr">
        <is>
          <t>0/1</t>
        </is>
      </c>
      <c r="AD9" t="inlineStr">
        <is>
          <t>1</t>
        </is>
      </c>
      <c r="AE9" t="inlineStr">
        <is>
          <t>0.253050500972917</t>
        </is>
      </c>
      <c r="AF9" t="inlineStr">
        <is>
          <t>tumor necrosis factor receptor superfamily member 9</t>
        </is>
      </c>
      <c r="AG9" t="inlineStr">
        <is>
          <t xml:space="preserve">FUNCTION: Receptor for TNFSF9/4-1BBL. Possibly active during T cell activation.; </t>
        </is>
      </c>
      <c r="AH9" t="inlineStr">
        <is>
          <t>.</t>
        </is>
      </c>
      <c r="AI9" t="inlineStr">
        <is>
          <t>.</t>
        </is>
      </c>
      <c r="AJ9" t="inlineStr">
        <is>
          <t>.</t>
        </is>
      </c>
      <c r="AK9" t="inlineStr">
        <is>
          <t>.</t>
        </is>
      </c>
      <c r="AL9" t="inlineStr">
        <is>
          <t>.</t>
        </is>
      </c>
    </row>
    <row r="10">
      <c r="A10" t="inlineStr"/>
      <c r="B10">
        <f>HYPERLINK("https://genome.ucsc.edu/cgi-bin/hgTracks?db=hg19&amp;position=chr1%3A8421495%2D8421495", "chr1:8421495")</f>
        <v/>
      </c>
      <c r="C10" t="inlineStr">
        <is>
          <t>chr1</t>
        </is>
      </c>
      <c r="D10" t="n">
        <v>8421495</v>
      </c>
      <c r="E10" t="n">
        <v>8421495</v>
      </c>
      <c r="F10" t="inlineStr">
        <is>
          <t>C</t>
        </is>
      </c>
      <c r="G10" t="inlineStr">
        <is>
          <t>T</t>
        </is>
      </c>
      <c r="H10" t="inlineStr">
        <is>
          <t>1954.64</t>
        </is>
      </c>
      <c r="I10" t="inlineStr">
        <is>
          <t>156</t>
        </is>
      </c>
      <c r="J10" t="inlineStr">
        <is>
          <t>77,79</t>
        </is>
      </c>
      <c r="K10" t="inlineStr">
        <is>
          <t>.</t>
        </is>
      </c>
      <c r="L10">
        <f>HYPERLINK("https://www.ncbi.nlm.nih.gov/snp/rs372847629", "rs372847629")</f>
        <v/>
      </c>
      <c r="M10">
        <f>HYPERLINK("https://www.genecards.org/Search/Keyword?queryString=%5Baliases%5D(%20RERE%20)&amp;keywords=RERE", "RERE")</f>
        <v/>
      </c>
      <c r="N10" t="inlineStr">
        <is>
          <t>exonic</t>
        </is>
      </c>
      <c r="O10" t="inlineStr">
        <is>
          <t>nonsynonymous SNV</t>
        </is>
      </c>
      <c r="P10" t="inlineStr">
        <is>
          <t>RERE:NM_001042682:exon8:c.G410A:p.R137H,RERE:NM_001042681:exon18:c.G2072A:p.R691H,RERE:NM_012102:exon19:c.G2072A:p.R691H;RERE:uc001apd.3:exon8:c.G410A:p.R137H,RERE:uc010nzx.1:exon12:c.G1268A:p.R423H,RERE:uc001apf.3:exon18:c.G2072A:p.R691H,RERE:uc001ape.3:exon19:c.G2072A:p.R691H;RERE:ENST00000476556.5_4:exon8:c.G410A:p.R137H,RERE:ENST00000377464.5_5:exon12:c.G1268A:p.R423H,RERE:ENST00000400908.7_7:exon18:c.G2072A:p.R691H,RERE:ENST00000337907.7_5:exon19:c.G2072A:p.R691H</t>
        </is>
      </c>
      <c r="Q10" t="n">
        <v>7.7e-05</v>
      </c>
      <c r="R10" t="n">
        <v>-1</v>
      </c>
      <c r="S10" t="n">
        <v>7.363e-05</v>
      </c>
      <c r="T10" t="n">
        <v>-1</v>
      </c>
      <c r="U10" t="n">
        <v>-1</v>
      </c>
      <c r="V10" t="inlineStr">
        <is>
          <t>6/10</t>
        </is>
      </c>
      <c r="W10" t="inlineStr">
        <is>
          <t>.</t>
        </is>
      </c>
      <c r="X10" t="inlineStr">
        <is>
          <t>.</t>
        </is>
      </c>
      <c r="Y10" t="inlineStr">
        <is>
          <t>.</t>
        </is>
      </c>
      <c r="Z10" t="inlineStr">
        <is>
          <t>4/7</t>
        </is>
      </c>
      <c r="AA10" t="inlineStr">
        <is>
          <t>Uncertain significance</t>
        </is>
      </c>
      <c r="AB10" t="inlineStr">
        <is>
          <t>.</t>
        </is>
      </c>
      <c r="AC10" t="inlineStr">
        <is>
          <t>0/1</t>
        </is>
      </c>
      <c r="AD10" t="inlineStr">
        <is>
          <t>1</t>
        </is>
      </c>
      <c r="AE10" t="inlineStr">
        <is>
          <t>0.999995655258253</t>
        </is>
      </c>
      <c r="AF10" t="inlineStr">
        <is>
          <t>arginine-glutamic acid dipeptide (RE) repeats</t>
        </is>
      </c>
      <c r="AG10" t="inlineStr">
        <is>
          <t xml:space="preserve">FUNCTION: Plays a role as a transcriptional repressor during development. May play a role in the control of cell survival. Overexpression of RERE recruits BAX to the nucleus particularly to POD and triggers caspase-3 activation, leading to cell death. {ECO:0000269|PubMed:11331249}.; </t>
        </is>
      </c>
      <c r="AH10" t="inlineStr">
        <is>
          <t xml:space="preserve">DISEASE: Note=A chromosomal aberration involving RERE is found in the neuroblastoma cell line NGP. Translocation t(1;15)(p36.2;q24).; </t>
        </is>
      </c>
      <c r="AI10" t="inlineStr">
        <is>
          <t>.</t>
        </is>
      </c>
      <c r="AJ10" t="inlineStr">
        <is>
          <t>.</t>
        </is>
      </c>
      <c r="AK10" t="inlineStr">
        <is>
          <t>.</t>
        </is>
      </c>
      <c r="AL10" t="inlineStr">
        <is>
          <t>.</t>
        </is>
      </c>
    </row>
    <row r="11">
      <c r="A11" t="inlineStr"/>
      <c r="B11">
        <f>HYPERLINK("https://genome.ucsc.edu/cgi-bin/hgTracks?db=hg19&amp;position=chr1%3A10218621%2D10218621", "chr1:10218621")</f>
        <v/>
      </c>
      <c r="C11" t="inlineStr">
        <is>
          <t>chr1</t>
        </is>
      </c>
      <c r="D11" t="n">
        <v>10218621</v>
      </c>
      <c r="E11" t="n">
        <v>10218621</v>
      </c>
      <c r="F11" t="inlineStr">
        <is>
          <t>G</t>
        </is>
      </c>
      <c r="G11" t="inlineStr">
        <is>
          <t>A</t>
        </is>
      </c>
      <c r="H11" t="inlineStr">
        <is>
          <t>416.64</t>
        </is>
      </c>
      <c r="I11" t="inlineStr">
        <is>
          <t>24</t>
        </is>
      </c>
      <c r="J11" t="inlineStr">
        <is>
          <t>9,15</t>
        </is>
      </c>
      <c r="K11" t="inlineStr">
        <is>
          <t>.</t>
        </is>
      </c>
      <c r="L11">
        <f>HYPERLINK("https://www.ncbi.nlm.nih.gov/snp/rs190656574", "rs190656574")</f>
        <v/>
      </c>
      <c r="M11">
        <f>HYPERLINK("https://www.genecards.org/Search/Keyword?queryString=%5Baliases%5D(%20UBE4B%20)&amp;keywords=UBE4B", "UBE4B")</f>
        <v/>
      </c>
      <c r="N11" t="inlineStr">
        <is>
          <t>intronic</t>
        </is>
      </c>
      <c r="O11" t="inlineStr">
        <is>
          <t>.</t>
        </is>
      </c>
      <c r="P11" t="inlineStr">
        <is>
          <t>.</t>
        </is>
      </c>
      <c r="Q11" t="n">
        <v>0.0138</v>
      </c>
      <c r="R11" t="n">
        <v>0.0124</v>
      </c>
      <c r="S11" t="n">
        <v>0.0127</v>
      </c>
      <c r="T11" t="n">
        <v>-1</v>
      </c>
      <c r="U11" t="n">
        <v>0.0203</v>
      </c>
      <c r="V11" t="inlineStr">
        <is>
          <t>.</t>
        </is>
      </c>
      <c r="W11" t="inlineStr">
        <is>
          <t>.</t>
        </is>
      </c>
      <c r="X11" t="inlineStr">
        <is>
          <t>PD</t>
        </is>
      </c>
      <c r="Y11" t="inlineStr">
        <is>
          <t>off</t>
        </is>
      </c>
      <c r="Z11" t="inlineStr">
        <is>
          <t>.</t>
        </is>
      </c>
      <c r="AA11" t="inlineStr">
        <is>
          <t>.</t>
        </is>
      </c>
      <c r="AB11" t="inlineStr">
        <is>
          <t>.</t>
        </is>
      </c>
      <c r="AC11" t="inlineStr">
        <is>
          <t>0/1</t>
        </is>
      </c>
      <c r="AD11" t="inlineStr">
        <is>
          <t>1</t>
        </is>
      </c>
      <c r="AE11" t="inlineStr">
        <is>
          <t>0.999987413556799</t>
        </is>
      </c>
      <c r="AF11" t="inlineStr">
        <is>
          <t>ubiquitination factor E4B</t>
        </is>
      </c>
      <c r="AG11" t="inlineStr">
        <is>
          <t xml:space="preserve">FUNCTION: Ubiquitin-protein ligase that probably functions as an E3 ligase in conjunction with specific E1 and E2 ligases. May also function as an E4 ligase mediating the assembly of polyubiquitin chains on substrates ubiquitinated by another E3 ubiquitin ligase. {ECO:0000250|UniProtKB:P54860, ECO:0000250|UniProtKB:Q9ES00}.; </t>
        </is>
      </c>
      <c r="AH11" t="inlineStr">
        <is>
          <t>.</t>
        </is>
      </c>
      <c r="AI11" t="inlineStr">
        <is>
          <t>.</t>
        </is>
      </c>
      <c r="AJ11" t="inlineStr">
        <is>
          <t>.</t>
        </is>
      </c>
      <c r="AK11" t="inlineStr">
        <is>
          <t>.</t>
        </is>
      </c>
      <c r="AL11" t="inlineStr">
        <is>
          <t>.</t>
        </is>
      </c>
    </row>
    <row r="12">
      <c r="A12" t="inlineStr"/>
      <c r="B12">
        <f>HYPERLINK("https://genome.ucsc.edu/cgi-bin/hgTracks?db=hg19&amp;position=chr1%3A10529326%2D10529326", "chr1:10529326")</f>
        <v/>
      </c>
      <c r="C12" t="inlineStr">
        <is>
          <t>chr1</t>
        </is>
      </c>
      <c r="D12" t="n">
        <v>10529326</v>
      </c>
      <c r="E12" t="n">
        <v>10529326</v>
      </c>
      <c r="F12" t="inlineStr">
        <is>
          <t>A</t>
        </is>
      </c>
      <c r="G12" t="inlineStr">
        <is>
          <t>G</t>
        </is>
      </c>
      <c r="H12" t="inlineStr">
        <is>
          <t>2532.64</t>
        </is>
      </c>
      <c r="I12" t="inlineStr">
        <is>
          <t>192</t>
        </is>
      </c>
      <c r="J12" t="inlineStr">
        <is>
          <t>90,102</t>
        </is>
      </c>
      <c r="K12" t="inlineStr">
        <is>
          <t>.</t>
        </is>
      </c>
      <c r="L12">
        <f>HYPERLINK("https://www.ncbi.nlm.nih.gov/snp/rs138842024", "rs138842024")</f>
        <v/>
      </c>
      <c r="M12">
        <f>HYPERLINK("https://www.genecards.org/Search/Keyword?queryString=%5Baliases%5D(%20DFFA%20)&amp;keywords=DFFA", "DFFA")</f>
        <v/>
      </c>
      <c r="N12" t="inlineStr">
        <is>
          <t>exonic</t>
        </is>
      </c>
      <c r="O12" t="inlineStr">
        <is>
          <t>nonsynonymous SNV</t>
        </is>
      </c>
      <c r="P12" t="inlineStr">
        <is>
          <t>DFFA:NM_004401:exon2:c.T206C:p.I69T,DFFA:NM_213566:exon2:c.T206C:p.I69T;DFFA:uc001arj.3:exon2:c.T206C:p.I69T,DFFA:uc001ark.3:exon2:c.T206C:p.I69T;DFFA:ENST00000377036.2_3:exon2:c.T206C:p.I69T,DFFA:ENST00000377038.8_5:exon2:c.T206C:p.I69T</t>
        </is>
      </c>
      <c r="Q12" t="n">
        <v>0.019022</v>
      </c>
      <c r="R12" t="n">
        <v>0.0037</v>
      </c>
      <c r="S12" t="n">
        <v>0.0072</v>
      </c>
      <c r="T12" t="n">
        <v>-1</v>
      </c>
      <c r="U12" t="n">
        <v>0.0081</v>
      </c>
      <c r="V12" t="inlineStr">
        <is>
          <t>3/10</t>
        </is>
      </c>
      <c r="W12" t="inlineStr">
        <is>
          <t>.</t>
        </is>
      </c>
      <c r="X12" t="inlineStr">
        <is>
          <t>.</t>
        </is>
      </c>
      <c r="Y12" t="inlineStr">
        <is>
          <t>.</t>
        </is>
      </c>
      <c r="Z12" t="inlineStr">
        <is>
          <t>7/7</t>
        </is>
      </c>
      <c r="AA12" t="inlineStr">
        <is>
          <t>Uncertain significance</t>
        </is>
      </c>
      <c r="AB12" t="inlineStr">
        <is>
          <t>.</t>
        </is>
      </c>
      <c r="AC12" t="inlineStr">
        <is>
          <t>0/1</t>
        </is>
      </c>
      <c r="AD12" t="inlineStr">
        <is>
          <t>1</t>
        </is>
      </c>
      <c r="AE12" t="inlineStr">
        <is>
          <t>0.00021837065189826</t>
        </is>
      </c>
      <c r="AF12" t="inlineStr">
        <is>
          <t>DNA fragmentation factor subunit alpha</t>
        </is>
      </c>
      <c r="AG12" t="inlineStr">
        <is>
          <t xml:space="preserve">FUNCTION: Inhibitor of the caspase-activated DNase (DFF40).; </t>
        </is>
      </c>
      <c r="AH12" t="inlineStr">
        <is>
          <t>.</t>
        </is>
      </c>
      <c r="AI12" t="inlineStr">
        <is>
          <t>.</t>
        </is>
      </c>
      <c r="AJ12" t="inlineStr">
        <is>
          <t>.</t>
        </is>
      </c>
      <c r="AK12" t="inlineStr">
        <is>
          <t>.</t>
        </is>
      </c>
      <c r="AL12" t="inlineStr">
        <is>
          <t>.</t>
        </is>
      </c>
    </row>
    <row r="13">
      <c r="A13" t="inlineStr"/>
      <c r="B13">
        <f>HYPERLINK("https://genome.ucsc.edu/cgi-bin/hgTracks?db=hg19&amp;position=chr1%3A10672884%2D10672884", "chr1:10672884")</f>
        <v/>
      </c>
      <c r="C13" t="inlineStr">
        <is>
          <t>chr1</t>
        </is>
      </c>
      <c r="D13" t="n">
        <v>10672884</v>
      </c>
      <c r="E13" t="n">
        <v>10672884</v>
      </c>
      <c r="F13" t="inlineStr">
        <is>
          <t>T</t>
        </is>
      </c>
      <c r="G13" t="inlineStr">
        <is>
          <t>C</t>
        </is>
      </c>
      <c r="H13" t="inlineStr">
        <is>
          <t>64.64</t>
        </is>
      </c>
      <c r="I13" t="inlineStr">
        <is>
          <t>6</t>
        </is>
      </c>
      <c r="J13" t="inlineStr">
        <is>
          <t>4,2</t>
        </is>
      </c>
      <c r="K13" t="inlineStr">
        <is>
          <t>.</t>
        </is>
      </c>
      <c r="L13" t="inlineStr">
        <is>
          <t>.</t>
        </is>
      </c>
      <c r="M13">
        <f>HYPERLINK("https://www.genecards.org/Search/Keyword?queryString=%5Baliases%5D(%20PEX14%20)&amp;keywords=PEX14", "PEX14")</f>
        <v/>
      </c>
      <c r="N13" t="inlineStr">
        <is>
          <t>intronic;ncRNA_exonic</t>
        </is>
      </c>
      <c r="O13" t="inlineStr">
        <is>
          <t>.</t>
        </is>
      </c>
      <c r="P13" t="inlineStr">
        <is>
          <t>.</t>
        </is>
      </c>
      <c r="Q13" t="n">
        <v>-1</v>
      </c>
      <c r="R13" t="n">
        <v>-1</v>
      </c>
      <c r="S13" t="n">
        <v>-1</v>
      </c>
      <c r="T13" t="n">
        <v>-1</v>
      </c>
      <c r="U13" t="n">
        <v>-1</v>
      </c>
      <c r="V13" t="inlineStr">
        <is>
          <t>.</t>
        </is>
      </c>
      <c r="W13" t="inlineStr">
        <is>
          <t>.</t>
        </is>
      </c>
      <c r="X13" t="inlineStr">
        <is>
          <t>.</t>
        </is>
      </c>
      <c r="Y13" t="inlineStr">
        <is>
          <t>.</t>
        </is>
      </c>
      <c r="Z13" t="inlineStr">
        <is>
          <t>.</t>
        </is>
      </c>
      <c r="AA13" t="inlineStr">
        <is>
          <t>.</t>
        </is>
      </c>
      <c r="AB13" t="inlineStr">
        <is>
          <t>.</t>
        </is>
      </c>
      <c r="AC13" t="inlineStr">
        <is>
          <t>.</t>
        </is>
      </c>
      <c r="AD13" t="inlineStr">
        <is>
          <t>2</t>
        </is>
      </c>
      <c r="AE13" t="inlineStr">
        <is>
          <t>0.634568377657546</t>
        </is>
      </c>
      <c r="AF13" t="inlineStr">
        <is>
          <t>peroxisomal biogenesis factor 14</t>
        </is>
      </c>
      <c r="AG13" t="inlineStr">
        <is>
          <t xml:space="preserve">FUNCTION: Peroxisome membrane protein that is an essential component of the peroxisomal import machinery. Functions as a docking factor for the predominantly cytoplasmic PTS1 receptor (PEX5). Plays a key role for peroxisome movement through a direct interaction with tubulin. {ECO:0000269|PubMed:21525035, ECO:0000269|PubMed:9653144}.; </t>
        </is>
      </c>
      <c r="AH13" t="inlineStr">
        <is>
          <t xml:space="preserve">DISEASE: Peroxisome biogenesis disorder complementation group K (PBD-CGK) [MIM:614887]: A peroxisomal disorder arising from a failure of protein import into the peroxisomal membrane or matrix. The peroxisome biogenesis disorders (PBD group) are genetically heterogeneous with at least 14 distinct genetic groups as concluded from complementation studies. Include disorders are: Zellweger syndrome (ZWS), neonatal adrenoleukodystrophy (NALD), infantile Refsum disease (IRD), and classical rhizomelic chondrodysplasia punctata (RCDP). ZWS, NALD and IRD are distinct from RCDP and constitute a clinical continuum of overlapping phenotypes known as the Zellweger spectrum (PBD-ZSS). {ECO:0000269|PubMed:15146459}. Note=The disease is caused by mutations affecting the gene represented in this entry.; DISEASE: Peroxisome biogenesis disorder 13A (PBD13A) [MIM:614887]: A fatal peroxisome biogenesis disorder belonging to the Zellweger disease spectrum and clinically characterized by severe neurologic dysfunction with profound psychomotor retardation, severe hypotonia and neonatal seizures, craniofacial abnormalities, liver dysfunction, and biochemically by the absence of peroxisomes. Additional features include cardiovascular and skeletal defects, renal cysts, ocular abnormalities, and hearing impairment. Most severely affected individuals with the classic form of the disease (classic Zellweger syndrome) die within the first year of life. {ECO:0000269|PubMed:15146459}. Note=The disease is caused by mutations affecting the gene represented in this entry.; </t>
        </is>
      </c>
      <c r="AI13" t="inlineStr">
        <is>
          <t>.</t>
        </is>
      </c>
      <c r="AJ13" t="inlineStr">
        <is>
          <t>.</t>
        </is>
      </c>
      <c r="AK13" t="inlineStr">
        <is>
          <t>.</t>
        </is>
      </c>
      <c r="AL13" t="inlineStr">
        <is>
          <t>.</t>
        </is>
      </c>
    </row>
    <row r="14">
      <c r="A14" t="inlineStr"/>
      <c r="B14">
        <f>HYPERLINK("https://genome.ucsc.edu/cgi-bin/hgTracks?db=hg19&amp;position=chr1%3A10672890%2D10672890", "chr1:10672890")</f>
        <v/>
      </c>
      <c r="C14" t="inlineStr">
        <is>
          <t>chr1</t>
        </is>
      </c>
      <c r="D14" t="n">
        <v>10672890</v>
      </c>
      <c r="E14" t="n">
        <v>10672890</v>
      </c>
      <c r="F14" t="inlineStr">
        <is>
          <t>G</t>
        </is>
      </c>
      <c r="G14" t="inlineStr">
        <is>
          <t>A</t>
        </is>
      </c>
      <c r="H14" t="inlineStr">
        <is>
          <t>64.64</t>
        </is>
      </c>
      <c r="I14" t="inlineStr">
        <is>
          <t>6</t>
        </is>
      </c>
      <c r="J14" t="inlineStr">
        <is>
          <t>4,2</t>
        </is>
      </c>
      <c r="K14" t="inlineStr">
        <is>
          <t>.</t>
        </is>
      </c>
      <c r="L14" t="inlineStr">
        <is>
          <t>.</t>
        </is>
      </c>
      <c r="M14">
        <f>HYPERLINK("https://www.genecards.org/Search/Keyword?queryString=%5Baliases%5D(%20PEX14%20)&amp;keywords=PEX14", "PEX14")</f>
        <v/>
      </c>
      <c r="N14" t="inlineStr">
        <is>
          <t>intronic;ncRNA_exonic</t>
        </is>
      </c>
      <c r="O14" t="inlineStr">
        <is>
          <t>.</t>
        </is>
      </c>
      <c r="P14" t="inlineStr">
        <is>
          <t>.</t>
        </is>
      </c>
      <c r="Q14" t="n">
        <v>-1</v>
      </c>
      <c r="R14" t="n">
        <v>-1</v>
      </c>
      <c r="S14" t="n">
        <v>-1</v>
      </c>
      <c r="T14" t="n">
        <v>-1</v>
      </c>
      <c r="U14" t="n">
        <v>-1</v>
      </c>
      <c r="V14" t="inlineStr">
        <is>
          <t>.</t>
        </is>
      </c>
      <c r="W14" t="inlineStr">
        <is>
          <t>.</t>
        </is>
      </c>
      <c r="X14" t="inlineStr">
        <is>
          <t>.</t>
        </is>
      </c>
      <c r="Y14" t="inlineStr">
        <is>
          <t>.</t>
        </is>
      </c>
      <c r="Z14" t="inlineStr">
        <is>
          <t>.</t>
        </is>
      </c>
      <c r="AA14" t="inlineStr">
        <is>
          <t>.</t>
        </is>
      </c>
      <c r="AB14" t="inlineStr">
        <is>
          <t>.</t>
        </is>
      </c>
      <c r="AC14" t="inlineStr">
        <is>
          <t>.</t>
        </is>
      </c>
      <c r="AD14" t="inlineStr">
        <is>
          <t>2</t>
        </is>
      </c>
      <c r="AE14" t="inlineStr">
        <is>
          <t>0.634568377657546</t>
        </is>
      </c>
      <c r="AF14" t="inlineStr">
        <is>
          <t>peroxisomal biogenesis factor 14</t>
        </is>
      </c>
      <c r="AG14" t="inlineStr">
        <is>
          <t xml:space="preserve">FUNCTION: Peroxisome membrane protein that is an essential component of the peroxisomal import machinery. Functions as a docking factor for the predominantly cytoplasmic PTS1 receptor (PEX5). Plays a key role for peroxisome movement through a direct interaction with tubulin. {ECO:0000269|PubMed:21525035, ECO:0000269|PubMed:9653144}.; </t>
        </is>
      </c>
      <c r="AH14" t="inlineStr">
        <is>
          <t xml:space="preserve">DISEASE: Peroxisome biogenesis disorder complementation group K (PBD-CGK) [MIM:614887]: A peroxisomal disorder arising from a failure of protein import into the peroxisomal membrane or matrix. The peroxisome biogenesis disorders (PBD group) are genetically heterogeneous with at least 14 distinct genetic groups as concluded from complementation studies. Include disorders are: Zellweger syndrome (ZWS), neonatal adrenoleukodystrophy (NALD), infantile Refsum disease (IRD), and classical rhizomelic chondrodysplasia punctata (RCDP). ZWS, NALD and IRD are distinct from RCDP and constitute a clinical continuum of overlapping phenotypes known as the Zellweger spectrum (PBD-ZSS). {ECO:0000269|PubMed:15146459}. Note=The disease is caused by mutations affecting the gene represented in this entry.; DISEASE: Peroxisome biogenesis disorder 13A (PBD13A) [MIM:614887]: A fatal peroxisome biogenesis disorder belonging to the Zellweger disease spectrum and clinically characterized by severe neurologic dysfunction with profound psychomotor retardation, severe hypotonia and neonatal seizures, craniofacial abnormalities, liver dysfunction, and biochemically by the absence of peroxisomes. Additional features include cardiovascular and skeletal defects, renal cysts, ocular abnormalities, and hearing impairment. Most severely affected individuals with the classic form of the disease (classic Zellweger syndrome) die within the first year of life. {ECO:0000269|PubMed:15146459}. Note=The disease is caused by mutations affecting the gene represented in this entry.; </t>
        </is>
      </c>
      <c r="AI14" t="inlineStr">
        <is>
          <t>.</t>
        </is>
      </c>
      <c r="AJ14" t="inlineStr">
        <is>
          <t>.</t>
        </is>
      </c>
      <c r="AK14" t="inlineStr">
        <is>
          <t>.</t>
        </is>
      </c>
      <c r="AL14" t="inlineStr">
        <is>
          <t>.</t>
        </is>
      </c>
    </row>
    <row r="15">
      <c r="A15" t="inlineStr"/>
      <c r="B15">
        <f>HYPERLINK("https://genome.ucsc.edu/cgi-bin/hgTracks?db=hg19&amp;position=chr1%3A10713923%2D10713923", "chr1:10713923")</f>
        <v/>
      </c>
      <c r="C15" t="inlineStr">
        <is>
          <t>chr1</t>
        </is>
      </c>
      <c r="D15" t="n">
        <v>10713923</v>
      </c>
      <c r="E15" t="n">
        <v>10713923</v>
      </c>
      <c r="F15" t="inlineStr">
        <is>
          <t>G</t>
        </is>
      </c>
      <c r="G15" t="inlineStr">
        <is>
          <t>T</t>
        </is>
      </c>
      <c r="H15" t="inlineStr">
        <is>
          <t>1619.64</t>
        </is>
      </c>
      <c r="I15" t="inlineStr">
        <is>
          <t>113</t>
        </is>
      </c>
      <c r="J15" t="inlineStr">
        <is>
          <t>53,60</t>
        </is>
      </c>
      <c r="K15" t="inlineStr">
        <is>
          <t>.</t>
        </is>
      </c>
      <c r="L15" t="inlineStr">
        <is>
          <t>.</t>
        </is>
      </c>
      <c r="M15">
        <f>HYPERLINK("https://www.genecards.org/Search/Keyword?queryString=%5Baliases%5D(%20CASZ1%20)&amp;keywords=CASZ1", "CASZ1")</f>
        <v/>
      </c>
      <c r="N15" t="inlineStr">
        <is>
          <t>exonic</t>
        </is>
      </c>
      <c r="O15" t="inlineStr">
        <is>
          <t>nonsynonymous SNV</t>
        </is>
      </c>
      <c r="P15" t="inlineStr">
        <is>
          <t>CASZ1:NM_001079843:exon11:c.C2191A:p.L731M,CASZ1:NM_017766:exon11:c.C2191A:p.L731M;CASZ1:uc009vmx.2:exon9:c.C2263A:p.L755M,CASZ1:uc001aro.4:exon11:c.C2191A:p.L731M,CASZ1:uc001arp.2:exon11:c.C2191A:p.L731M;CASZ1:ENST00000344008.5_3:exon11:c.C2191A:p.L731M,CASZ1:ENST00000377022.8_5:exon11:c.C2191A:p.L731M</t>
        </is>
      </c>
      <c r="Q15" t="n">
        <v>-1</v>
      </c>
      <c r="R15" t="n">
        <v>-1</v>
      </c>
      <c r="S15" t="n">
        <v>-1</v>
      </c>
      <c r="T15" t="n">
        <v>-1</v>
      </c>
      <c r="U15" t="n">
        <v>-1</v>
      </c>
      <c r="V15" t="inlineStr">
        <is>
          <t>3/11</t>
        </is>
      </c>
      <c r="W15" t="inlineStr">
        <is>
          <t>.</t>
        </is>
      </c>
      <c r="X15" t="inlineStr">
        <is>
          <t>.</t>
        </is>
      </c>
      <c r="Y15" t="inlineStr">
        <is>
          <t>.</t>
        </is>
      </c>
      <c r="Z15" t="inlineStr">
        <is>
          <t>1/7</t>
        </is>
      </c>
      <c r="AA15" t="inlineStr">
        <is>
          <t>Uncertain significance</t>
        </is>
      </c>
      <c r="AB15" t="inlineStr">
        <is>
          <t>.</t>
        </is>
      </c>
      <c r="AC15" t="inlineStr">
        <is>
          <t>0/1</t>
        </is>
      </c>
      <c r="AD15" t="inlineStr">
        <is>
          <t>1</t>
        </is>
      </c>
      <c r="AE15" t="inlineStr">
        <is>
          <t>0.999938476327784</t>
        </is>
      </c>
      <c r="AF15" t="inlineStr">
        <is>
          <t>castor zinc finger 1</t>
        </is>
      </c>
      <c r="AG15" t="inlineStr">
        <is>
          <t xml:space="preserve">FUNCTION: Transcription factor involved in vascular assembly and morphogenesis through direct transcriptional regulation of EGFL7. {ECO:0000269|PubMed:23639441}.; </t>
        </is>
      </c>
      <c r="AH15" t="inlineStr">
        <is>
          <t>.</t>
        </is>
      </c>
      <c r="AI15" t="inlineStr">
        <is>
          <t>.</t>
        </is>
      </c>
      <c r="AJ15" t="inlineStr">
        <is>
          <t>.</t>
        </is>
      </c>
      <c r="AK15" t="inlineStr">
        <is>
          <t>.</t>
        </is>
      </c>
      <c r="AL15" t="inlineStr">
        <is>
          <t>.</t>
        </is>
      </c>
    </row>
    <row r="16">
      <c r="A16" t="inlineStr"/>
      <c r="B16">
        <f>HYPERLINK("https://genome.ucsc.edu/cgi-bin/hgTracks?db=hg19&amp;position=chr1%3A11264809%2D11264809", "chr1:11264809")</f>
        <v/>
      </c>
      <c r="C16" t="inlineStr">
        <is>
          <t>chr1</t>
        </is>
      </c>
      <c r="D16" t="n">
        <v>11264809</v>
      </c>
      <c r="E16" t="n">
        <v>11264809</v>
      </c>
      <c r="F16" t="inlineStr">
        <is>
          <t>T</t>
        </is>
      </c>
      <c r="G16" t="inlineStr">
        <is>
          <t>C</t>
        </is>
      </c>
      <c r="H16" t="inlineStr">
        <is>
          <t>810.64</t>
        </is>
      </c>
      <c r="I16" t="inlineStr">
        <is>
          <t>54</t>
        </is>
      </c>
      <c r="J16" t="inlineStr">
        <is>
          <t>24,30</t>
        </is>
      </c>
      <c r="K16" t="inlineStr">
        <is>
          <t>.</t>
        </is>
      </c>
      <c r="L16">
        <f>HYPERLINK("https://www.ncbi.nlm.nih.gov/snp/rs372712733", "rs372712733")</f>
        <v/>
      </c>
      <c r="M16">
        <f>HYPERLINK("https://www.genecards.org/Search/Keyword?queryString=%5Baliases%5D(%20MTOR%20)&amp;keywords=MTOR", "MTOR")</f>
        <v/>
      </c>
      <c r="N16" t="inlineStr">
        <is>
          <t>intronic</t>
        </is>
      </c>
      <c r="O16" t="inlineStr">
        <is>
          <t>.</t>
        </is>
      </c>
      <c r="P16" t="inlineStr">
        <is>
          <t>.</t>
        </is>
      </c>
      <c r="Q16" t="n">
        <v>0.0001</v>
      </c>
      <c r="R16" t="n">
        <v>0.0001</v>
      </c>
      <c r="S16" t="n">
        <v>-1</v>
      </c>
      <c r="T16" t="n">
        <v>-1</v>
      </c>
      <c r="U16" t="n">
        <v>-1</v>
      </c>
      <c r="V16" t="inlineStr">
        <is>
          <t>.</t>
        </is>
      </c>
      <c r="W16" t="inlineStr">
        <is>
          <t>.</t>
        </is>
      </c>
      <c r="X16" t="inlineStr">
        <is>
          <t>D</t>
        </is>
      </c>
      <c r="Y16" t="inlineStr">
        <is>
          <t>off</t>
        </is>
      </c>
      <c r="Z16" t="inlineStr">
        <is>
          <t>.</t>
        </is>
      </c>
      <c r="AA16" t="inlineStr">
        <is>
          <t>.</t>
        </is>
      </c>
      <c r="AB16" t="inlineStr">
        <is>
          <t>.</t>
        </is>
      </c>
      <c r="AC16" t="inlineStr">
        <is>
          <t>0/1</t>
        </is>
      </c>
      <c r="AD16" t="inlineStr">
        <is>
          <t>1</t>
        </is>
      </c>
      <c r="AE16" t="inlineStr">
        <is>
          <t>0.999999999999676</t>
        </is>
      </c>
      <c r="AF16" t="inlineStr">
        <is>
          <t>mechanistic target of rapamycin</t>
        </is>
      </c>
      <c r="AG16" t="inlineStr">
        <is>
          <t xml:space="preserve">FUNCTION: Serine/threonine protein kinase which is a central regulator of cellular metabolism, growth and survival in response to hormones, growth factors, nutrients, energy and stress signals. MTOR directly or indirectly regulates the phosphorylation of at least 800 proteins. Functions as part of 2 structurally and functionally distinct signaling complexes mTORC1 and mTORC2 (mTOR complex 1 and 2). Activated mTORC1 up-regulates protein synthesis by phosphorylating key regulators of mRNA translation and ribosome synthesis. This includes phosphorylation of EIF4EBP1 and release of its inhibition toward the elongation initiation factor 4E (eiF4E). Moreover, phosphorylates and activates RPS6KB1 and RPS6KB2 that promote protein synthesis by modulating the activity of their downstream targets including ribosomal protein S6, eukaryotic translation initiation factor EIF4B, and the inhibitor of translation initiation PDCD4. Stimulates the pyrimidine biosynthesis pathway, both by acute regulation through RPS6KB1- mediated phosphorylation of the biosynthetic enzyme CAD, and delayed regulation, through transcriptional enhancement of the pentose phosphate pathway which produces 5-phosphoribosyl-1- pyrophosphate (PRPP), an allosteric activator of CAD at a later step in synthesis, this function is dependent on the mTORC1 complex. Regulates ribosome synthesis by activating RNA polymerase III-dependent transcription through phosphorylation and inhibition of MAF1 an RNA polymerase III-repressor. In parallel to protein synthesis, also regulates lipid synthesis through SREBF1/SREBP1 and LPIN1. To maintain energy homeostasis mTORC1 may also regulate mitochondrial biogenesis through regulation of PPARGC1A. mTORC1 also negatively regulates autophagy through phosphorylation of ULK1. Under nutrient sufficiency, phosphorylates ULK1 at 'Ser- 758', disrupting the interaction with AMPK and preventing activation of ULK1. Also prevents autophagy through phosphorylation of the autophagy inhibitor DAP. mTORC1 exerts a feedback control on upstream growth factor signaling that includes phosphorylation and activation of GRB10 a INSR-dependent signaling suppressor. Among other potential targets mTORC1 may phosphorylate CLIP1 and regulate microtubules. As part of the mTORC2 complex MTOR may regulate other cellular processes including survival and organization of the cytoskeleton. Plays a critical role in the phosphorylation at 'Ser-473' of AKT1, a pro-survival effector of phosphoinositide 3-kinase, facilitating its activation by PDK1. mTORC2 may regulate the actin cytoskeleton, through phosphorylation of PRKCA, PXN and activation of the Rho-type guanine nucleotide exchange factors RHOA and RAC1A or RAC1B. mTORC2 also regulates the phosphorylation of SGK1 at 'Ser-422'. Regulates osteoclastogensis by adjusting the expression of CEBPB isoforms (By similarity). {ECO:0000250|UniProtKB:Q9JLN9, ECO:0000269|PubMed:12087098, ECO:0000269|PubMed:12150925, ECO:0000269|PubMed:12150926, ECO:0000269|PubMed:12231510, ECO:0000269|PubMed:12718876, ECO:0000269|PubMed:14651849, ECO:0000269|PubMed:15268862, ECO:0000269|PubMed:15467718, ECO:0000269|PubMed:15545625, ECO:0000269|PubMed:15718470, ECO:0000269|PubMed:18497260, ECO:0000269|PubMed:18762023, ECO:0000269|PubMed:18925875, ECO:0000269|PubMed:20516213, ECO:0000269|PubMed:20537536, ECO:0000269|PubMed:21659604, ECO:0000269|PubMed:23429703, ECO:0000269|PubMed:23429704}.; </t>
        </is>
      </c>
      <c r="AH16" t="inlineStr">
        <is>
          <t xml:space="preserve">DISEASE: Smith-Kingsmore syndrome (SKS) [MIM:616638]: An autosomal dominant syndrome characterized by intellectual disability, macrocephaly, seizures, umbilical hernia, and facial dysmorphic features. {ECO:0000269|PubMed:25851998, ECO:0000269|PubMed:26542245}. Note=The disease is caused by mutations affecting the gene represented in this entry.; </t>
        </is>
      </c>
      <c r="AI16" t="inlineStr">
        <is>
          <t>.</t>
        </is>
      </c>
      <c r="AJ16" t="inlineStr">
        <is>
          <t>.</t>
        </is>
      </c>
      <c r="AK16" t="inlineStr">
        <is>
          <t>.</t>
        </is>
      </c>
      <c r="AL16" t="inlineStr">
        <is>
          <t>.</t>
        </is>
      </c>
    </row>
    <row r="17">
      <c r="A17" t="inlineStr"/>
      <c r="B17">
        <f>HYPERLINK("https://genome.ucsc.edu/cgi-bin/hgTracks?db=hg19&amp;position=chr1%3A12337667%2D12337667", "chr1:12337667")</f>
        <v/>
      </c>
      <c r="C17" t="inlineStr">
        <is>
          <t>chr1</t>
        </is>
      </c>
      <c r="D17" t="n">
        <v>12337667</v>
      </c>
      <c r="E17" t="n">
        <v>12337667</v>
      </c>
      <c r="F17" t="inlineStr">
        <is>
          <t>C</t>
        </is>
      </c>
      <c r="G17" t="inlineStr">
        <is>
          <t>T</t>
        </is>
      </c>
      <c r="H17" t="inlineStr">
        <is>
          <t>1719.64</t>
        </is>
      </c>
      <c r="I17" t="inlineStr">
        <is>
          <t>143</t>
        </is>
      </c>
      <c r="J17" t="inlineStr">
        <is>
          <t>77,66</t>
        </is>
      </c>
      <c r="K17" t="inlineStr">
        <is>
          <t>.</t>
        </is>
      </c>
      <c r="L17">
        <f>HYPERLINK("https://www.ncbi.nlm.nih.gov/snp/rs12407578", "rs12407578")</f>
        <v/>
      </c>
      <c r="M17">
        <f>HYPERLINK("https://www.genecards.org/Search/Keyword?queryString=%5Baliases%5D(%20VPS13D%20)&amp;keywords=VPS13D", "VPS13D")</f>
        <v/>
      </c>
      <c r="N17" t="inlineStr">
        <is>
          <t>exonic</t>
        </is>
      </c>
      <c r="O17" t="inlineStr">
        <is>
          <t>nonsynonymous SNV</t>
        </is>
      </c>
      <c r="P17" t="inlineStr">
        <is>
          <t>VPS13D:NM_015378:exon19:c.C4022T:p.S1341L,VPS13D:NM_018156:exon19:c.C4022T:p.S1341L;VPS13D:uc001atx.3:exon1:c.C1586T:p.S529L,VPS13D:uc001atv.3:exon19:c.C4022T:p.S1341L,VPS13D:uc001atw.3:exon19:c.C4022T:p.S1341L;VPS13D:ENST00000613099.4_5:exon19:c.C4022T:p.S1341L,VPS13D:ENST00000620676.6_11:exon19:c.C4022T:p.S1341L</t>
        </is>
      </c>
      <c r="Q17" t="n">
        <v>0.01462</v>
      </c>
      <c r="R17" t="n">
        <v>0.0035</v>
      </c>
      <c r="S17" t="n">
        <v>0.004</v>
      </c>
      <c r="T17" t="n">
        <v>-1</v>
      </c>
      <c r="U17" t="n">
        <v>0.0025</v>
      </c>
      <c r="V17" t="inlineStr">
        <is>
          <t>4/8</t>
        </is>
      </c>
      <c r="W17" t="inlineStr">
        <is>
          <t>.</t>
        </is>
      </c>
      <c r="X17" t="inlineStr">
        <is>
          <t>.</t>
        </is>
      </c>
      <c r="Y17" t="inlineStr">
        <is>
          <t>.</t>
        </is>
      </c>
      <c r="Z17" t="inlineStr">
        <is>
          <t>3/7</t>
        </is>
      </c>
      <c r="AA17" t="inlineStr">
        <is>
          <t>Uncertain significance</t>
        </is>
      </c>
      <c r="AB17" t="inlineStr">
        <is>
          <t>.</t>
        </is>
      </c>
      <c r="AC17" t="inlineStr">
        <is>
          <t>0/1</t>
        </is>
      </c>
      <c r="AD17" t="inlineStr">
        <is>
          <t>1</t>
        </is>
      </c>
      <c r="AE17" t="inlineStr">
        <is>
          <t>0.999992132395372</t>
        </is>
      </c>
      <c r="AF17" t="inlineStr">
        <is>
          <t>vacuolar protein sorting 13 homolog D (S. cerevisiae)</t>
        </is>
      </c>
      <c r="AG17" t="inlineStr">
        <is>
          <t>.</t>
        </is>
      </c>
      <c r="AH17" t="inlineStr">
        <is>
          <t>.</t>
        </is>
      </c>
      <c r="AI17" t="inlineStr">
        <is>
          <t>.</t>
        </is>
      </c>
      <c r="AJ17" t="inlineStr">
        <is>
          <t>.</t>
        </is>
      </c>
      <c r="AK17" t="inlineStr">
        <is>
          <t>.</t>
        </is>
      </c>
      <c r="AL17" t="inlineStr">
        <is>
          <t>.</t>
        </is>
      </c>
    </row>
    <row r="18">
      <c r="A18" t="inlineStr"/>
      <c r="B18">
        <f>HYPERLINK("https://genome.ucsc.edu/cgi-bin/hgTracks?db=hg19&amp;position=chr1%3A12726169%2D12726169", "chr1:12726169")</f>
        <v/>
      </c>
      <c r="C18" t="inlineStr">
        <is>
          <t>chr1</t>
        </is>
      </c>
      <c r="D18" t="n">
        <v>12726169</v>
      </c>
      <c r="E18" t="n">
        <v>12726169</v>
      </c>
      <c r="F18" t="inlineStr">
        <is>
          <t>G</t>
        </is>
      </c>
      <c r="G18" t="inlineStr">
        <is>
          <t>A</t>
        </is>
      </c>
      <c r="H18" t="inlineStr">
        <is>
          <t>2653.64</t>
        </is>
      </c>
      <c r="I18" t="inlineStr">
        <is>
          <t>185</t>
        </is>
      </c>
      <c r="J18" t="inlineStr">
        <is>
          <t>85,100</t>
        </is>
      </c>
      <c r="K18" t="inlineStr">
        <is>
          <t>.</t>
        </is>
      </c>
      <c r="L18">
        <f>HYPERLINK("https://www.ncbi.nlm.nih.gov/snp/rs146900669", "rs146900669")</f>
        <v/>
      </c>
      <c r="M18">
        <f>HYPERLINK("https://www.genecards.org/Search/Keyword?queryString=%5Baliases%5D(%20AADACL4%20)&amp;keywords=AADACL4", "AADACL4")</f>
        <v/>
      </c>
      <c r="N18" t="inlineStr">
        <is>
          <t>exonic</t>
        </is>
      </c>
      <c r="O18" t="inlineStr">
        <is>
          <t>nonsynonymous SNV</t>
        </is>
      </c>
      <c r="P18" t="inlineStr">
        <is>
          <t>AADACL4:NM_001013630:exon4:c.G647A:p.R216Q;AADACL4:uc001auf.3:exon4:c.G647A:p.R216Q;AADACL4:ENST00000376221.2_3:exon4:c.G647A:p.R216Q</t>
        </is>
      </c>
      <c r="Q18" t="n">
        <v>0.0127</v>
      </c>
      <c r="R18" t="n">
        <v>0.0047</v>
      </c>
      <c r="S18" t="n">
        <v>0.0046</v>
      </c>
      <c r="T18" t="n">
        <v>-1</v>
      </c>
      <c r="U18" t="n">
        <v>0.0038</v>
      </c>
      <c r="V18" t="inlineStr">
        <is>
          <t>3/10</t>
        </is>
      </c>
      <c r="W18" t="inlineStr">
        <is>
          <t>.</t>
        </is>
      </c>
      <c r="X18" t="inlineStr">
        <is>
          <t>.</t>
        </is>
      </c>
      <c r="Y18" t="inlineStr">
        <is>
          <t>.</t>
        </is>
      </c>
      <c r="Z18" t="inlineStr">
        <is>
          <t>1/7</t>
        </is>
      </c>
      <c r="AA18" t="inlineStr">
        <is>
          <t>Uncertain significance</t>
        </is>
      </c>
      <c r="AB18" t="inlineStr">
        <is>
          <t>.</t>
        </is>
      </c>
      <c r="AC18" t="inlineStr">
        <is>
          <t>0/1</t>
        </is>
      </c>
      <c r="AD18" t="inlineStr">
        <is>
          <t>1</t>
        </is>
      </c>
      <c r="AE18" t="inlineStr">
        <is>
          <t>0.000547686324044419</t>
        </is>
      </c>
      <c r="AF18" t="inlineStr">
        <is>
          <t>arylacetamide deacetylase-like 4</t>
        </is>
      </c>
      <c r="AG18" t="inlineStr">
        <is>
          <t>.</t>
        </is>
      </c>
      <c r="AH18" t="inlineStr">
        <is>
          <t>.</t>
        </is>
      </c>
      <c r="AI18" t="inlineStr">
        <is>
          <t>.</t>
        </is>
      </c>
      <c r="AJ18" t="inlineStr">
        <is>
          <t>.</t>
        </is>
      </c>
      <c r="AK18" t="inlineStr">
        <is>
          <t>.</t>
        </is>
      </c>
      <c r="AL18" t="inlineStr">
        <is>
          <t>.</t>
        </is>
      </c>
    </row>
    <row r="19">
      <c r="A19" t="inlineStr"/>
      <c r="B19">
        <f>HYPERLINK("https://genome.ucsc.edu/cgi-bin/hgTracks?db=hg19&amp;position=chr1%3A16355985%2D16355985", "chr1:16355985")</f>
        <v/>
      </c>
      <c r="C19" t="inlineStr">
        <is>
          <t>chr1</t>
        </is>
      </c>
      <c r="D19" t="n">
        <v>16355985</v>
      </c>
      <c r="E19" t="n">
        <v>16355985</v>
      </c>
      <c r="F19" t="inlineStr">
        <is>
          <t>A</t>
        </is>
      </c>
      <c r="G19" t="inlineStr">
        <is>
          <t>G</t>
        </is>
      </c>
      <c r="H19" t="inlineStr">
        <is>
          <t>49.64</t>
        </is>
      </c>
      <c r="I19" t="inlineStr">
        <is>
          <t>11</t>
        </is>
      </c>
      <c r="J19" t="inlineStr">
        <is>
          <t>9,2</t>
        </is>
      </c>
      <c r="K19" t="inlineStr">
        <is>
          <t>.</t>
        </is>
      </c>
      <c r="L19" t="inlineStr">
        <is>
          <t>.</t>
        </is>
      </c>
      <c r="M19">
        <f>HYPERLINK("https://www.genecards.org/Search/Keyword?queryString=%5Baliases%5D(%20CLCNKA%20)%20OR%20%5Baliases%5D(%20CLCNKB%20)&amp;keywords=CLCNKA,CLCNKB", "CLCNKA;CLCNKB")</f>
        <v/>
      </c>
      <c r="N19" t="inlineStr">
        <is>
          <t>intronic</t>
        </is>
      </c>
      <c r="O19" t="inlineStr">
        <is>
          <t>.</t>
        </is>
      </c>
      <c r="P19" t="inlineStr">
        <is>
          <t>.</t>
        </is>
      </c>
      <c r="Q19" t="n">
        <v>-1</v>
      </c>
      <c r="R19" t="n">
        <v>-1</v>
      </c>
      <c r="S19" t="n">
        <v>-1</v>
      </c>
      <c r="T19" t="n">
        <v>-1</v>
      </c>
      <c r="U19" t="n">
        <v>-1</v>
      </c>
      <c r="V19" t="inlineStr">
        <is>
          <t>.</t>
        </is>
      </c>
      <c r="W19" t="inlineStr">
        <is>
          <t>.</t>
        </is>
      </c>
      <c r="X19" t="inlineStr">
        <is>
          <t>PD</t>
        </is>
      </c>
      <c r="Y19" t="inlineStr">
        <is>
          <t>off</t>
        </is>
      </c>
      <c r="Z19" t="inlineStr">
        <is>
          <t>.</t>
        </is>
      </c>
      <c r="AA19" t="inlineStr">
        <is>
          <t>.</t>
        </is>
      </c>
      <c r="AB19" t="inlineStr">
        <is>
          <t>.</t>
        </is>
      </c>
      <c r="AC19" t="inlineStr">
        <is>
          <t>.</t>
        </is>
      </c>
      <c r="AD19" t="inlineStr">
        <is>
          <t>2;2</t>
        </is>
      </c>
      <c r="AE19" t="inlineStr">
        <is>
          <t>2.74927659103062e-14;7.80835912699469e-12</t>
        </is>
      </c>
      <c r="AF19" t="inlineStr">
        <is>
          <t>chloride voltage-gated channel Ka;chloride voltage-gated channel Kb</t>
        </is>
      </c>
      <c r="AG19" t="inlineStr">
        <is>
          <t xml:space="preserve">FUNCTION: Voltage-gated chloride channel. Chloride channels have several functions including the regulation of cell volume; membrane potential stabilization, signal transduction and transepithelial transport. May be important in urinary concentrating mechanisms. {ECO:0000269|PubMed:11734858}.; ;FUNCTION: Voltage-gated chloride channel. Chloride channels have several functions including the regulation of cell volume; membrane potential stabilization, signal transduction and transepithelial transport. May be important in urinary concentrating mechanisms.; </t>
        </is>
      </c>
      <c r="AH19" t="inlineStr">
        <is>
          <t xml:space="preserve">DISEASE: Bartter syndrome 4B (BS4B) [MIM:613090]: A digenic, recessive disorder characterized by impaired salt reabsorption in the thick ascending loop of Henle with pronounced salt wasting, hypokalemic metabolic alkalosis, and varying degrees of hypercalciuria. Bartter syndrome type 4B is associated with sensorineural deafness. {ECO:0000269|PubMed:15044642, ECO:0000269|PubMed:18310267}. Note=The disease is caused by mutations affecting distinct genetic loci, including the gene represented in this entry. Loss-of-function of both CLCNKA and CLCNKB results in the disease phenotype (PubMed:18310267). {ECO:0000269|PubMed:18310267}.; </t>
        </is>
      </c>
      <c r="AI19" t="inlineStr">
        <is>
          <t>.</t>
        </is>
      </c>
      <c r="AJ19" t="inlineStr">
        <is>
          <t>.</t>
        </is>
      </c>
      <c r="AK19" t="inlineStr">
        <is>
          <t>.</t>
        </is>
      </c>
      <c r="AL19" t="inlineStr">
        <is>
          <t>.</t>
        </is>
      </c>
    </row>
    <row r="20">
      <c r="A20" t="inlineStr"/>
      <c r="B20">
        <f>HYPERLINK("https://genome.ucsc.edu/cgi-bin/hgTracks?db=hg19&amp;position=chr1%3A16355986%2D16355986", "chr1:16355986")</f>
        <v/>
      </c>
      <c r="C20" t="inlineStr">
        <is>
          <t>chr1</t>
        </is>
      </c>
      <c r="D20" t="n">
        <v>16355986</v>
      </c>
      <c r="E20" t="n">
        <v>16355986</v>
      </c>
      <c r="F20" t="inlineStr">
        <is>
          <t>A</t>
        </is>
      </c>
      <c r="G20" t="inlineStr">
        <is>
          <t>G</t>
        </is>
      </c>
      <c r="H20" t="inlineStr">
        <is>
          <t>49.64</t>
        </is>
      </c>
      <c r="I20" t="inlineStr">
        <is>
          <t>11</t>
        </is>
      </c>
      <c r="J20" t="inlineStr">
        <is>
          <t>9,2</t>
        </is>
      </c>
      <c r="K20" t="inlineStr">
        <is>
          <t>.</t>
        </is>
      </c>
      <c r="L20" t="inlineStr">
        <is>
          <t>.</t>
        </is>
      </c>
      <c r="M20">
        <f>HYPERLINK("https://www.genecards.org/Search/Keyword?queryString=%5Baliases%5D(%20CLCNKA%20)%20OR%20%5Baliases%5D(%20CLCNKB%20)&amp;keywords=CLCNKA,CLCNKB", "CLCNKA;CLCNKB")</f>
        <v/>
      </c>
      <c r="N20" t="inlineStr">
        <is>
          <t>intronic</t>
        </is>
      </c>
      <c r="O20" t="inlineStr">
        <is>
          <t>.</t>
        </is>
      </c>
      <c r="P20" t="inlineStr">
        <is>
          <t>.</t>
        </is>
      </c>
      <c r="Q20" t="n">
        <v>-1</v>
      </c>
      <c r="R20" t="n">
        <v>-1</v>
      </c>
      <c r="S20" t="n">
        <v>-1</v>
      </c>
      <c r="T20" t="n">
        <v>-1</v>
      </c>
      <c r="U20" t="n">
        <v>-1</v>
      </c>
      <c r="V20" t="inlineStr">
        <is>
          <t>.</t>
        </is>
      </c>
      <c r="W20" t="inlineStr">
        <is>
          <t>.</t>
        </is>
      </c>
      <c r="X20" t="inlineStr">
        <is>
          <t>D</t>
        </is>
      </c>
      <c r="Y20" t="inlineStr">
        <is>
          <t>off</t>
        </is>
      </c>
      <c r="Z20" t="inlineStr">
        <is>
          <t>.</t>
        </is>
      </c>
      <c r="AA20" t="inlineStr">
        <is>
          <t>.</t>
        </is>
      </c>
      <c r="AB20" t="inlineStr">
        <is>
          <t>.</t>
        </is>
      </c>
      <c r="AC20" t="inlineStr">
        <is>
          <t>.</t>
        </is>
      </c>
      <c r="AD20" t="inlineStr">
        <is>
          <t>2;2</t>
        </is>
      </c>
      <c r="AE20" t="inlineStr">
        <is>
          <t>2.74927659103062e-14;7.80835912699469e-12</t>
        </is>
      </c>
      <c r="AF20" t="inlineStr">
        <is>
          <t>chloride voltage-gated channel Ka;chloride voltage-gated channel Kb</t>
        </is>
      </c>
      <c r="AG20" t="inlineStr">
        <is>
          <t xml:space="preserve">FUNCTION: Voltage-gated chloride channel. Chloride channels have several functions including the regulation of cell volume; membrane potential stabilization, signal transduction and transepithelial transport. May be important in urinary concentrating mechanisms. {ECO:0000269|PubMed:11734858}.; ;FUNCTION: Voltage-gated chloride channel. Chloride channels have several functions including the regulation of cell volume; membrane potential stabilization, signal transduction and transepithelial transport. May be important in urinary concentrating mechanisms.; </t>
        </is>
      </c>
      <c r="AH20" t="inlineStr">
        <is>
          <t xml:space="preserve">DISEASE: Bartter syndrome 4B (BS4B) [MIM:613090]: A digenic, recessive disorder characterized by impaired salt reabsorption in the thick ascending loop of Henle with pronounced salt wasting, hypokalemic metabolic alkalosis, and varying degrees of hypercalciuria. Bartter syndrome type 4B is associated with sensorineural deafness. {ECO:0000269|PubMed:15044642, ECO:0000269|PubMed:18310267}. Note=The disease is caused by mutations affecting distinct genetic loci, including the gene represented in this entry. Loss-of-function of both CLCNKA and CLCNKB results in the disease phenotype (PubMed:18310267). {ECO:0000269|PubMed:18310267}.; </t>
        </is>
      </c>
      <c r="AI20" t="inlineStr">
        <is>
          <t>.</t>
        </is>
      </c>
      <c r="AJ20" t="inlineStr">
        <is>
          <t>.</t>
        </is>
      </c>
      <c r="AK20" t="inlineStr">
        <is>
          <t>.</t>
        </is>
      </c>
      <c r="AL20" t="inlineStr">
        <is>
          <t>.</t>
        </is>
      </c>
    </row>
    <row r="21">
      <c r="A21" t="inlineStr"/>
      <c r="B21">
        <f>HYPERLINK("https://genome.ucsc.edu/cgi-bin/hgTracks?db=hg19&amp;position=chr1%3A19282463%2D19282463", "chr1:19282463")</f>
        <v/>
      </c>
      <c r="C21" t="inlineStr">
        <is>
          <t>chr1</t>
        </is>
      </c>
      <c r="D21" t="n">
        <v>19282463</v>
      </c>
      <c r="E21" t="n">
        <v>19282463</v>
      </c>
      <c r="F21" t="inlineStr">
        <is>
          <t>C</t>
        </is>
      </c>
      <c r="G21" t="inlineStr">
        <is>
          <t>G</t>
        </is>
      </c>
      <c r="H21" t="inlineStr">
        <is>
          <t>661.64</t>
        </is>
      </c>
      <c r="I21" t="inlineStr">
        <is>
          <t>54</t>
        </is>
      </c>
      <c r="J21" t="inlineStr">
        <is>
          <t>24,30</t>
        </is>
      </c>
      <c r="K21" t="inlineStr">
        <is>
          <t>.</t>
        </is>
      </c>
      <c r="L21">
        <f>HYPERLINK("https://www.ncbi.nlm.nih.gov/snp/rs753573184", "rs753573184")</f>
        <v/>
      </c>
      <c r="M21">
        <f>HYPERLINK("https://www.genecards.org/Search/Keyword?queryString=%5Baliases%5D(%20IFFO2%20)&amp;keywords=IFFO2", "IFFO2")</f>
        <v/>
      </c>
      <c r="N21" t="inlineStr">
        <is>
          <t>exonic</t>
        </is>
      </c>
      <c r="O21" t="inlineStr">
        <is>
          <t>nonsynonymous SNV</t>
        </is>
      </c>
      <c r="P21" t="inlineStr">
        <is>
          <t>IFFO2:NM_001136265:exon1:c.G364C:p.G122R;IFFO2:uc001bbd.2:exon1:c.G364C:p.G122R;IFFO2:ENST00000455833.7_7:exon1:c.G364C:p.G122R</t>
        </is>
      </c>
      <c r="Q21" t="n">
        <v>0.000887</v>
      </c>
      <c r="R21" t="n">
        <v>0.0002</v>
      </c>
      <c r="S21" t="n">
        <v>-1</v>
      </c>
      <c r="T21" t="n">
        <v>-1</v>
      </c>
      <c r="U21" t="n">
        <v>-1</v>
      </c>
      <c r="V21" t="inlineStr">
        <is>
          <t>3/11</t>
        </is>
      </c>
      <c r="W21" t="inlineStr">
        <is>
          <t>.</t>
        </is>
      </c>
      <c r="X21" t="inlineStr">
        <is>
          <t>.</t>
        </is>
      </c>
      <c r="Y21" t="inlineStr">
        <is>
          <t>.</t>
        </is>
      </c>
      <c r="Z21" t="inlineStr">
        <is>
          <t>0/7</t>
        </is>
      </c>
      <c r="AA21" t="inlineStr">
        <is>
          <t>Uncertain significance</t>
        </is>
      </c>
      <c r="AB21" t="inlineStr">
        <is>
          <t>.</t>
        </is>
      </c>
      <c r="AC21" t="inlineStr">
        <is>
          <t>0/1</t>
        </is>
      </c>
      <c r="AD21" t="inlineStr">
        <is>
          <t>1</t>
        </is>
      </c>
      <c r="AE21" t="inlineStr">
        <is>
          <t>0.382583916452741</t>
        </is>
      </c>
      <c r="AF21" t="inlineStr">
        <is>
          <t>intermediate filament family orphan 2</t>
        </is>
      </c>
      <c r="AG21" t="inlineStr">
        <is>
          <t>.</t>
        </is>
      </c>
      <c r="AH21" t="inlineStr">
        <is>
          <t>.</t>
        </is>
      </c>
      <c r="AI21" t="inlineStr">
        <is>
          <t>.</t>
        </is>
      </c>
      <c r="AJ21" t="inlineStr">
        <is>
          <t>.</t>
        </is>
      </c>
      <c r="AK21" t="inlineStr">
        <is>
          <t>.</t>
        </is>
      </c>
      <c r="AL21" t="inlineStr">
        <is>
          <t>.</t>
        </is>
      </c>
    </row>
    <row r="22">
      <c r="A22" t="inlineStr"/>
      <c r="B22">
        <f>HYPERLINK("https://genome.ucsc.edu/cgi-bin/hgTracks?db=hg19&amp;position=chr1%3A20246804%2D20246804", "chr1:20246804")</f>
        <v/>
      </c>
      <c r="C22" t="inlineStr">
        <is>
          <t>chr1</t>
        </is>
      </c>
      <c r="D22" t="n">
        <v>20246804</v>
      </c>
      <c r="E22" t="n">
        <v>20246804</v>
      </c>
      <c r="F22" t="inlineStr">
        <is>
          <t>C</t>
        </is>
      </c>
      <c r="G22" t="inlineStr">
        <is>
          <t>T</t>
        </is>
      </c>
      <c r="H22" t="inlineStr">
        <is>
          <t>554.64</t>
        </is>
      </c>
      <c r="I22" t="inlineStr">
        <is>
          <t>110</t>
        </is>
      </c>
      <c r="J22" t="inlineStr">
        <is>
          <t>79,31</t>
        </is>
      </c>
      <c r="K22" t="inlineStr">
        <is>
          <t>.</t>
        </is>
      </c>
      <c r="L22" t="inlineStr">
        <is>
          <t>.</t>
        </is>
      </c>
      <c r="M22">
        <f>HYPERLINK("https://www.genecards.org/Search/Keyword?queryString=%5Baliases%5D(%20PLA2G2E%20)&amp;keywords=PLA2G2E", "PLA2G2E")</f>
        <v/>
      </c>
      <c r="N22" t="inlineStr">
        <is>
          <t>exonic</t>
        </is>
      </c>
      <c r="O22" t="inlineStr">
        <is>
          <t>nonsynonymous SNV</t>
        </is>
      </c>
      <c r="P22" t="inlineStr">
        <is>
          <t>PLA2G2E:NM_014589:exon4:c.G425A:p.C142Y;PLA2G2E:uc001bct.1:exon4:c.G425A:p.C142Y;PLA2G2E:ENST00000375116.3_5:exon4:c.G425A:p.C142Y</t>
        </is>
      </c>
      <c r="Q22" t="n">
        <v>-1</v>
      </c>
      <c r="R22" t="n">
        <v>-1</v>
      </c>
      <c r="S22" t="n">
        <v>-1</v>
      </c>
      <c r="T22" t="n">
        <v>-1</v>
      </c>
      <c r="U22" t="n">
        <v>-1</v>
      </c>
      <c r="V22" t="inlineStr">
        <is>
          <t>8/12</t>
        </is>
      </c>
      <c r="W22" t="inlineStr">
        <is>
          <t>.</t>
        </is>
      </c>
      <c r="X22" t="inlineStr">
        <is>
          <t>.</t>
        </is>
      </c>
      <c r="Y22" t="inlineStr">
        <is>
          <t>.</t>
        </is>
      </c>
      <c r="Z22" t="inlineStr">
        <is>
          <t>2/7</t>
        </is>
      </c>
      <c r="AA22" t="inlineStr">
        <is>
          <t>Uncertain significance</t>
        </is>
      </c>
      <c r="AB22" t="inlineStr">
        <is>
          <t>.</t>
        </is>
      </c>
      <c r="AC22" t="inlineStr">
        <is>
          <t>0/1</t>
        </is>
      </c>
      <c r="AD22" t="inlineStr">
        <is>
          <t>1</t>
        </is>
      </c>
      <c r="AE22" t="inlineStr">
        <is>
          <t>0.000343166465007747</t>
        </is>
      </c>
      <c r="AF22" t="inlineStr">
        <is>
          <t>phospholipase A2 group IIE</t>
        </is>
      </c>
      <c r="AG22" t="inlineStr">
        <is>
          <t xml:space="preserve">FUNCTION: PA2 catalyzes the calcium-dependent hydrolysis of the 2- acyl groups in 3-sn-phosphoglycerides. Has a preference for arachidonic-containing phospholipids.; </t>
        </is>
      </c>
      <c r="AH22" t="inlineStr">
        <is>
          <t>.</t>
        </is>
      </c>
      <c r="AI22" t="inlineStr">
        <is>
          <t>.</t>
        </is>
      </c>
      <c r="AJ22" t="inlineStr">
        <is>
          <t>.</t>
        </is>
      </c>
      <c r="AK22" t="inlineStr">
        <is>
          <t>.</t>
        </is>
      </c>
      <c r="AL22" t="inlineStr">
        <is>
          <t>.</t>
        </is>
      </c>
    </row>
    <row r="23">
      <c r="A23" t="inlineStr"/>
      <c r="B23">
        <f>HYPERLINK("https://genome.ucsc.edu/cgi-bin/hgTracks?db=hg19&amp;position=chr1%3A20972377%2D20972377", "chr1:20972377")</f>
        <v/>
      </c>
      <c r="C23" t="inlineStr">
        <is>
          <t>chr1</t>
        </is>
      </c>
      <c r="D23" t="n">
        <v>20972377</v>
      </c>
      <c r="E23" t="n">
        <v>20972377</v>
      </c>
      <c r="F23" t="inlineStr">
        <is>
          <t>-</t>
        </is>
      </c>
      <c r="G23" t="inlineStr">
        <is>
          <t>T</t>
        </is>
      </c>
      <c r="H23" t="inlineStr">
        <is>
          <t>31.60</t>
        </is>
      </c>
      <c r="I23" t="inlineStr">
        <is>
          <t>6</t>
        </is>
      </c>
      <c r="J23" t="inlineStr">
        <is>
          <t>4,2</t>
        </is>
      </c>
      <c r="K23" t="inlineStr">
        <is>
          <t>.</t>
        </is>
      </c>
      <c r="L23" t="inlineStr">
        <is>
          <t>.</t>
        </is>
      </c>
      <c r="M23">
        <f>HYPERLINK("https://www.genecards.org/Search/Keyword?queryString=%5Baliases%5D(%20PINK1%20)%20OR%20%5Baliases%5D(%20PINK1-AS%20)&amp;keywords=PINK1,PINK1-AS", "PINK1;PINK1-AS")</f>
        <v/>
      </c>
      <c r="N23" t="inlineStr">
        <is>
          <t>intronic;ncRNA_intronic</t>
        </is>
      </c>
      <c r="O23" t="inlineStr">
        <is>
          <t>.</t>
        </is>
      </c>
      <c r="P23" t="inlineStr">
        <is>
          <t>.</t>
        </is>
      </c>
      <c r="Q23" t="n">
        <v>0.0002305</v>
      </c>
      <c r="R23" t="n">
        <v>0.0001</v>
      </c>
      <c r="S23" t="n">
        <v>0.0003</v>
      </c>
      <c r="T23" t="n">
        <v>-1</v>
      </c>
      <c r="U23" t="n">
        <v>0.0002</v>
      </c>
      <c r="V23" t="inlineStr">
        <is>
          <t>.</t>
        </is>
      </c>
      <c r="W23" t="inlineStr">
        <is>
          <t>.</t>
        </is>
      </c>
      <c r="X23" t="inlineStr">
        <is>
          <t>.</t>
        </is>
      </c>
      <c r="Y23" t="inlineStr">
        <is>
          <t>.</t>
        </is>
      </c>
      <c r="Z23" t="inlineStr">
        <is>
          <t>.</t>
        </is>
      </c>
      <c r="AA23" t="inlineStr">
        <is>
          <t>.</t>
        </is>
      </c>
      <c r="AB23" t="inlineStr">
        <is>
          <t>.</t>
        </is>
      </c>
      <c r="AC23" t="inlineStr">
        <is>
          <t>0/1</t>
        </is>
      </c>
      <c r="AD23" t="inlineStr">
        <is>
          <t>1;1</t>
        </is>
      </c>
      <c r="AE23" t="inlineStr">
        <is>
          <t>4.0835436809341e-07</t>
        </is>
      </c>
      <c r="AF23" t="inlineStr">
        <is>
          <t>PINK1 antisense RNA;PTEN induced putative kinase 1</t>
        </is>
      </c>
      <c r="AG23" t="inlineStr">
        <is>
          <t xml:space="preserve">FUNCTION: Protects against mitochondrial dysfunction during cellular stress by phosphorylating mitochondrial proteins. Involved in the clearance of damaged mitochondria via selective autophagy (mitophagy) by mediating activation and translocation of PARK2. Targets PARK2 to dysfunctional depolarized mitochondria through the phosphorylation of MFN2. Activates PARK2 in 2 steps: (1) by mediating phosphorylation at 'Ser-65' of PARK2 and (2) mediating phosphorylation of ubiquitin, converting PARK2 to its fully-active form (PubMed:24660806, PubMed:24751536, PubMed:24784582, PubMed:25527291). {ECO:0000269|PubMed:14607334, ECO:0000269|PubMed:15087508, ECO:0000269|PubMed:19229105, ECO:0000269|PubMed:19966284, ECO:0000269|PubMed:20404107, ECO:0000269|PubMed:20798600, ECO:0000269|PubMed:23620051, ECO:0000269|PubMed:23754282, ECO:0000269|PubMed:23933751, ECO:0000269|PubMed:24660806, ECO:0000269|PubMed:24751536, ECO:0000269|PubMed:24784582, ECO:0000269|PubMed:24896179, ECO:0000269|PubMed:25527291}.; </t>
        </is>
      </c>
      <c r="AH23" t="inlineStr">
        <is>
          <t xml:space="preserve">DISEASE: Parkinson disease 6 (PARK6) [MIM:605909]: A neurodegenerative disorder characterized by parkinsonian signs such as rigidity, resting tremor and bradykinesia. A subset of patients manifest additional symptoms including hyperreflexia, autonomic instability, dementia and psychiatric disturbances. Symptoms show diurnal fluctuation and can improve after sleep. {ECO:0000269|PubMed:15087508, ECO:0000269|PubMed:15349860, ECO:0000269|PubMed:15349870, ECO:0000269|PubMed:15505171, ECO:0000269|PubMed:15596610, ECO:0000269|PubMed:15955953, ECO:0000269|PubMed:15970950, ECO:0000269|PubMed:16009891, ECO:0000269|PubMed:16207217, ECO:0000269|PubMed:16257123, ECO:0000269|PubMed:16401616, ECO:0000269|PubMed:16482571, ECO:0000269|PubMed:16632486, ECO:0000269|PubMed:16966503, ECO:0000269|PubMed:17030667, ECO:0000269|PubMed:18286320, ECO:0000269|PubMed:22956510}. Note=The disease is caused by mutations affecting the gene represented in this entry.; </t>
        </is>
      </c>
      <c r="AI23" t="inlineStr">
        <is>
          <t>.</t>
        </is>
      </c>
      <c r="AJ23" t="inlineStr">
        <is>
          <t>.</t>
        </is>
      </c>
      <c r="AK23" t="inlineStr">
        <is>
          <t>.</t>
        </is>
      </c>
      <c r="AL23" t="inlineStr">
        <is>
          <t>.</t>
        </is>
      </c>
    </row>
    <row r="24">
      <c r="A24" t="inlineStr"/>
      <c r="B24">
        <f>HYPERLINK("https://genome.ucsc.edu/cgi-bin/hgTracks?db=hg19&amp;position=chr1%3A21948831%2D21948831", "chr1:21948831")</f>
        <v/>
      </c>
      <c r="C24" t="inlineStr">
        <is>
          <t>chr1</t>
        </is>
      </c>
      <c r="D24" t="n">
        <v>21948831</v>
      </c>
      <c r="E24" t="n">
        <v>21948831</v>
      </c>
      <c r="F24" t="inlineStr">
        <is>
          <t>C</t>
        </is>
      </c>
      <c r="G24" t="inlineStr">
        <is>
          <t>T</t>
        </is>
      </c>
      <c r="H24" t="inlineStr">
        <is>
          <t>300.64</t>
        </is>
      </c>
      <c r="I24" t="inlineStr">
        <is>
          <t>29</t>
        </is>
      </c>
      <c r="J24" t="inlineStr">
        <is>
          <t>16,13</t>
        </is>
      </c>
      <c r="K24" t="inlineStr">
        <is>
          <t>.</t>
        </is>
      </c>
      <c r="L24">
        <f>HYPERLINK("https://www.ncbi.nlm.nih.gov/snp/rs544721510", "rs544721510")</f>
        <v/>
      </c>
      <c r="M24">
        <f>HYPERLINK("https://www.genecards.org/Search/Keyword?queryString=%5Baliases%5D(%20RAP1GAP%20)&amp;keywords=RAP1GAP", "RAP1GAP")</f>
        <v/>
      </c>
      <c r="N24" t="inlineStr">
        <is>
          <t>intronic;splicing</t>
        </is>
      </c>
      <c r="O24" t="inlineStr">
        <is>
          <t>.</t>
        </is>
      </c>
      <c r="P24" t="inlineStr">
        <is>
          <t>uc001bez.1:exon1:c.75+1G&gt;A;ENST00000374761.6_4:exon1:c.75+1G&gt;A</t>
        </is>
      </c>
      <c r="Q24" t="n">
        <v>0.0025</v>
      </c>
      <c r="R24" t="n">
        <v>0.0012</v>
      </c>
      <c r="S24" t="n">
        <v>0.0014</v>
      </c>
      <c r="T24" t="n">
        <v>-1</v>
      </c>
      <c r="U24" t="n">
        <v>0.0013</v>
      </c>
      <c r="V24" t="inlineStr">
        <is>
          <t>2/2</t>
        </is>
      </c>
      <c r="W24" t="inlineStr">
        <is>
          <t>T</t>
        </is>
      </c>
      <c r="X24" t="inlineStr">
        <is>
          <t>.</t>
        </is>
      </c>
      <c r="Y24" t="inlineStr">
        <is>
          <t>.</t>
        </is>
      </c>
      <c r="Z24" t="inlineStr">
        <is>
          <t>0/7</t>
        </is>
      </c>
      <c r="AA24" t="inlineStr">
        <is>
          <t>.</t>
        </is>
      </c>
      <c r="AB24" t="inlineStr">
        <is>
          <t>.</t>
        </is>
      </c>
      <c r="AC24" t="inlineStr">
        <is>
          <t>.</t>
        </is>
      </c>
      <c r="AD24" t="inlineStr">
        <is>
          <t>1</t>
        </is>
      </c>
      <c r="AE24" t="inlineStr">
        <is>
          <t>0.974156915163255</t>
        </is>
      </c>
      <c r="AF24" t="inlineStr">
        <is>
          <t>RAP1 GTPase activating protein</t>
        </is>
      </c>
      <c r="AG24" t="inlineStr">
        <is>
          <t xml:space="preserve">FUNCTION: GTPase activator for the nuclear Ras-related regulatory protein RAP-1A (KREV-1), converting it to the putatively inactive GDP-bound state. {ECO:0000269|PubMed:15141215}.; </t>
        </is>
      </c>
      <c r="AH24" t="inlineStr">
        <is>
          <t>.</t>
        </is>
      </c>
      <c r="AI24" t="inlineStr">
        <is>
          <t>.</t>
        </is>
      </c>
      <c r="AJ24" t="inlineStr">
        <is>
          <t>.</t>
        </is>
      </c>
      <c r="AK24" t="inlineStr">
        <is>
          <t>.</t>
        </is>
      </c>
      <c r="AL24" t="inlineStr">
        <is>
          <t>.</t>
        </is>
      </c>
    </row>
    <row r="25">
      <c r="A25" t="inlineStr"/>
      <c r="B25">
        <f>HYPERLINK("https://genome.ucsc.edu/cgi-bin/hgTracks?db=hg19&amp;position=chr1%3A22050466%2D22050466", "chr1:22050466")</f>
        <v/>
      </c>
      <c r="C25" t="inlineStr">
        <is>
          <t>chr1</t>
        </is>
      </c>
      <c r="D25" t="n">
        <v>22050466</v>
      </c>
      <c r="E25" t="n">
        <v>22050466</v>
      </c>
      <c r="F25" t="inlineStr">
        <is>
          <t>A</t>
        </is>
      </c>
      <c r="G25" t="inlineStr">
        <is>
          <t>T</t>
        </is>
      </c>
      <c r="H25" t="inlineStr">
        <is>
          <t>1049.64</t>
        </is>
      </c>
      <c r="I25" t="inlineStr">
        <is>
          <t>128</t>
        </is>
      </c>
      <c r="J25" t="inlineStr">
        <is>
          <t>79,49</t>
        </is>
      </c>
      <c r="K25" t="inlineStr">
        <is>
          <t>.</t>
        </is>
      </c>
      <c r="L25">
        <f>HYPERLINK("https://www.ncbi.nlm.nih.gov/snp/rs145929456", "rs145929456")</f>
        <v/>
      </c>
      <c r="M25">
        <f>HYPERLINK("https://www.genecards.org/Search/Keyword?queryString=%5Baliases%5D(%20USP48%20)&amp;keywords=USP48", "USP48")</f>
        <v/>
      </c>
      <c r="N25" t="inlineStr">
        <is>
          <t>exonic</t>
        </is>
      </c>
      <c r="O25" t="inlineStr">
        <is>
          <t>nonsynonymous SNV</t>
        </is>
      </c>
      <c r="P25" t="inlineStr">
        <is>
          <t>USP48:NM_001330394:exon12:c.T1573A:p.S525T,USP48:NM_001350166:exon12:c.T1570A:p.S524T,USP48:NM_001350167:exon12:c.T1570A:p.S524T,USP48:NM_001350168:exon12:c.T1573A:p.S525T,USP48:NM_032236:exon12:c.T1573A:p.S525T;USP48:uc001bfa.3:exon1:c.T190A:p.S64T,USP48:uc001bfb.3:exon12:c.T1573A:p.S525T,USP48:uc001bfc.3:exon12:c.T1573A:p.S525T,USP48:uc001bfe.1:exon12:c.T1570A:p.S524T,USP48:uc010odq.2:exon12:c.T1570A:p.S524T;USP48:ENST00000374732.7_3:exon1:c.T190A:p.S64T,USP48:ENST00000308271.14_7:exon12:c.T1573A:p.S525T,USP48:ENST00000400301.5_6:exon12:c.T1573A:p.S525T,USP48:ENST00000529637.5_3:exon12:c.T1570A:p.S524T</t>
        </is>
      </c>
      <c r="Q25" t="n">
        <v>0.0009</v>
      </c>
      <c r="R25" t="n">
        <v>0.0004</v>
      </c>
      <c r="S25" t="n">
        <v>0.0004</v>
      </c>
      <c r="T25" t="n">
        <v>-1</v>
      </c>
      <c r="U25" t="n">
        <v>0.0004</v>
      </c>
      <c r="V25" t="inlineStr">
        <is>
          <t>4/11</t>
        </is>
      </c>
      <c r="W25" t="inlineStr">
        <is>
          <t>.</t>
        </is>
      </c>
      <c r="X25" t="inlineStr">
        <is>
          <t>.</t>
        </is>
      </c>
      <c r="Y25" t="inlineStr">
        <is>
          <t>.</t>
        </is>
      </c>
      <c r="Z25" t="inlineStr">
        <is>
          <t>1/7</t>
        </is>
      </c>
      <c r="AA25" t="inlineStr">
        <is>
          <t>Uncertain significance</t>
        </is>
      </c>
      <c r="AB25" t="inlineStr">
        <is>
          <t>.</t>
        </is>
      </c>
      <c r="AC25" t="inlineStr">
        <is>
          <t>0/1</t>
        </is>
      </c>
      <c r="AD25" t="inlineStr">
        <is>
          <t>1</t>
        </is>
      </c>
      <c r="AE25" t="inlineStr">
        <is>
          <t>0.999997429389181</t>
        </is>
      </c>
      <c r="AF25" t="inlineStr">
        <is>
          <t>ubiquitin specific peptidase 48</t>
        </is>
      </c>
      <c r="AG25" t="inlineStr">
        <is>
          <t xml:space="preserve">FUNCTION: Recognizes and hydrolyzes the peptide bond at the C- terminal Gly of ubiquitin. Involved in the processing of poly- ubiquitin precursors as well as that of ubiquitinated proteins. May be involved in the regulation of NF-kappa-B activation by TNF receptor superfamily via its interactions with RELA and TRAF2. May also play a regulatory role at postsynaptic sites. {ECO:0000269|PubMed:16214042}.; </t>
        </is>
      </c>
      <c r="AH25" t="inlineStr">
        <is>
          <t>.</t>
        </is>
      </c>
      <c r="AI25" t="inlineStr">
        <is>
          <t>.</t>
        </is>
      </c>
      <c r="AJ25" t="inlineStr">
        <is>
          <t>.</t>
        </is>
      </c>
      <c r="AK25" t="inlineStr">
        <is>
          <t>.</t>
        </is>
      </c>
      <c r="AL25" t="inlineStr">
        <is>
          <t>.</t>
        </is>
      </c>
    </row>
    <row r="26">
      <c r="A26" t="inlineStr"/>
      <c r="B26">
        <f>HYPERLINK("https://genome.ucsc.edu/cgi-bin/hgTracks?db=hg19&amp;position=chr1%3A24387545%2D24387545", "chr1:24387545")</f>
        <v/>
      </c>
      <c r="C26" t="inlineStr">
        <is>
          <t>chr1</t>
        </is>
      </c>
      <c r="D26" t="n">
        <v>24387545</v>
      </c>
      <c r="E26" t="n">
        <v>24387545</v>
      </c>
      <c r="F26" t="inlineStr">
        <is>
          <t>C</t>
        </is>
      </c>
      <c r="G26" t="inlineStr">
        <is>
          <t>T</t>
        </is>
      </c>
      <c r="H26" t="inlineStr">
        <is>
          <t>566.64</t>
        </is>
      </c>
      <c r="I26" t="inlineStr">
        <is>
          <t>141</t>
        </is>
      </c>
      <c r="J26" t="inlineStr">
        <is>
          <t>108,33</t>
        </is>
      </c>
      <c r="K26" t="inlineStr">
        <is>
          <t>.</t>
        </is>
      </c>
      <c r="L26" t="inlineStr">
        <is>
          <t>.</t>
        </is>
      </c>
      <c r="M26">
        <f>HYPERLINK("https://www.genecards.org/Search/Keyword?queryString=%5Baliases%5D(%20MYOM3%20)&amp;keywords=MYOM3", "MYOM3")</f>
        <v/>
      </c>
      <c r="N26" t="inlineStr">
        <is>
          <t>intronic;ncRNA_intronic</t>
        </is>
      </c>
      <c r="O26" t="inlineStr">
        <is>
          <t>.</t>
        </is>
      </c>
      <c r="P26" t="inlineStr">
        <is>
          <t>.</t>
        </is>
      </c>
      <c r="Q26" t="n">
        <v>-1</v>
      </c>
      <c r="R26" t="n">
        <v>-1</v>
      </c>
      <c r="S26" t="n">
        <v>-1</v>
      </c>
      <c r="T26" t="n">
        <v>-1</v>
      </c>
      <c r="U26" t="n">
        <v>-1</v>
      </c>
      <c r="V26" t="inlineStr">
        <is>
          <t>.</t>
        </is>
      </c>
      <c r="W26" t="inlineStr">
        <is>
          <t>D</t>
        </is>
      </c>
      <c r="X26" t="inlineStr">
        <is>
          <t>D</t>
        </is>
      </c>
      <c r="Y26" t="inlineStr">
        <is>
          <t>on</t>
        </is>
      </c>
      <c r="Z26" t="inlineStr">
        <is>
          <t>.</t>
        </is>
      </c>
      <c r="AA26" t="inlineStr">
        <is>
          <t>.</t>
        </is>
      </c>
      <c r="AB26" t="inlineStr">
        <is>
          <t>.</t>
        </is>
      </c>
      <c r="AC26" t="inlineStr">
        <is>
          <t>0/1</t>
        </is>
      </c>
      <c r="AD26" t="inlineStr">
        <is>
          <t>1</t>
        </is>
      </c>
      <c r="AE26" t="inlineStr">
        <is>
          <t>9.28408886540307e-28</t>
        </is>
      </c>
      <c r="AF26" t="inlineStr">
        <is>
          <t>myomesin 3</t>
        </is>
      </c>
      <c r="AG26" t="inlineStr">
        <is>
          <t xml:space="preserve">FUNCTION: May link the intermediate filament cytoskeleton to the M-disk of the myofibrils in striated muscle. {ECO:0000250}.; </t>
        </is>
      </c>
      <c r="AH26" t="inlineStr">
        <is>
          <t>.</t>
        </is>
      </c>
      <c r="AI26" t="inlineStr">
        <is>
          <t>.</t>
        </is>
      </c>
      <c r="AJ26" t="inlineStr">
        <is>
          <t>.</t>
        </is>
      </c>
      <c r="AK26" t="inlineStr">
        <is>
          <t>.</t>
        </is>
      </c>
      <c r="AL26" t="inlineStr">
        <is>
          <t>.</t>
        </is>
      </c>
    </row>
    <row r="27">
      <c r="A27" t="inlineStr"/>
      <c r="B27">
        <f>HYPERLINK("https://genome.ucsc.edu/cgi-bin/hgTracks?db=hg19&amp;position=chr1%3A26774229%2D26774229", "chr1:26774229")</f>
        <v/>
      </c>
      <c r="C27" t="inlineStr">
        <is>
          <t>chr1</t>
        </is>
      </c>
      <c r="D27" t="n">
        <v>26774229</v>
      </c>
      <c r="E27" t="n">
        <v>26774229</v>
      </c>
      <c r="F27" t="inlineStr">
        <is>
          <t>T</t>
        </is>
      </c>
      <c r="G27" t="inlineStr">
        <is>
          <t>C</t>
        </is>
      </c>
      <c r="H27" t="inlineStr">
        <is>
          <t>31.64</t>
        </is>
      </c>
      <c r="I27" t="inlineStr">
        <is>
          <t>17</t>
        </is>
      </c>
      <c r="J27" t="inlineStr">
        <is>
          <t>15,2</t>
        </is>
      </c>
      <c r="K27" t="inlineStr">
        <is>
          <t>.</t>
        </is>
      </c>
      <c r="L27" t="inlineStr">
        <is>
          <t>.</t>
        </is>
      </c>
      <c r="M27">
        <f>HYPERLINK("https://www.genecards.org/Search/Keyword?queryString=%5Baliases%5D(%20DHDDS%20)&amp;keywords=DHDDS", "DHDDS")</f>
        <v/>
      </c>
      <c r="N27" t="inlineStr">
        <is>
          <t>exonic;intronic</t>
        </is>
      </c>
      <c r="O27" t="inlineStr">
        <is>
          <t>nonsynonymous SNV</t>
        </is>
      </c>
      <c r="P27" t="inlineStr">
        <is>
          <t>DHDDS:ENST00000374185.7_1:exon6:c.T620C:p.L207P</t>
        </is>
      </c>
      <c r="Q27" t="n">
        <v>-1</v>
      </c>
      <c r="R27" t="n">
        <v>-1</v>
      </c>
      <c r="S27" t="n">
        <v>-1</v>
      </c>
      <c r="T27" t="n">
        <v>-1</v>
      </c>
      <c r="U27" t="n">
        <v>-1</v>
      </c>
      <c r="V27" t="inlineStr">
        <is>
          <t>3/9</t>
        </is>
      </c>
      <c r="W27" t="inlineStr">
        <is>
          <t>.</t>
        </is>
      </c>
      <c r="X27" t="inlineStr">
        <is>
          <t>.</t>
        </is>
      </c>
      <c r="Y27" t="inlineStr">
        <is>
          <t>.</t>
        </is>
      </c>
      <c r="Z27" t="inlineStr">
        <is>
          <t>0/7</t>
        </is>
      </c>
      <c r="AA27" t="inlineStr">
        <is>
          <t>.</t>
        </is>
      </c>
      <c r="AB27" t="inlineStr">
        <is>
          <t>.</t>
        </is>
      </c>
      <c r="AC27" t="inlineStr">
        <is>
          <t>.</t>
        </is>
      </c>
      <c r="AD27" t="inlineStr">
        <is>
          <t>2</t>
        </is>
      </c>
      <c r="AE27" t="inlineStr">
        <is>
          <t>0.704700922518414</t>
        </is>
      </c>
      <c r="AF27" t="inlineStr">
        <is>
          <t>dehydrodolichyl diphosphate synthase subunit</t>
        </is>
      </c>
      <c r="AG27" t="inlineStr">
        <is>
          <t xml:space="preserve">FUNCTION: With DHDDS, forms the dehydrodolichyl diphosphate syntase (DDS) complex, an essential component of the dolichol monophosphate (Dol-P) biosynthetic machinery. Adds multiple copies of isopentenyl pyrophosphate (IPP) to farnesyl pyrophosphate (FPP) to produce dehydrodolichyl diphosphate (Dedol-PP), a precusrosor of dolichol which is utilized as a sugar carrier in protein glycosylation in the endoplasmic reticulum (ER). Regulates the glycosylation and stability of nascent NPC2, thereby promoting trafficking of LDL-derived cholesterol. {ECO:0000269|PubMed:25066056, ECO:0000303|PubMed:21572394}.; </t>
        </is>
      </c>
      <c r="AH27" t="inlineStr">
        <is>
          <t>.</t>
        </is>
      </c>
      <c r="AI27" t="inlineStr">
        <is>
          <t>.</t>
        </is>
      </c>
      <c r="AJ27" t="inlineStr">
        <is>
          <t>.</t>
        </is>
      </c>
      <c r="AK27" t="inlineStr">
        <is>
          <t>.</t>
        </is>
      </c>
      <c r="AL27" t="inlineStr">
        <is>
          <t>.</t>
        </is>
      </c>
    </row>
    <row r="28">
      <c r="A28" t="inlineStr"/>
      <c r="B28">
        <f>HYPERLINK("https://genome.ucsc.edu/cgi-bin/hgTracks?db=hg19&amp;position=chr1%3A26774238%2D26774238", "chr1:26774238")</f>
        <v/>
      </c>
      <c r="C28" t="inlineStr">
        <is>
          <t>chr1</t>
        </is>
      </c>
      <c r="D28" t="n">
        <v>26774238</v>
      </c>
      <c r="E28" t="n">
        <v>26774238</v>
      </c>
      <c r="F28" t="inlineStr">
        <is>
          <t>A</t>
        </is>
      </c>
      <c r="G28" t="inlineStr">
        <is>
          <t>G</t>
        </is>
      </c>
      <c r="H28" t="inlineStr">
        <is>
          <t>31.64</t>
        </is>
      </c>
      <c r="I28" t="inlineStr">
        <is>
          <t>17</t>
        </is>
      </c>
      <c r="J28" t="inlineStr">
        <is>
          <t>15,2</t>
        </is>
      </c>
      <c r="K28" t="inlineStr">
        <is>
          <t>.</t>
        </is>
      </c>
      <c r="L28" t="inlineStr">
        <is>
          <t>.</t>
        </is>
      </c>
      <c r="M28">
        <f>HYPERLINK("https://www.genecards.org/Search/Keyword?queryString=%5Baliases%5D(%20DHDDS%20)&amp;keywords=DHDDS", "DHDDS")</f>
        <v/>
      </c>
      <c r="N28" t="inlineStr">
        <is>
          <t>exonic;intronic</t>
        </is>
      </c>
      <c r="O28" t="inlineStr">
        <is>
          <t>stoploss</t>
        </is>
      </c>
      <c r="P28" t="inlineStr">
        <is>
          <t>DHDDS:ENST00000374185.7_1:exon6:c.A629G:p.X210W</t>
        </is>
      </c>
      <c r="Q28" t="n">
        <v>-1</v>
      </c>
      <c r="R28" t="n">
        <v>-1</v>
      </c>
      <c r="S28" t="n">
        <v>-1</v>
      </c>
      <c r="T28" t="n">
        <v>-1</v>
      </c>
      <c r="U28" t="n">
        <v>-1</v>
      </c>
      <c r="V28" t="inlineStr">
        <is>
          <t>0/2</t>
        </is>
      </c>
      <c r="W28" t="inlineStr">
        <is>
          <t>.</t>
        </is>
      </c>
      <c r="X28" t="inlineStr">
        <is>
          <t>.</t>
        </is>
      </c>
      <c r="Y28" t="inlineStr">
        <is>
          <t>.</t>
        </is>
      </c>
      <c r="Z28" t="inlineStr">
        <is>
          <t>0/7</t>
        </is>
      </c>
      <c r="AA28" t="inlineStr">
        <is>
          <t>.</t>
        </is>
      </c>
      <c r="AB28" t="inlineStr">
        <is>
          <t>.</t>
        </is>
      </c>
      <c r="AC28" t="inlineStr">
        <is>
          <t>.</t>
        </is>
      </c>
      <c r="AD28" t="inlineStr">
        <is>
          <t>2</t>
        </is>
      </c>
      <c r="AE28" t="inlineStr">
        <is>
          <t>0.704700922518414</t>
        </is>
      </c>
      <c r="AF28" t="inlineStr">
        <is>
          <t>dehydrodolichyl diphosphate synthase subunit</t>
        </is>
      </c>
      <c r="AG28" t="inlineStr">
        <is>
          <t xml:space="preserve">FUNCTION: With DHDDS, forms the dehydrodolichyl diphosphate syntase (DDS) complex, an essential component of the dolichol monophosphate (Dol-P) biosynthetic machinery. Adds multiple copies of isopentenyl pyrophosphate (IPP) to farnesyl pyrophosphate (FPP) to produce dehydrodolichyl diphosphate (Dedol-PP), a precusrosor of dolichol which is utilized as a sugar carrier in protein glycosylation in the endoplasmic reticulum (ER). Regulates the glycosylation and stability of nascent NPC2, thereby promoting trafficking of LDL-derived cholesterol. {ECO:0000269|PubMed:25066056, ECO:0000303|PubMed:21572394}.; </t>
        </is>
      </c>
      <c r="AH28" t="inlineStr">
        <is>
          <t>.</t>
        </is>
      </c>
      <c r="AI28" t="inlineStr">
        <is>
          <t>.</t>
        </is>
      </c>
      <c r="AJ28" t="inlineStr">
        <is>
          <t>.</t>
        </is>
      </c>
      <c r="AK28" t="inlineStr">
        <is>
          <t>.</t>
        </is>
      </c>
      <c r="AL28" t="inlineStr">
        <is>
          <t>.</t>
        </is>
      </c>
    </row>
    <row r="29">
      <c r="A29" t="inlineStr"/>
      <c r="B29">
        <f>HYPERLINK("https://genome.ucsc.edu/cgi-bin/hgTracks?db=hg19&amp;position=chr1%3A28800629%2D28800629", "chr1:28800629")</f>
        <v/>
      </c>
      <c r="C29" t="inlineStr">
        <is>
          <t>chr1</t>
        </is>
      </c>
      <c r="D29" t="n">
        <v>28800629</v>
      </c>
      <c r="E29" t="n">
        <v>28800629</v>
      </c>
      <c r="F29" t="inlineStr">
        <is>
          <t>A</t>
        </is>
      </c>
      <c r="G29" t="inlineStr">
        <is>
          <t>G</t>
        </is>
      </c>
      <c r="H29" t="inlineStr">
        <is>
          <t>1079.64</t>
        </is>
      </c>
      <c r="I29" t="inlineStr">
        <is>
          <t>117</t>
        </is>
      </c>
      <c r="J29" t="inlineStr">
        <is>
          <t>69,48</t>
        </is>
      </c>
      <c r="K29" t="inlineStr">
        <is>
          <t>.</t>
        </is>
      </c>
      <c r="L29">
        <f>HYPERLINK("https://www.ncbi.nlm.nih.gov/snp/rs74455757", "rs74455757")</f>
        <v/>
      </c>
      <c r="M29">
        <f>HYPERLINK("https://www.genecards.org/Search/Keyword?queryString=%5Baliases%5D(%20PHACTR4%20)&amp;keywords=PHACTR4", "PHACTR4")</f>
        <v/>
      </c>
      <c r="N29" t="inlineStr">
        <is>
          <t>exonic</t>
        </is>
      </c>
      <c r="O29" t="inlineStr">
        <is>
          <t>nonsynonymous SNV</t>
        </is>
      </c>
      <c r="P29" t="inlineStr">
        <is>
          <t>PHACTR4:NM_023923:exon6:c.A1417G:p.R473G,PHACTR4:NM_001048183:exon7:c.A1387G:p.R463G,PHACTR4:NM_001350158:exon8:c.A1411G:p.R471G,PHACTR4:NM_001350160:exon8:c.A1387G:p.R463G,PHACTR4:NM_001350161:exon8:c.A1339G:p.R447G,PHACTR4:NM_001350159:exon9:c.A1411G:p.R471G;PHACTR4:uc001bpy.3:exon6:c.A1417G:p.R473G,PHACTR4:uc001bpw.3:exon7:c.A1387G:p.R463G,PHACTR4:uc001bpx.3:exon8:c.A1339G:p.R447G;PHACTR4:ENST00000373836.4_2:exon6:c.A1417G:p.R473G,PHACTR4:ENST00000373839.8_7:exon7:c.A1387G:p.R463G</t>
        </is>
      </c>
      <c r="Q29" t="n">
        <v>0.0138</v>
      </c>
      <c r="R29" t="n">
        <v>0.0005</v>
      </c>
      <c r="S29" t="n">
        <v>0.001</v>
      </c>
      <c r="T29" t="n">
        <v>-1</v>
      </c>
      <c r="U29" t="n">
        <v>0.0004</v>
      </c>
      <c r="V29" t="inlineStr">
        <is>
          <t>6/11</t>
        </is>
      </c>
      <c r="W29" t="inlineStr">
        <is>
          <t>.</t>
        </is>
      </c>
      <c r="X29" t="inlineStr">
        <is>
          <t>.</t>
        </is>
      </c>
      <c r="Y29" t="inlineStr">
        <is>
          <t>.</t>
        </is>
      </c>
      <c r="Z29" t="inlineStr">
        <is>
          <t>3/7</t>
        </is>
      </c>
      <c r="AA29" t="inlineStr">
        <is>
          <t>Uncertain significance</t>
        </is>
      </c>
      <c r="AB29" t="inlineStr">
        <is>
          <t>.</t>
        </is>
      </c>
      <c r="AC29" t="inlineStr">
        <is>
          <t>0/1</t>
        </is>
      </c>
      <c r="AD29" t="inlineStr">
        <is>
          <t>1</t>
        </is>
      </c>
      <c r="AE29" t="inlineStr">
        <is>
          <t>0.00427377620221426</t>
        </is>
      </c>
      <c r="AF29" t="inlineStr">
        <is>
          <t>phosphatase and actin regulator 4</t>
        </is>
      </c>
      <c r="AG29" t="inlineStr">
        <is>
          <t xml:space="preserve">FUNCTION: Regulator of protein phosphatase 1 (PP1) required for neural tube and optic fissure closure, and enteric neural crest cell (ENCCs) migration during development. Acts as an activator of PP1 by interacting with PPP1CA and preventing phosphorylation of PPP1CA at 'Thr-320'. During neural tube closure, localizes to the ventral neural tube and activates PP1, leading to down-regulate cell proliferation within cranial neural tissue and the neural retina. Also acts as a regulator of migration of enteric neural crest cells (ENCCs) by activating PP1, leading to dephosphorylation and subsequent activation of cofilin (COF1 or COF2) and repression of the integrin signaling through the RHO/ROCK pathway (By similarity). {ECO:0000250}.; </t>
        </is>
      </c>
      <c r="AH29" t="inlineStr">
        <is>
          <t>.</t>
        </is>
      </c>
      <c r="AI29" t="inlineStr">
        <is>
          <t>.</t>
        </is>
      </c>
      <c r="AJ29" t="inlineStr">
        <is>
          <t>.</t>
        </is>
      </c>
      <c r="AK29" t="inlineStr">
        <is>
          <t>.</t>
        </is>
      </c>
      <c r="AL29" t="inlineStr">
        <is>
          <t>.</t>
        </is>
      </c>
    </row>
    <row r="30">
      <c r="A30" t="inlineStr"/>
      <c r="B30">
        <f>HYPERLINK("https://genome.ucsc.edu/cgi-bin/hgTracks?db=hg19&amp;position=chr1%3A33477661%2D33477661", "chr1:33477661")</f>
        <v/>
      </c>
      <c r="C30" t="inlineStr">
        <is>
          <t>chr1</t>
        </is>
      </c>
      <c r="D30" t="n">
        <v>33477661</v>
      </c>
      <c r="E30" t="n">
        <v>33477661</v>
      </c>
      <c r="F30" t="inlineStr">
        <is>
          <t>G</t>
        </is>
      </c>
      <c r="G30" t="inlineStr">
        <is>
          <t>C</t>
        </is>
      </c>
      <c r="H30" t="inlineStr">
        <is>
          <t>664.64</t>
        </is>
      </c>
      <c r="I30" t="inlineStr">
        <is>
          <t>49</t>
        </is>
      </c>
      <c r="J30" t="inlineStr">
        <is>
          <t>24,25</t>
        </is>
      </c>
      <c r="K30" t="inlineStr">
        <is>
          <t>.</t>
        </is>
      </c>
      <c r="L30" t="inlineStr">
        <is>
          <t>.</t>
        </is>
      </c>
      <c r="M30">
        <f>HYPERLINK("https://www.genecards.org/Search/Keyword?queryString=%5Baliases%5D(%20AK2%20)%20OR%20%5Baliases%5D(%20BC036308%20)&amp;keywords=AK2,BC036308", "AK2;BC036308")</f>
        <v/>
      </c>
      <c r="N30" t="inlineStr">
        <is>
          <t>UTR3;ncRNA_intronic</t>
        </is>
      </c>
      <c r="O30" t="inlineStr">
        <is>
          <t>.</t>
        </is>
      </c>
      <c r="P30" t="inlineStr">
        <is>
          <t>NM_001625:c.*1121C&gt;G;NM_001319140:c.*1121C&gt;G</t>
        </is>
      </c>
      <c r="Q30" t="n">
        <v>-1</v>
      </c>
      <c r="R30" t="n">
        <v>-1</v>
      </c>
      <c r="S30" t="n">
        <v>-1</v>
      </c>
      <c r="T30" t="n">
        <v>-1</v>
      </c>
      <c r="U30" t="n">
        <v>-1</v>
      </c>
      <c r="V30" t="inlineStr">
        <is>
          <t>.</t>
        </is>
      </c>
      <c r="W30" t="inlineStr">
        <is>
          <t>.</t>
        </is>
      </c>
      <c r="X30" t="inlineStr">
        <is>
          <t>B</t>
        </is>
      </c>
      <c r="Y30" t="inlineStr">
        <is>
          <t>off</t>
        </is>
      </c>
      <c r="Z30" t="inlineStr">
        <is>
          <t>.</t>
        </is>
      </c>
      <c r="AA30" t="inlineStr">
        <is>
          <t>.</t>
        </is>
      </c>
      <c r="AB30" t="inlineStr">
        <is>
          <t>.</t>
        </is>
      </c>
      <c r="AC30" t="inlineStr">
        <is>
          <t>0/1</t>
        </is>
      </c>
      <c r="AD30" t="inlineStr">
        <is>
          <t>1;1</t>
        </is>
      </c>
      <c r="AE30" t="inlineStr">
        <is>
          <t>0.00556558560437493</t>
        </is>
      </c>
      <c r="AF30" t="inlineStr">
        <is>
          <t>adenylate kinase 2</t>
        </is>
      </c>
      <c r="AG30" t="inlineStr">
        <is>
          <t xml:space="preserve">FUNCTION: Catalyzes the reversible transfer of the terminal phosphate group between ATP and AMP. Plays an important role in cellular energy homeostasis and in adenine nucleotide metabolism. Adenylate kinase activity is critical for regulation of the phosphate utilization and the AMP de novo biosynthesis pathways. Plays a key role in hematopoiesis. {ECO:0000255|HAMAP- Rule:MF_03168, ECO:0000269|PubMed:19043416}.; </t>
        </is>
      </c>
      <c r="AH30" t="inlineStr">
        <is>
          <t xml:space="preserve">DISEASE: Reticular dysgenesis (RDYS) [MIM:267500]: Most severe form of inborn severe combined immunodeficiencies (SCID) and is characterized by absence of granulocytes and almost complete deficiency of lymphocytes in peripheral blood, hypoplasia of the thymus and secondary lymphoid organs, and lack of innate and adaptive humoral and cellular immune functions, leading to fatal septicemia within days after birth. In bone marrow of individuals with reticular dysgenesis, myeloid differentiation is blocked at the promyelocytic stage, whereas erythro- and megakaryocytic maturation is generally normal. In addition, affected newborns have bilateral sensorineural deafness. Defects may be due to its absence in leukocytes and inner ear, in which its absence can not be compensated by AK1. {ECO:0000269|PubMed:19043416, ECO:0000269|PubMed:19043417}. Note=The disease is caused by mutations affecting the gene represented in this entry.; </t>
        </is>
      </c>
      <c r="AI30" t="inlineStr">
        <is>
          <t>.</t>
        </is>
      </c>
      <c r="AJ30" t="inlineStr">
        <is>
          <t>.</t>
        </is>
      </c>
      <c r="AK30" t="inlineStr">
        <is>
          <t>.</t>
        </is>
      </c>
      <c r="AL30" t="inlineStr">
        <is>
          <t>.</t>
        </is>
      </c>
    </row>
    <row r="31">
      <c r="A31" t="inlineStr"/>
      <c r="B31">
        <f>HYPERLINK("https://genome.ucsc.edu/cgi-bin/hgTracks?db=hg19&amp;position=chr1%3A34090180%2D34090180", "chr1:34090180")</f>
        <v/>
      </c>
      <c r="C31" t="inlineStr">
        <is>
          <t>chr1</t>
        </is>
      </c>
      <c r="D31" t="n">
        <v>34090180</v>
      </c>
      <c r="E31" t="n">
        <v>34090180</v>
      </c>
      <c r="F31" t="inlineStr">
        <is>
          <t>G</t>
        </is>
      </c>
      <c r="G31" t="inlineStr">
        <is>
          <t>A</t>
        </is>
      </c>
      <c r="H31" t="inlineStr">
        <is>
          <t>515.64</t>
        </is>
      </c>
      <c r="I31" t="inlineStr">
        <is>
          <t>55</t>
        </is>
      </c>
      <c r="J31" t="inlineStr">
        <is>
          <t>32,23</t>
        </is>
      </c>
      <c r="K31" t="inlineStr">
        <is>
          <t>.</t>
        </is>
      </c>
      <c r="L31" t="inlineStr">
        <is>
          <t>.</t>
        </is>
      </c>
      <c r="M31">
        <f>HYPERLINK("https://www.genecards.org/Search/Keyword?queryString=%5Baliases%5D(%20CSMD2%20)&amp;keywords=CSMD2", "CSMD2")</f>
        <v/>
      </c>
      <c r="N31" t="inlineStr">
        <is>
          <t>exonic</t>
        </is>
      </c>
      <c r="O31" t="inlineStr">
        <is>
          <t>nonsynonymous SNV</t>
        </is>
      </c>
      <c r="P31" t="inlineStr">
        <is>
          <t>CSMD2:NM_001281956:exon35:c.C5564T:p.P1855L,CSMD2:NM_052896:exon35:c.C5444T:p.P1815L;CSMD2:uc001bxo.1:exon14:c.C2183T:p.P728L,CSMD2:uc001bxm.1:exon35:c.C5564T:p.P1855L,CSMD2:uc001bxn.1:exon35:c.C5444T:p.P1815L;CSMD2:ENST00000373381.9_7:exon35:c.C5564T:p.P1855L,CSMD2:ENST00000373388.7_5:exon35:c.C5444T:p.P1815L,CSMD2:ENST00000619121.4_4:exon35:c.C5444T:p.P1815L</t>
        </is>
      </c>
      <c r="Q31" t="n">
        <v>-1</v>
      </c>
      <c r="R31" t="n">
        <v>-1</v>
      </c>
      <c r="S31" t="n">
        <v>-1</v>
      </c>
      <c r="T31" t="n">
        <v>-1</v>
      </c>
      <c r="U31" t="n">
        <v>-1</v>
      </c>
      <c r="V31" t="inlineStr">
        <is>
          <t>7/12</t>
        </is>
      </c>
      <c r="W31" t="inlineStr">
        <is>
          <t>.</t>
        </is>
      </c>
      <c r="X31" t="inlineStr">
        <is>
          <t>.</t>
        </is>
      </c>
      <c r="Y31" t="inlineStr">
        <is>
          <t>.</t>
        </is>
      </c>
      <c r="Z31" t="inlineStr">
        <is>
          <t>6/7</t>
        </is>
      </c>
      <c r="AA31" t="inlineStr">
        <is>
          <t>Uncertain significance</t>
        </is>
      </c>
      <c r="AB31" t="inlineStr">
        <is>
          <t>.</t>
        </is>
      </c>
      <c r="AC31" t="inlineStr">
        <is>
          <t>0/1</t>
        </is>
      </c>
      <c r="AD31" t="inlineStr">
        <is>
          <t>1</t>
        </is>
      </c>
      <c r="AE31" t="inlineStr">
        <is>
          <t>.</t>
        </is>
      </c>
      <c r="AF31" t="inlineStr">
        <is>
          <t>CUB and Sushi multiple domains 2</t>
        </is>
      </c>
      <c r="AG31" t="inlineStr">
        <is>
          <t>.</t>
        </is>
      </c>
      <c r="AH31" t="inlineStr">
        <is>
          <t>.</t>
        </is>
      </c>
      <c r="AI31" t="inlineStr">
        <is>
          <t>.</t>
        </is>
      </c>
      <c r="AJ31" t="inlineStr">
        <is>
          <t>.</t>
        </is>
      </c>
      <c r="AK31" t="inlineStr">
        <is>
          <t>.</t>
        </is>
      </c>
      <c r="AL31" t="inlineStr">
        <is>
          <t>.</t>
        </is>
      </c>
    </row>
    <row r="32">
      <c r="A32" t="inlineStr"/>
      <c r="B32">
        <f>HYPERLINK("https://genome.ucsc.edu/cgi-bin/hgTracks?db=hg19&amp;position=chr1%3A36102034%2D36102034", "chr1:36102034")</f>
        <v/>
      </c>
      <c r="C32" t="inlineStr">
        <is>
          <t>chr1</t>
        </is>
      </c>
      <c r="D32" t="n">
        <v>36102034</v>
      </c>
      <c r="E32" t="n">
        <v>36102034</v>
      </c>
      <c r="F32" t="inlineStr">
        <is>
          <t>C</t>
        </is>
      </c>
      <c r="G32" t="inlineStr">
        <is>
          <t>T</t>
        </is>
      </c>
      <c r="H32" t="inlineStr">
        <is>
          <t>189.64</t>
        </is>
      </c>
      <c r="I32" t="inlineStr">
        <is>
          <t>39</t>
        </is>
      </c>
      <c r="J32" t="inlineStr">
        <is>
          <t>30,9</t>
        </is>
      </c>
      <c r="K32" t="inlineStr">
        <is>
          <t>.</t>
        </is>
      </c>
      <c r="L32" t="inlineStr">
        <is>
          <t>.</t>
        </is>
      </c>
      <c r="M32">
        <f>HYPERLINK("https://www.genecards.org/Search/Keyword?queryString=%5Baliases%5D(%20PSMB2%20)&amp;keywords=PSMB2", "PSMB2")</f>
        <v/>
      </c>
      <c r="N32" t="inlineStr">
        <is>
          <t>splicing</t>
        </is>
      </c>
      <c r="O32" t="inlineStr">
        <is>
          <t>.</t>
        </is>
      </c>
      <c r="P32" t="inlineStr">
        <is>
          <t>NM_001199779:exon2:c.17-1G&gt;A;NM_002794:exon2:c.92-1G&gt;A;uc001bzd.2:exon2:c.92-1G&gt;A;uc010ohz.2:exon2:c.17-1G&gt;A;uc001bzf.2:exon2:c.92-1G&gt;A;ENST00000373237.4_5:exon2:c.92-1G&gt;A</t>
        </is>
      </c>
      <c r="Q32" t="n">
        <v>-1</v>
      </c>
      <c r="R32" t="n">
        <v>-1</v>
      </c>
      <c r="S32" t="n">
        <v>-1</v>
      </c>
      <c r="T32" t="n">
        <v>-1</v>
      </c>
      <c r="U32" t="n">
        <v>-1</v>
      </c>
      <c r="V32" t="inlineStr">
        <is>
          <t>2/2</t>
        </is>
      </c>
      <c r="W32" t="inlineStr">
        <is>
          <t>D</t>
        </is>
      </c>
      <c r="X32" t="inlineStr">
        <is>
          <t>D</t>
        </is>
      </c>
      <c r="Y32" t="inlineStr">
        <is>
          <t>on</t>
        </is>
      </c>
      <c r="Z32" t="inlineStr">
        <is>
          <t>5/7</t>
        </is>
      </c>
      <c r="AA32" t="inlineStr">
        <is>
          <t>.</t>
        </is>
      </c>
      <c r="AB32" t="inlineStr">
        <is>
          <t>.</t>
        </is>
      </c>
      <c r="AC32" t="inlineStr">
        <is>
          <t>0/1</t>
        </is>
      </c>
      <c r="AD32" t="inlineStr">
        <is>
          <t>1</t>
        </is>
      </c>
      <c r="AE32" t="inlineStr">
        <is>
          <t>0.972351383142869</t>
        </is>
      </c>
      <c r="AF32" t="inlineStr">
        <is>
          <t>proteasome subunit beta 2</t>
        </is>
      </c>
      <c r="AG32" t="inlineStr">
        <is>
          <t xml:space="preserve">FUNCTION: The proteasome is a multicatalytic proteinase complex which is characterized by its ability to cleave peptides with Arg, Phe, Tyr, Leu, and Glu adjacent to the leaving group at neutral or slightly basic pH. The proteasome has an ATP-dependent proteolytic activity. This subunit has a trypsin-like activity.; </t>
        </is>
      </c>
      <c r="AH32" t="inlineStr">
        <is>
          <t>.</t>
        </is>
      </c>
      <c r="AI32" t="inlineStr">
        <is>
          <t>.</t>
        </is>
      </c>
      <c r="AJ32" t="inlineStr">
        <is>
          <t>.</t>
        </is>
      </c>
      <c r="AK32" t="inlineStr">
        <is>
          <t>.</t>
        </is>
      </c>
      <c r="AL32" t="inlineStr">
        <is>
          <t>.</t>
        </is>
      </c>
    </row>
    <row r="33">
      <c r="A33" t="inlineStr"/>
      <c r="B33">
        <f>HYPERLINK("https://genome.ucsc.edu/cgi-bin/hgTracks?db=hg19&amp;position=chr1%3A36282608%2D36282608", "chr1:36282608")</f>
        <v/>
      </c>
      <c r="C33" t="inlineStr">
        <is>
          <t>chr1</t>
        </is>
      </c>
      <c r="D33" t="n">
        <v>36282608</v>
      </c>
      <c r="E33" t="n">
        <v>36282608</v>
      </c>
      <c r="F33" t="inlineStr">
        <is>
          <t>G</t>
        </is>
      </c>
      <c r="G33" t="inlineStr">
        <is>
          <t>T</t>
        </is>
      </c>
      <c r="H33" t="inlineStr">
        <is>
          <t>331.64</t>
        </is>
      </c>
      <c r="I33" t="inlineStr">
        <is>
          <t>101</t>
        </is>
      </c>
      <c r="J33" t="inlineStr">
        <is>
          <t>81,20</t>
        </is>
      </c>
      <c r="K33" t="inlineStr">
        <is>
          <t>.</t>
        </is>
      </c>
      <c r="L33" t="inlineStr">
        <is>
          <t>.</t>
        </is>
      </c>
      <c r="M33">
        <f>HYPERLINK("https://www.genecards.org/Search/Keyword?queryString=%5Baliases%5D(%20AGO4%20)&amp;keywords=AGO4", "AGO4")</f>
        <v/>
      </c>
      <c r="N33" t="inlineStr">
        <is>
          <t>exonic</t>
        </is>
      </c>
      <c r="O33" t="inlineStr">
        <is>
          <t>nonsynonymous SNV</t>
        </is>
      </c>
      <c r="P33" t="inlineStr">
        <is>
          <t>AGO4:NM_017629:exon2:c.G145T:p.V49L;AGO4:uc001bzj.2:exon2:c.G145T:p.V49L;AGO4:ENST00000373210.4_3:exon2:c.G145T:p.V49L</t>
        </is>
      </c>
      <c r="Q33" t="n">
        <v>-1</v>
      </c>
      <c r="R33" t="n">
        <v>-1</v>
      </c>
      <c r="S33" t="n">
        <v>-1</v>
      </c>
      <c r="T33" t="n">
        <v>-1</v>
      </c>
      <c r="U33" t="n">
        <v>-1</v>
      </c>
      <c r="V33" t="inlineStr">
        <is>
          <t>5/12</t>
        </is>
      </c>
      <c r="W33" t="inlineStr">
        <is>
          <t>.</t>
        </is>
      </c>
      <c r="X33" t="inlineStr">
        <is>
          <t>.</t>
        </is>
      </c>
      <c r="Y33" t="inlineStr">
        <is>
          <t>.</t>
        </is>
      </c>
      <c r="Z33" t="inlineStr">
        <is>
          <t>5/7</t>
        </is>
      </c>
      <c r="AA33" t="inlineStr">
        <is>
          <t>Uncertain significance</t>
        </is>
      </c>
      <c r="AB33" t="inlineStr">
        <is>
          <t>.</t>
        </is>
      </c>
      <c r="AC33" t="inlineStr">
        <is>
          <t>0/1</t>
        </is>
      </c>
      <c r="AD33" t="inlineStr">
        <is>
          <t>1</t>
        </is>
      </c>
      <c r="AE33" t="inlineStr">
        <is>
          <t>0.990043812111039</t>
        </is>
      </c>
      <c r="AF33" t="inlineStr">
        <is>
          <t>argonaute 4, RISC catalytic component</t>
        </is>
      </c>
      <c r="AG33" t="inlineStr">
        <is>
          <t xml:space="preserve">FUNCTION: Required for RNA-mediated gene silencing (RNAi). Binds to short RNAs such as microRNAs (miRNAs) and represses the translation of mRNAs which are complementary to them. Lacks endonuclease activity and does not appear to cleave target mRNAs. Also required for RNA-directed transcription and replication of the human hapatitis delta virus (HDV). {ECO:0000255|HAMAP- Rule:MF_03033, ECO:0000269|PubMed:15337849, ECO:0000269|PubMed:18552826, ECO:0000269|PubMed:18771919}.; </t>
        </is>
      </c>
      <c r="AH33" t="inlineStr">
        <is>
          <t>.</t>
        </is>
      </c>
      <c r="AI33" t="inlineStr">
        <is>
          <t>.</t>
        </is>
      </c>
      <c r="AJ33" t="inlineStr">
        <is>
          <t>.</t>
        </is>
      </c>
      <c r="AK33" t="inlineStr">
        <is>
          <t>.</t>
        </is>
      </c>
      <c r="AL33" t="inlineStr">
        <is>
          <t>.</t>
        </is>
      </c>
    </row>
    <row r="34">
      <c r="A34" t="inlineStr"/>
      <c r="B34">
        <f>HYPERLINK("https://genome.ucsc.edu/cgi-bin/hgTracks?db=hg19&amp;position=chr1%3A37980314%2D37980336", "chr1:37980314")</f>
        <v/>
      </c>
      <c r="C34" t="inlineStr">
        <is>
          <t>chr1</t>
        </is>
      </c>
      <c r="D34" t="n">
        <v>37980314</v>
      </c>
      <c r="E34" t="n">
        <v>37980336</v>
      </c>
      <c r="F34" t="inlineStr">
        <is>
          <t>TCTGCGGCGGCGCCGCCTTGTTG</t>
        </is>
      </c>
      <c r="G34" t="inlineStr">
        <is>
          <t>-</t>
        </is>
      </c>
      <c r="H34" t="inlineStr">
        <is>
          <t>43.60</t>
        </is>
      </c>
      <c r="I34" t="inlineStr">
        <is>
          <t>13</t>
        </is>
      </c>
      <c r="J34" t="inlineStr">
        <is>
          <t>11,2</t>
        </is>
      </c>
      <c r="K34" t="inlineStr">
        <is>
          <t>.</t>
        </is>
      </c>
      <c r="L34" t="inlineStr">
        <is>
          <t>.</t>
        </is>
      </c>
      <c r="M34">
        <f>HYPERLINK("https://www.genecards.org/Search/Keyword?queryString=%5Baliases%5D(%20MEAF6%20)&amp;keywords=MEAF6", "MEAF6")</f>
        <v/>
      </c>
      <c r="N34" t="inlineStr">
        <is>
          <t>exonic</t>
        </is>
      </c>
      <c r="O34" t="inlineStr">
        <is>
          <t>frameshift deletion</t>
        </is>
      </c>
      <c r="P34" t="inlineStr">
        <is>
          <t>MEAF6:NM_001270875:exon1:c.12_34del:p.N5Pfs*32,MEAF6:NM_001270876:exon1:c.12_34del:p.N5Pfs*32,MEAF6:NM_022756:exon1:c.12_34del:p.N5Pfs*32;MEAF6:uc001cbe.2:exon1:c.12_34del:p.N5Pfs*32,MEAF6:uc001cbg.2:exon1:c.12_34del:p.N5Pfs*32,MEAF6:uc031plz.1:exon1:c.12_34del:p.N5Pfs*32;MEAF6:ENST00000296214.10_5:exon1:c.12_34del:p.N5Pfs*32,MEAF6:ENST00000373073.8_3:exon1:c.12_34del:p.N5Pfs*32,MEAF6:ENST00000373075.6_7:exon1:c.12_34del:p.N5Pfs*32,MEAF6:ENST00000448519.2_4:exon1:c.12_34del:p.N5Pfs*32</t>
        </is>
      </c>
      <c r="Q34" t="n">
        <v>-1</v>
      </c>
      <c r="R34" t="n">
        <v>-1</v>
      </c>
      <c r="S34" t="n">
        <v>-1</v>
      </c>
      <c r="T34" t="n">
        <v>-1</v>
      </c>
      <c r="U34" t="n">
        <v>-1</v>
      </c>
      <c r="V34" t="inlineStr">
        <is>
          <t>.</t>
        </is>
      </c>
      <c r="W34" t="inlineStr">
        <is>
          <t>.</t>
        </is>
      </c>
      <c r="X34" t="inlineStr">
        <is>
          <t>.</t>
        </is>
      </c>
      <c r="Y34" t="inlineStr">
        <is>
          <t>.</t>
        </is>
      </c>
      <c r="Z34" t="inlineStr">
        <is>
          <t>.</t>
        </is>
      </c>
      <c r="AA34" t="inlineStr">
        <is>
          <t>.</t>
        </is>
      </c>
      <c r="AB34" t="inlineStr">
        <is>
          <t>.</t>
        </is>
      </c>
      <c r="AC34" t="inlineStr">
        <is>
          <t>0/1</t>
        </is>
      </c>
      <c r="AD34" t="inlineStr">
        <is>
          <t>1</t>
        </is>
      </c>
      <c r="AE34" t="inlineStr">
        <is>
          <t>0.730388139479782</t>
        </is>
      </c>
      <c r="AF34" t="inlineStr">
        <is>
          <t>MYST/Esa1 associated factor 6</t>
        </is>
      </c>
      <c r="AG34" t="inlineStr">
        <is>
          <t xml:space="preserve">FUNCTION: Component of the NuA4 histone acetyltransferase complex which is involved in transcriptional activation of select genes principally by acetylation of nucleosomal histone H4 and H2A. This modification may both alter nucleosome - DNA interactions and promote interaction of the modified histones with other proteins which positively regulate transcription. Component of the HBO1 complex which has a histone H4-specific acetyltransferase activity, a reduced activity toward histone H3 and is responsible for the bulk of histone H4 acetylation in vivo. Component of the MOZ/MORF complex which has a histone H3 acetyltransferase activity. {ECO:0000269|PubMed:14966270, ECO:0000269|PubMed:16387653, ECO:0000269|PubMed:18794358}.; </t>
        </is>
      </c>
      <c r="AH34" t="inlineStr">
        <is>
          <t xml:space="preserve">DISEASE: Note=A chromosomal aberration involving MEAF6 may be a cause of endometrial stromal tumors. Translocation t(1;6)(p34;p21) with PHF1. {ECO:0000269|PubMed:22761769}.; </t>
        </is>
      </c>
      <c r="AI34" t="inlineStr">
        <is>
          <t>.</t>
        </is>
      </c>
      <c r="AJ34" t="inlineStr">
        <is>
          <t>.</t>
        </is>
      </c>
      <c r="AK34" t="inlineStr">
        <is>
          <t>.</t>
        </is>
      </c>
      <c r="AL34" t="inlineStr">
        <is>
          <t>.</t>
        </is>
      </c>
    </row>
    <row r="35">
      <c r="A35" t="inlineStr"/>
      <c r="B35">
        <f>HYPERLINK("https://genome.ucsc.edu/cgi-bin/hgTracks?db=hg19&amp;position=chr1%3A40125046%2D40125046", "chr1:40125046")</f>
        <v/>
      </c>
      <c r="C35" t="inlineStr">
        <is>
          <t>chr1</t>
        </is>
      </c>
      <c r="D35" t="n">
        <v>40125046</v>
      </c>
      <c r="E35" t="n">
        <v>40125046</v>
      </c>
      <c r="F35" t="inlineStr">
        <is>
          <t>G</t>
        </is>
      </c>
      <c r="G35" t="inlineStr">
        <is>
          <t>A</t>
        </is>
      </c>
      <c r="H35" t="inlineStr">
        <is>
          <t>1544.64</t>
        </is>
      </c>
      <c r="I35" t="inlineStr">
        <is>
          <t>139</t>
        </is>
      </c>
      <c r="J35" t="inlineStr">
        <is>
          <t>77,62</t>
        </is>
      </c>
      <c r="K35" t="inlineStr">
        <is>
          <t>.</t>
        </is>
      </c>
      <c r="L35" t="inlineStr">
        <is>
          <t>.</t>
        </is>
      </c>
      <c r="M35">
        <f>HYPERLINK("https://www.genecards.org/Search/Keyword?queryString=%5Baliases%5D(%20NT5C1A%20)&amp;keywords=NT5C1A", "NT5C1A")</f>
        <v/>
      </c>
      <c r="N35" t="inlineStr">
        <is>
          <t>exonic</t>
        </is>
      </c>
      <c r="O35" t="inlineStr">
        <is>
          <t>nonsynonymous SNV</t>
        </is>
      </c>
      <c r="P35" t="inlineStr">
        <is>
          <t>NT5C1A:NM_032526:exon6:c.C854T:p.A285V;NT5C1A:uc001cdq.1:exon6:c.C854T:p.A285V;NT5C1A:ENST00000235628.2_4:exon6:c.C854T:p.A285V</t>
        </is>
      </c>
      <c r="Q35" t="n">
        <v>7.18e-05</v>
      </c>
      <c r="R35" t="n">
        <v>-1</v>
      </c>
      <c r="S35" t="n">
        <v>7.342e-05</v>
      </c>
      <c r="T35" t="n">
        <v>-1</v>
      </c>
      <c r="U35" t="n">
        <v>-1</v>
      </c>
      <c r="V35" t="inlineStr">
        <is>
          <t>9/10</t>
        </is>
      </c>
      <c r="W35" t="inlineStr">
        <is>
          <t>.</t>
        </is>
      </c>
      <c r="X35" t="inlineStr">
        <is>
          <t>.</t>
        </is>
      </c>
      <c r="Y35" t="inlineStr">
        <is>
          <t>.</t>
        </is>
      </c>
      <c r="Z35" t="inlineStr">
        <is>
          <t>5/7</t>
        </is>
      </c>
      <c r="AA35" t="inlineStr">
        <is>
          <t>Uncertain significance</t>
        </is>
      </c>
      <c r="AB35" t="inlineStr">
        <is>
          <t>.</t>
        </is>
      </c>
      <c r="AC35" t="inlineStr">
        <is>
          <t>0/1</t>
        </is>
      </c>
      <c r="AD35" t="inlineStr">
        <is>
          <t>1</t>
        </is>
      </c>
      <c r="AE35" t="inlineStr">
        <is>
          <t>8.15238589051518e-05</t>
        </is>
      </c>
      <c r="AF35" t="inlineStr">
        <is>
          <t>5'-nucleotidase, cytosolic IA</t>
        </is>
      </c>
      <c r="AG35" t="inlineStr">
        <is>
          <t xml:space="preserve">FUNCTION: Dephosphorylates the 5' and 2'(3')-phosphates of deoxyribonucleotides and has a broad substrate specificity. Helps to regulate adenosine levels in heart during ischemia and hypoxia. {ECO:0000269|PubMed:11133996}.; </t>
        </is>
      </c>
      <c r="AH35" t="inlineStr">
        <is>
          <t>.</t>
        </is>
      </c>
      <c r="AI35" t="inlineStr">
        <is>
          <t>.</t>
        </is>
      </c>
      <c r="AJ35" t="inlineStr">
        <is>
          <t>.</t>
        </is>
      </c>
      <c r="AK35" t="inlineStr">
        <is>
          <t>.</t>
        </is>
      </c>
      <c r="AL35" t="inlineStr">
        <is>
          <t>.</t>
        </is>
      </c>
    </row>
    <row r="36">
      <c r="A36" t="inlineStr"/>
      <c r="B36">
        <f>HYPERLINK("https://genome.ucsc.edu/cgi-bin/hgTracks?db=hg19&amp;position=chr1%3A41453053%2D41453053", "chr1:41453053")</f>
        <v/>
      </c>
      <c r="C36" t="inlineStr">
        <is>
          <t>chr1</t>
        </is>
      </c>
      <c r="D36" t="n">
        <v>41453053</v>
      </c>
      <c r="E36" t="n">
        <v>41453053</v>
      </c>
      <c r="F36" t="inlineStr">
        <is>
          <t>A</t>
        </is>
      </c>
      <c r="G36" t="inlineStr">
        <is>
          <t>T</t>
        </is>
      </c>
      <c r="H36" t="inlineStr">
        <is>
          <t>1044.64</t>
        </is>
      </c>
      <c r="I36" t="inlineStr">
        <is>
          <t>82</t>
        </is>
      </c>
      <c r="J36" t="inlineStr">
        <is>
          <t>42,40</t>
        </is>
      </c>
      <c r="K36" t="inlineStr">
        <is>
          <t>.</t>
        </is>
      </c>
      <c r="L36" t="inlineStr">
        <is>
          <t>.</t>
        </is>
      </c>
      <c r="M36">
        <f>HYPERLINK("https://www.genecards.org/Search/Keyword?queryString=%5Baliases%5D(%20CTPS1%20)&amp;keywords=CTPS1", "CTPS1")</f>
        <v/>
      </c>
      <c r="N36" t="inlineStr">
        <is>
          <t>exonic</t>
        </is>
      </c>
      <c r="O36" t="inlineStr">
        <is>
          <t>nonsynonymous SNV</t>
        </is>
      </c>
      <c r="P36" t="inlineStr">
        <is>
          <t>CTPS1:NM_001905:exon4:c.A347T:p.H116L;CTPS1:uc001cgl.4:exon3:c.A347T:p.H116L,CTPS1:uc001cgk.4:exon4:c.A347T:p.H116L,CTPS1:uc010ojp.1:exon4:c.A368T:p.H123L;CTPS1:ENST00000372616.1_3:exon3:c.A347T:p.H116L,CTPS1:ENST00000463285.7_3:exon4:c.A347T:p.H116L,CTPS1:ENST00000470271.6_3:exon4:c.A347T:p.H116L,CTPS1:ENST00000649864.1_2:exon4:c.A347T:p.H116L,CTPS1:ENST00000650070.2_5:exon4:c.A347T:p.H116L,CTPS1:ENST00000649124.2_3:exon5:c.A347T:p.H116L</t>
        </is>
      </c>
      <c r="Q36" t="n">
        <v>-1</v>
      </c>
      <c r="R36" t="n">
        <v>-1</v>
      </c>
      <c r="S36" t="n">
        <v>-1</v>
      </c>
      <c r="T36" t="n">
        <v>-1</v>
      </c>
      <c r="U36" t="n">
        <v>-1</v>
      </c>
      <c r="V36" t="inlineStr">
        <is>
          <t>10/12</t>
        </is>
      </c>
      <c r="W36" t="inlineStr">
        <is>
          <t>.</t>
        </is>
      </c>
      <c r="X36" t="inlineStr">
        <is>
          <t>.</t>
        </is>
      </c>
      <c r="Y36" t="inlineStr">
        <is>
          <t>.</t>
        </is>
      </c>
      <c r="Z36" t="inlineStr">
        <is>
          <t>7/7</t>
        </is>
      </c>
      <c r="AA36" t="inlineStr">
        <is>
          <t>Uncertain significance</t>
        </is>
      </c>
      <c r="AB36" t="inlineStr">
        <is>
          <t>.</t>
        </is>
      </c>
      <c r="AC36" t="inlineStr">
        <is>
          <t>0/1</t>
        </is>
      </c>
      <c r="AD36" t="inlineStr">
        <is>
          <t>1</t>
        </is>
      </c>
      <c r="AE36" t="inlineStr">
        <is>
          <t>0.932192403965688</t>
        </is>
      </c>
      <c r="AF36" t="inlineStr">
        <is>
          <t>CTP synthase 1</t>
        </is>
      </c>
      <c r="AG36" t="inlineStr">
        <is>
          <t xml:space="preserve">FUNCTION: This enzyme is involved in the de novo synthesis of CTP, a precursor of DNA, RNA and phospholipids. Catalyzes the ATP- dependent amination of UTP to CTP with either L-glutamine or ammonia as a source of nitrogen. This enzyme and its product, CTP, play a crucial role in the proliferation of activated lymphocytes and therefore in immunity. {ECO:0000269|PubMed:16179339, ECO:0000269|PubMed:24870241}.; </t>
        </is>
      </c>
      <c r="AH36" t="inlineStr">
        <is>
          <t xml:space="preserve">DISEASE: Immunodeficiency 24 (IMD24) [MIM:615897]: A life- threatening immunodeficiency, characterized by an impaired capacity of activated T and B cells to proliferate in response to antigen receptor-mediated activation. Patients have early onset of severe chronic viral infections, mostly caused by herpes viruses, including EBV and varicella zooster virus (VZV), and also suffer from recurrent encapsulated bacterial infections, a spectrum of infections typical of a combined deficiency of adaptive immunity. {ECO:0000269|PubMed:24870241}. Note=The disease is caused by mutations affecting the gene represented in this entry. A unique and recessive G to C mutation probably affecting a splice donor site at the junction of intron 17-18 and exon 18 has been identified in all patients. It results in expression of an abnormal transcript lacking exon 18 and a complete loss of the expression of the protein. {ECO:0000269|PubMed:24870241}.; </t>
        </is>
      </c>
      <c r="AI36" t="inlineStr">
        <is>
          <t>.</t>
        </is>
      </c>
      <c r="AJ36" t="inlineStr">
        <is>
          <t>.</t>
        </is>
      </c>
      <c r="AK36" t="inlineStr">
        <is>
          <t>.</t>
        </is>
      </c>
      <c r="AL36" t="inlineStr">
        <is>
          <t>.</t>
        </is>
      </c>
    </row>
    <row r="37">
      <c r="A37" t="inlineStr"/>
      <c r="B37">
        <f>HYPERLINK("https://genome.ucsc.edu/cgi-bin/hgTracks?db=hg19&amp;position=chr1%3A43828663%2D43828663", "chr1:43828663")</f>
        <v/>
      </c>
      <c r="C37" t="inlineStr">
        <is>
          <t>chr1</t>
        </is>
      </c>
      <c r="D37" t="n">
        <v>43828663</v>
      </c>
      <c r="E37" t="n">
        <v>43828663</v>
      </c>
      <c r="F37" t="inlineStr">
        <is>
          <t>G</t>
        </is>
      </c>
      <c r="G37" t="inlineStr">
        <is>
          <t>A</t>
        </is>
      </c>
      <c r="H37" t="inlineStr">
        <is>
          <t>1644.64</t>
        </is>
      </c>
      <c r="I37" t="inlineStr">
        <is>
          <t>160</t>
        </is>
      </c>
      <c r="J37" t="inlineStr">
        <is>
          <t>88,72</t>
        </is>
      </c>
      <c r="K37" t="inlineStr">
        <is>
          <t>.</t>
        </is>
      </c>
      <c r="L37" t="inlineStr">
        <is>
          <t>.</t>
        </is>
      </c>
      <c r="M37">
        <f>HYPERLINK("https://www.genecards.org/Search/Keyword?queryString=%5Baliases%5D(%20CDC20%20)&amp;keywords=CDC20", "CDC20")</f>
        <v/>
      </c>
      <c r="N37" t="inlineStr">
        <is>
          <t>exonic</t>
        </is>
      </c>
      <c r="O37" t="inlineStr">
        <is>
          <t>nonsynonymous SNV</t>
        </is>
      </c>
      <c r="P37" t="inlineStr">
        <is>
          <t>CDC20:NM_001255:exon11:c.G1363A:p.G455R;CDC20:uc001ciy.3:exon10:c.G1363A:p.G455R,CDC20:uc001cix.3:exon11:c.G1363A:p.G455R;CDC20:ENST00000372462.1_1:exon10:c.G1363A:p.G455R,CDC20:ENST00000310955.11_3:exon11:c.G1363A:p.G455R</t>
        </is>
      </c>
      <c r="Q37" t="n">
        <v>-1</v>
      </c>
      <c r="R37" t="n">
        <v>-1</v>
      </c>
      <c r="S37" t="n">
        <v>-1</v>
      </c>
      <c r="T37" t="n">
        <v>-1</v>
      </c>
      <c r="U37" t="n">
        <v>-1</v>
      </c>
      <c r="V37" t="inlineStr">
        <is>
          <t>9/12</t>
        </is>
      </c>
      <c r="W37" t="inlineStr">
        <is>
          <t>.</t>
        </is>
      </c>
      <c r="X37" t="inlineStr">
        <is>
          <t>.</t>
        </is>
      </c>
      <c r="Y37" t="inlineStr">
        <is>
          <t>.</t>
        </is>
      </c>
      <c r="Z37" t="inlineStr">
        <is>
          <t>4/7</t>
        </is>
      </c>
      <c r="AA37" t="inlineStr">
        <is>
          <t>Uncertain significance</t>
        </is>
      </c>
      <c r="AB37" t="inlineStr">
        <is>
          <t>.</t>
        </is>
      </c>
      <c r="AC37" t="inlineStr">
        <is>
          <t>0/1</t>
        </is>
      </c>
      <c r="AD37" t="inlineStr">
        <is>
          <t>1</t>
        </is>
      </c>
      <c r="AE37" t="inlineStr">
        <is>
          <t>0.000181853834795088</t>
        </is>
      </c>
      <c r="AF37" t="inlineStr">
        <is>
          <t>cell division cycle 20</t>
        </is>
      </c>
      <c r="AG37" t="inlineStr">
        <is>
          <t xml:space="preserve">FUNCTION: Required for full ubiquitin ligase activity of the anaphase promoting complex/cyclosome (APC/C) and may confer substrate specificity upon the complex. Is regulated by MAD2L1: in metaphase the MAD2L1-CDC20-APC/C ternary complex is inactive and in anaphase the CDC20-APC/C binary complex is active in degrading substrates. The CDC20-APC/C complex positively regulates the formation of synaptic vesicle clustering at active zone to the presynaptic membrane in postmitotic neurons. CDC20-APC/C-induced degradation of NEUROD2 induces presynaptic differentiation. {ECO:0000269|PubMed:9637688, ECO:0000269|PubMed:9734353, ECO:0000269|PubMed:9811605}.; </t>
        </is>
      </c>
      <c r="AH37" t="inlineStr">
        <is>
          <t>.</t>
        </is>
      </c>
      <c r="AI37" t="inlineStr">
        <is>
          <t>.</t>
        </is>
      </c>
      <c r="AJ37" t="inlineStr">
        <is>
          <t>.</t>
        </is>
      </c>
      <c r="AK37" t="inlineStr">
        <is>
          <t>.</t>
        </is>
      </c>
      <c r="AL37" t="inlineStr">
        <is>
          <t>.</t>
        </is>
      </c>
    </row>
    <row r="38">
      <c r="A38" t="inlineStr"/>
      <c r="B38">
        <f>HYPERLINK("https://genome.ucsc.edu/cgi-bin/hgTracks?db=hg19&amp;position=chr1%3A44083768%2D44083768", "chr1:44083768")</f>
        <v/>
      </c>
      <c r="C38" t="inlineStr">
        <is>
          <t>chr1</t>
        </is>
      </c>
      <c r="D38" t="n">
        <v>44083768</v>
      </c>
      <c r="E38" t="n">
        <v>44083768</v>
      </c>
      <c r="F38" t="inlineStr">
        <is>
          <t>C</t>
        </is>
      </c>
      <c r="G38" t="inlineStr">
        <is>
          <t>G</t>
        </is>
      </c>
      <c r="H38" t="inlineStr">
        <is>
          <t>40.64</t>
        </is>
      </c>
      <c r="I38" t="inlineStr">
        <is>
          <t>12</t>
        </is>
      </c>
      <c r="J38" t="inlineStr">
        <is>
          <t>10,2</t>
        </is>
      </c>
      <c r="K38" t="inlineStr">
        <is>
          <t>.</t>
        </is>
      </c>
      <c r="L38" t="inlineStr">
        <is>
          <t>.</t>
        </is>
      </c>
      <c r="M38">
        <f>HYPERLINK("https://www.genecards.org/Search/Keyword?queryString=%5Baliases%5D(%20PTPRF%20)&amp;keywords=PTPRF", "PTPRF")</f>
        <v/>
      </c>
      <c r="N38" t="inlineStr">
        <is>
          <t>intronic</t>
        </is>
      </c>
      <c r="O38" t="inlineStr">
        <is>
          <t>.</t>
        </is>
      </c>
      <c r="P38" t="inlineStr">
        <is>
          <t>.</t>
        </is>
      </c>
      <c r="Q38" t="n">
        <v>-1</v>
      </c>
      <c r="R38" t="n">
        <v>-1</v>
      </c>
      <c r="S38" t="n">
        <v>-1</v>
      </c>
      <c r="T38" t="n">
        <v>-1</v>
      </c>
      <c r="U38" t="n">
        <v>-1</v>
      </c>
      <c r="V38" t="inlineStr">
        <is>
          <t>.</t>
        </is>
      </c>
      <c r="W38" t="inlineStr">
        <is>
          <t>.</t>
        </is>
      </c>
      <c r="X38" t="inlineStr">
        <is>
          <t>PD</t>
        </is>
      </c>
      <c r="Y38" t="inlineStr">
        <is>
          <t>off</t>
        </is>
      </c>
      <c r="Z38" t="inlineStr">
        <is>
          <t>.</t>
        </is>
      </c>
      <c r="AA38" t="inlineStr">
        <is>
          <t>.</t>
        </is>
      </c>
      <c r="AB38" t="inlineStr">
        <is>
          <t>.</t>
        </is>
      </c>
      <c r="AC38" t="inlineStr">
        <is>
          <t>0/1</t>
        </is>
      </c>
      <c r="AD38" t="inlineStr">
        <is>
          <t>1</t>
        </is>
      </c>
      <c r="AE38" t="inlineStr">
        <is>
          <t>0.999998378977356</t>
        </is>
      </c>
      <c r="AF38" t="inlineStr">
        <is>
          <t>protein tyrosine phosphatase, receptor type F</t>
        </is>
      </c>
      <c r="AG38" t="inlineStr">
        <is>
          <t xml:space="preserve">FUNCTION: Possible cell adhesion receptor. It possesses an intrinsic protein tyrosine phosphatase activity (PTPase) and dephosphorylates EPHA2 regulating its activity.; </t>
        </is>
      </c>
      <c r="AH38" t="inlineStr">
        <is>
          <t xml:space="preserve">DISEASE: Aplasia or hypoplasia of the breasts and/or nipples 2 (BNAH2) [MIM:616001]: A group of congenital deformities encompassing total absence of breasts and nipple (amastia), absence of the nipple (athelia), and absence of the mammary gland (amazia). {ECO:0000269|PubMed:24781087}. Note=The disease is caused by mutations affecting the gene represented in this entry.; </t>
        </is>
      </c>
      <c r="AI38" t="inlineStr">
        <is>
          <t>.</t>
        </is>
      </c>
      <c r="AJ38" t="inlineStr">
        <is>
          <t>.</t>
        </is>
      </c>
      <c r="AK38" t="inlineStr">
        <is>
          <t>.</t>
        </is>
      </c>
      <c r="AL38" t="inlineStr">
        <is>
          <t>.</t>
        </is>
      </c>
    </row>
    <row r="39">
      <c r="A39" t="inlineStr"/>
      <c r="B39">
        <f>HYPERLINK("https://genome.ucsc.edu/cgi-bin/hgTracks?db=hg19&amp;position=chr1%3A47284445%2D47284445", "chr1:47284445")</f>
        <v/>
      </c>
      <c r="C39" t="inlineStr">
        <is>
          <t>chr1</t>
        </is>
      </c>
      <c r="D39" t="n">
        <v>47284445</v>
      </c>
      <c r="E39" t="n">
        <v>47284445</v>
      </c>
      <c r="F39" t="inlineStr">
        <is>
          <t>C</t>
        </is>
      </c>
      <c r="G39" t="inlineStr">
        <is>
          <t>A</t>
        </is>
      </c>
      <c r="H39" t="inlineStr">
        <is>
          <t>513.64</t>
        </is>
      </c>
      <c r="I39" t="inlineStr">
        <is>
          <t>179</t>
        </is>
      </c>
      <c r="J39" t="inlineStr">
        <is>
          <t>142,37</t>
        </is>
      </c>
      <c r="K39" t="inlineStr">
        <is>
          <t>.</t>
        </is>
      </c>
      <c r="L39" t="inlineStr">
        <is>
          <t>.</t>
        </is>
      </c>
      <c r="M39">
        <f>HYPERLINK("https://www.genecards.org/Search/Keyword?queryString=%5Baliases%5D(%20CYP4B1%20)&amp;keywords=CYP4B1", "CYP4B1")</f>
        <v/>
      </c>
      <c r="N39" t="inlineStr">
        <is>
          <t>exonic</t>
        </is>
      </c>
      <c r="O39" t="inlineStr">
        <is>
          <t>nonsynonymous SNV</t>
        </is>
      </c>
      <c r="P39" t="inlineStr">
        <is>
          <t>CYP4B1:NM_001319162:exon10:c.C1009A:p.H337N,CYP4B1:NM_001319163:exon10:c.C1006A:p.H336N,CYP4B1:NM_001319161:exon11:c.C1453A:p.H485N,CYP4B1:NM_000779:exon12:c.C1495A:p.H499N,CYP4B1:NM_001099772:exon12:c.C1498A:p.H500N;CYP4B1:uc010omk.2:exon10:c.C1006A:p.H336N,CYP4B1:uc009vym.3:exon11:c.C1453A:p.H485N,CYP4B1:uc001cqm.4:exon12:c.C1495A:p.H499N,CYP4B1:uc001cqn.4:exon12:c.C1498A:p.H500N;CYP4B1:ENST00000371919.8_2:exon11:c.C1453A:p.H485N,CYP4B1:ENST00000271153.8_4:exon12:c.C1495A:p.H499N,CYP4B1:ENST00000371923.9_5:exon12:c.C1498A:p.H500N</t>
        </is>
      </c>
      <c r="Q39" t="n">
        <v>-1</v>
      </c>
      <c r="R39" t="n">
        <v>-1</v>
      </c>
      <c r="S39" t="n">
        <v>-1</v>
      </c>
      <c r="T39" t="n">
        <v>-1</v>
      </c>
      <c r="U39" t="n">
        <v>-1</v>
      </c>
      <c r="V39" t="inlineStr">
        <is>
          <t>7/12</t>
        </is>
      </c>
      <c r="W39" t="inlineStr">
        <is>
          <t>.</t>
        </is>
      </c>
      <c r="X39" t="inlineStr">
        <is>
          <t>.</t>
        </is>
      </c>
      <c r="Y39" t="inlineStr">
        <is>
          <t>.</t>
        </is>
      </c>
      <c r="Z39" t="inlineStr">
        <is>
          <t>0/7</t>
        </is>
      </c>
      <c r="AA39" t="inlineStr">
        <is>
          <t>Uncertain significance</t>
        </is>
      </c>
      <c r="AB39" t="inlineStr">
        <is>
          <t>.</t>
        </is>
      </c>
      <c r="AC39" t="inlineStr">
        <is>
          <t>0/1</t>
        </is>
      </c>
      <c r="AD39" t="inlineStr">
        <is>
          <t>1</t>
        </is>
      </c>
      <c r="AE39" t="inlineStr">
        <is>
          <t>5.37386386780508e-10</t>
        </is>
      </c>
      <c r="AF39" t="inlineStr">
        <is>
          <t>cytochrome P450 family 4 subfamily B member 1</t>
        </is>
      </c>
      <c r="AG39" t="inlineStr">
        <is>
          <t xml:space="preserve">FUNCTION: Cytochromes P450 are a group of heme-thiolate monooxygenases. In liver microsomes, this enzyme is involved in an NADPH-dependent electron transport pathway. It oxidizes a variety of structurally unrelated compounds, including steroids, fatty acids, and xenobiotics.; </t>
        </is>
      </c>
      <c r="AH39" t="inlineStr">
        <is>
          <t>.</t>
        </is>
      </c>
      <c r="AI39" t="inlineStr">
        <is>
          <t>.</t>
        </is>
      </c>
      <c r="AJ39" t="inlineStr">
        <is>
          <t>.</t>
        </is>
      </c>
      <c r="AK39" t="inlineStr">
        <is>
          <t>.</t>
        </is>
      </c>
      <c r="AL39" t="inlineStr">
        <is>
          <t>.</t>
        </is>
      </c>
    </row>
    <row r="40">
      <c r="A40" t="inlineStr"/>
      <c r="B40">
        <f>HYPERLINK("https://genome.ucsc.edu/cgi-bin/hgTracks?db=hg19&amp;position=chr1%3A47745706%2D47745706", "chr1:47745706")</f>
        <v/>
      </c>
      <c r="C40" t="inlineStr">
        <is>
          <t>chr1</t>
        </is>
      </c>
      <c r="D40" t="n">
        <v>47745706</v>
      </c>
      <c r="E40" t="n">
        <v>47745706</v>
      </c>
      <c r="F40" t="inlineStr">
        <is>
          <t>T</t>
        </is>
      </c>
      <c r="G40" t="inlineStr">
        <is>
          <t>C</t>
        </is>
      </c>
      <c r="H40" t="inlineStr">
        <is>
          <t>34.64</t>
        </is>
      </c>
      <c r="I40" t="inlineStr">
        <is>
          <t>14</t>
        </is>
      </c>
      <c r="J40" t="inlineStr">
        <is>
          <t>12,2</t>
        </is>
      </c>
      <c r="K40" t="inlineStr">
        <is>
          <t>.</t>
        </is>
      </c>
      <c r="L40" t="inlineStr">
        <is>
          <t>.</t>
        </is>
      </c>
      <c r="M40">
        <f>HYPERLINK("https://www.genecards.org/Search/Keyword?queryString=%5Baliases%5D(%20STIL%20)&amp;keywords=STIL", "STIL")</f>
        <v/>
      </c>
      <c r="N40" t="inlineStr">
        <is>
          <t>intronic</t>
        </is>
      </c>
      <c r="O40" t="inlineStr">
        <is>
          <t>.</t>
        </is>
      </c>
      <c r="P40" t="inlineStr">
        <is>
          <t>.</t>
        </is>
      </c>
      <c r="Q40" t="n">
        <v>-1</v>
      </c>
      <c r="R40" t="n">
        <v>-1</v>
      </c>
      <c r="S40" t="n">
        <v>-1</v>
      </c>
      <c r="T40" t="n">
        <v>-1</v>
      </c>
      <c r="U40" t="n">
        <v>-1</v>
      </c>
      <c r="V40" t="inlineStr">
        <is>
          <t>.</t>
        </is>
      </c>
      <c r="W40" t="inlineStr">
        <is>
          <t>.</t>
        </is>
      </c>
      <c r="X40" t="inlineStr">
        <is>
          <t>D</t>
        </is>
      </c>
      <c r="Y40" t="inlineStr">
        <is>
          <t>off</t>
        </is>
      </c>
      <c r="Z40" t="inlineStr">
        <is>
          <t>.</t>
        </is>
      </c>
      <c r="AA40" t="inlineStr">
        <is>
          <t>.</t>
        </is>
      </c>
      <c r="AB40" t="inlineStr">
        <is>
          <t>.</t>
        </is>
      </c>
      <c r="AC40" t="inlineStr">
        <is>
          <t>0/1</t>
        </is>
      </c>
      <c r="AD40" t="inlineStr">
        <is>
          <t>1</t>
        </is>
      </c>
      <c r="AE40" t="inlineStr">
        <is>
          <t>0.202687840102417</t>
        </is>
      </c>
      <c r="AF40" t="inlineStr">
        <is>
          <t>SCL/TAL1 interrupting locus</t>
        </is>
      </c>
      <c r="AG40" t="inlineStr">
        <is>
          <t xml:space="preserve">FUNCTION: Immediate-early gene. Plays an important role in embryonic development as well as in cellular growth and proliferation; its long-term silencing affects cell survival and cell cycle distribution as well as decreases CDK1 activity correlated with reduced phosphorylation of CDK1. Plays a role as a positive regulator of the sonic hedgehog pathway, acting downstream of PTCH1. {ECO:0000269|PubMed:16024801, ECO:0000269|PubMed:9372240}.; </t>
        </is>
      </c>
      <c r="AH40" t="inlineStr">
        <is>
          <t xml:space="preserve">DISEASE: Note=A chromosomal aberration involving STIL may be a cause of some T-cell acute lymphoblastic leukemias (T-ALL). A deletion at 1p32 between STIL and TAL1 genes leads to STIL/TAL1 fusion mRNA with STIL exon 1 slicing to TAL1 exon 3. As both STIL exon 1 and TAL1 exon 3 are 5'-untranslated exons, STIL/TAL1 fusion mRNA predicts a full length TAL1 protein under the control of the STIL promoter, leading to inappropriate TAL1 expression. In childhood T-cell malignancies (T-ALL), a type of defect such as STIL/TAL1 fusion is associated with a good prognosis. In cultured lymphocytes from healthy adults, STIL/TAL1 fusion mRNA may be detected after 7 days of culture. {ECO:0000269|PubMed:11390401, ECO:0000269|PubMed:12681356, ECO:0000269|PubMed:1311214, ECO:0000269|PubMed:14504110, ECO:0000269|PubMed:1922059, ECO:0000269|PubMed:2209547, ECO:0000269|PubMed:2255914}.; DISEASE: Microcephaly 7, primary, autosomal recessive (MCPH7) [MIM:612703]: A disease defined as a head circumference more than 3 standard deviations below the age-related mean. Brain weight is markedly reduced and the cerebral cortex is disproportionately small. Despite this marked reduction in size, the gyral pattern is relatively well preserved, with no major abnormality in cortical architecture. Affected individuals are mentally retarded. Primary microcephaly is further defined by the absence of other syndromic features or significant neurological deficits due to degenerative brain disorder. {ECO:0000269|PubMed:19215732, ECO:0000269|PubMed:22989186}. Note=The disease is caused by mutations affecting the gene represented in this entry.; </t>
        </is>
      </c>
      <c r="AI40" t="inlineStr">
        <is>
          <t>.</t>
        </is>
      </c>
      <c r="AJ40" t="inlineStr">
        <is>
          <t>.</t>
        </is>
      </c>
      <c r="AK40" t="inlineStr">
        <is>
          <t>.</t>
        </is>
      </c>
      <c r="AL40" t="inlineStr">
        <is>
          <t>.</t>
        </is>
      </c>
    </row>
    <row r="41">
      <c r="A41" t="inlineStr"/>
      <c r="B41">
        <f>HYPERLINK("https://genome.ucsc.edu/cgi-bin/hgTracks?db=hg19&amp;position=chr1%3A51937532%2D51937532", "chr1:51937532")</f>
        <v/>
      </c>
      <c r="C41" t="inlineStr">
        <is>
          <t>chr1</t>
        </is>
      </c>
      <c r="D41" t="n">
        <v>51937532</v>
      </c>
      <c r="E41" t="n">
        <v>51937532</v>
      </c>
      <c r="F41" t="inlineStr">
        <is>
          <t>T</t>
        </is>
      </c>
      <c r="G41" t="inlineStr">
        <is>
          <t>C</t>
        </is>
      </c>
      <c r="H41" t="inlineStr">
        <is>
          <t>49.64</t>
        </is>
      </c>
      <c r="I41" t="inlineStr">
        <is>
          <t>9</t>
        </is>
      </c>
      <c r="J41" t="inlineStr">
        <is>
          <t>7,2</t>
        </is>
      </c>
      <c r="K41" t="inlineStr">
        <is>
          <t>.</t>
        </is>
      </c>
      <c r="L41" t="inlineStr">
        <is>
          <t>.</t>
        </is>
      </c>
      <c r="M41">
        <f>HYPERLINK("https://www.genecards.org/Search/Keyword?queryString=%5Baliases%5D(%20EPS15%20)&amp;keywords=EPS15", "EPS15")</f>
        <v/>
      </c>
      <c r="N41" t="inlineStr">
        <is>
          <t>intronic</t>
        </is>
      </c>
      <c r="O41" t="inlineStr">
        <is>
          <t>.</t>
        </is>
      </c>
      <c r="P41" t="inlineStr">
        <is>
          <t>.</t>
        </is>
      </c>
      <c r="Q41" t="n">
        <v>-1</v>
      </c>
      <c r="R41" t="n">
        <v>-1</v>
      </c>
      <c r="S41" t="n">
        <v>-1</v>
      </c>
      <c r="T41" t="n">
        <v>-1</v>
      </c>
      <c r="U41" t="n">
        <v>-1</v>
      </c>
      <c r="V41" t="inlineStr">
        <is>
          <t>.</t>
        </is>
      </c>
      <c r="W41" t="inlineStr">
        <is>
          <t>.</t>
        </is>
      </c>
      <c r="X41" t="inlineStr">
        <is>
          <t>D</t>
        </is>
      </c>
      <c r="Y41" t="inlineStr">
        <is>
          <t>off</t>
        </is>
      </c>
      <c r="Z41" t="inlineStr">
        <is>
          <t>.</t>
        </is>
      </c>
      <c r="AA41" t="inlineStr">
        <is>
          <t>.</t>
        </is>
      </c>
      <c r="AB41" t="inlineStr">
        <is>
          <t>.</t>
        </is>
      </c>
      <c r="AC41" t="inlineStr">
        <is>
          <t>0/1</t>
        </is>
      </c>
      <c r="AD41" t="inlineStr">
        <is>
          <t>1</t>
        </is>
      </c>
      <c r="AE41" t="inlineStr">
        <is>
          <t>0.241707066029501</t>
        </is>
      </c>
      <c r="AF41" t="inlineStr">
        <is>
          <t>epidermal growth factor receptor pathway substrate 15</t>
        </is>
      </c>
      <c r="AG41" t="inlineStr">
        <is>
          <t xml:space="preserve">FUNCTION: Involved in cell growth regulation. May be involved in the regulation of mitogenic signals and control of cell proliferation. Involved in the internalization of ligand-inducible receptors of the receptor tyrosine kinase (RTK) type, in particular EGFR. Plays a role in the assembly of clathrin-coated pits (CCPs). Acts as a clathrin adapter required for post-Golgi trafficking. Seems to be involved in CCPs maturation including invagination or budding. Involved in endocytosis of integrin beta- 1 (ITGB1) and transferrin receptor (TFR); internalization of ITGB1 as DAB2-dependent cargo but not TFR seems to require association with DAB2. {ECO:0000269|PubMed:16903783, ECO:0000269|PubMed:18362181, ECO:0000269|PubMed:19458185, ECO:0000269|PubMed:22648170}.; </t>
        </is>
      </c>
      <c r="AH41" t="inlineStr">
        <is>
          <t xml:space="preserve">DISEASE: Note=A chromosomal aberration involving EPS15 is found in acute leukemias. Translocation t(1;11)(p32;q23) with KMT2A/MLL1. The result is a rogue activator protein.; </t>
        </is>
      </c>
      <c r="AI41" t="inlineStr">
        <is>
          <t>.</t>
        </is>
      </c>
      <c r="AJ41" t="inlineStr">
        <is>
          <t>.</t>
        </is>
      </c>
      <c r="AK41" t="inlineStr">
        <is>
          <t>.</t>
        </is>
      </c>
      <c r="AL41" t="inlineStr">
        <is>
          <t>.</t>
        </is>
      </c>
    </row>
    <row r="42">
      <c r="A42" t="inlineStr"/>
      <c r="B42">
        <f>HYPERLINK("https://genome.ucsc.edu/cgi-bin/hgTracks?db=hg19&amp;position=chr1%3A55557646%2D55557646", "chr1:55557646")</f>
        <v/>
      </c>
      <c r="C42" t="inlineStr">
        <is>
          <t>chr1</t>
        </is>
      </c>
      <c r="D42" t="n">
        <v>55557646</v>
      </c>
      <c r="E42" t="n">
        <v>55557646</v>
      </c>
      <c r="F42" t="inlineStr">
        <is>
          <t>T</t>
        </is>
      </c>
      <c r="G42" t="inlineStr">
        <is>
          <t>C</t>
        </is>
      </c>
      <c r="H42" t="inlineStr">
        <is>
          <t>382.64</t>
        </is>
      </c>
      <c r="I42" t="inlineStr">
        <is>
          <t>21</t>
        </is>
      </c>
      <c r="J42" t="inlineStr">
        <is>
          <t>6,15</t>
        </is>
      </c>
      <c r="K42" t="inlineStr">
        <is>
          <t>.</t>
        </is>
      </c>
      <c r="L42">
        <f>HYPERLINK("https://www.ncbi.nlm.nih.gov/snp/rs780567824", "rs780567824")</f>
        <v/>
      </c>
      <c r="M42">
        <f>HYPERLINK("https://www.genecards.org/Search/Keyword?queryString=%5Baliases%5D(%20USP24%20)&amp;keywords=USP24", "USP24")</f>
        <v/>
      </c>
      <c r="N42" t="inlineStr">
        <is>
          <t>intronic</t>
        </is>
      </c>
      <c r="O42" t="inlineStr">
        <is>
          <t>.</t>
        </is>
      </c>
      <c r="P42" t="inlineStr">
        <is>
          <t>.</t>
        </is>
      </c>
      <c r="Q42" t="n">
        <v>0.0002</v>
      </c>
      <c r="R42" t="n">
        <v>0.0001</v>
      </c>
      <c r="S42" t="n">
        <v>0.0003</v>
      </c>
      <c r="T42" t="n">
        <v>-1</v>
      </c>
      <c r="U42" t="n">
        <v>0.0004</v>
      </c>
      <c r="V42" t="inlineStr">
        <is>
          <t>.</t>
        </is>
      </c>
      <c r="W42" t="inlineStr">
        <is>
          <t>.</t>
        </is>
      </c>
      <c r="X42" t="inlineStr">
        <is>
          <t>PD</t>
        </is>
      </c>
      <c r="Y42" t="inlineStr">
        <is>
          <t>off</t>
        </is>
      </c>
      <c r="Z42" t="inlineStr">
        <is>
          <t>.</t>
        </is>
      </c>
      <c r="AA42" t="inlineStr">
        <is>
          <t>.</t>
        </is>
      </c>
      <c r="AB42" t="inlineStr">
        <is>
          <t>.</t>
        </is>
      </c>
      <c r="AC42" t="inlineStr">
        <is>
          <t>0/1</t>
        </is>
      </c>
      <c r="AD42" t="inlineStr">
        <is>
          <t>1</t>
        </is>
      </c>
      <c r="AE42" t="inlineStr">
        <is>
          <t>0.999999998496473</t>
        </is>
      </c>
      <c r="AF42" t="inlineStr">
        <is>
          <t>ubiquitin specific peptidase 24</t>
        </is>
      </c>
      <c r="AG42" t="inlineStr">
        <is>
          <t xml:space="preserve">FUNCTION: Protease that can remove conjugated ubiquitin from target proteins and polyubiquitin chains. Deubiquitinates DDB2, preventing its proteasomal degradation. {ECO:0000269|PubMed:23159851}.; </t>
        </is>
      </c>
      <c r="AH42" t="inlineStr">
        <is>
          <t>.</t>
        </is>
      </c>
      <c r="AI42" t="inlineStr">
        <is>
          <t>.</t>
        </is>
      </c>
      <c r="AJ42" t="inlineStr">
        <is>
          <t>.</t>
        </is>
      </c>
      <c r="AK42" t="inlineStr">
        <is>
          <t>.</t>
        </is>
      </c>
      <c r="AL42" t="inlineStr">
        <is>
          <t>.</t>
        </is>
      </c>
    </row>
    <row r="43">
      <c r="A43" t="inlineStr"/>
      <c r="B43">
        <f>HYPERLINK("https://genome.ucsc.edu/cgi-bin/hgTracks?db=hg19&amp;position=chr1%3A64644017%2D64644017", "chr1:64644017")</f>
        <v/>
      </c>
      <c r="C43" t="inlineStr">
        <is>
          <t>chr1</t>
        </is>
      </c>
      <c r="D43" t="n">
        <v>64644017</v>
      </c>
      <c r="E43" t="n">
        <v>64644017</v>
      </c>
      <c r="F43" t="inlineStr">
        <is>
          <t>A</t>
        </is>
      </c>
      <c r="G43" t="inlineStr">
        <is>
          <t>C</t>
        </is>
      </c>
      <c r="H43" t="inlineStr">
        <is>
          <t>709.64</t>
        </is>
      </c>
      <c r="I43" t="inlineStr">
        <is>
          <t>155</t>
        </is>
      </c>
      <c r="J43" t="inlineStr">
        <is>
          <t>116,39</t>
        </is>
      </c>
      <c r="K43" t="inlineStr">
        <is>
          <t>.</t>
        </is>
      </c>
      <c r="L43">
        <f>HYPERLINK("https://www.ncbi.nlm.nih.gov/snp/rs959492533", "rs959492533")</f>
        <v/>
      </c>
      <c r="M43">
        <f>HYPERLINK("https://www.genecards.org/Search/Keyword?queryString=%5Baliases%5D(%20ROR1%20)&amp;keywords=ROR1", "ROR1")</f>
        <v/>
      </c>
      <c r="N43" t="inlineStr">
        <is>
          <t>exonic</t>
        </is>
      </c>
      <c r="O43" t="inlineStr">
        <is>
          <t>nonsynonymous SNV</t>
        </is>
      </c>
      <c r="P43" t="inlineStr">
        <is>
          <t>ROR1:NM_005012:exon9:c.A2293C:p.N765H;ROR1:uc001dbj.3:exon9:c.A2293C:p.N765H;ROR1:ENST00000371079.6_4:exon9:c.A2293C:p.N765H</t>
        </is>
      </c>
      <c r="Q43" t="n">
        <v>-1</v>
      </c>
      <c r="R43" t="n">
        <v>-1</v>
      </c>
      <c r="S43" t="n">
        <v>-1</v>
      </c>
      <c r="T43" t="n">
        <v>-1</v>
      </c>
      <c r="U43" t="n">
        <v>-1</v>
      </c>
      <c r="V43" t="inlineStr">
        <is>
          <t>6/11</t>
        </is>
      </c>
      <c r="W43" t="inlineStr">
        <is>
          <t>.</t>
        </is>
      </c>
      <c r="X43" t="inlineStr">
        <is>
          <t>.</t>
        </is>
      </c>
      <c r="Y43" t="inlineStr">
        <is>
          <t>.</t>
        </is>
      </c>
      <c r="Z43" t="inlineStr">
        <is>
          <t>5/7</t>
        </is>
      </c>
      <c r="AA43" t="inlineStr">
        <is>
          <t>Uncertain significance</t>
        </is>
      </c>
      <c r="AB43" t="inlineStr">
        <is>
          <t>.</t>
        </is>
      </c>
      <c r="AC43" t="inlineStr">
        <is>
          <t>0/1</t>
        </is>
      </c>
      <c r="AD43" t="inlineStr">
        <is>
          <t>1</t>
        </is>
      </c>
      <c r="AE43" t="inlineStr">
        <is>
          <t>0.906688532334116</t>
        </is>
      </c>
      <c r="AF43" t="inlineStr">
        <is>
          <t>receptor tyrosine kinase-like orphan receptor 1</t>
        </is>
      </c>
      <c r="AG43" t="inlineStr">
        <is>
          <t xml:space="preserve">FUNCTION: Has very low kinase activity in vitro and is unlikely to function as a tyrosine kinase in vivo. May act as a receptor for wnt ligand WNT5A which may result in the inhibition of WNT3A- mediated signaling. {ECO:0000269|PubMed:25029443}.; </t>
        </is>
      </c>
      <c r="AH43" t="inlineStr">
        <is>
          <t>.</t>
        </is>
      </c>
      <c r="AI43" t="inlineStr">
        <is>
          <t>.</t>
        </is>
      </c>
      <c r="AJ43" t="inlineStr">
        <is>
          <t>.</t>
        </is>
      </c>
      <c r="AK43" t="inlineStr">
        <is>
          <t>.</t>
        </is>
      </c>
      <c r="AL43" t="inlineStr">
        <is>
          <t>.</t>
        </is>
      </c>
    </row>
    <row r="44">
      <c r="A44" t="inlineStr"/>
      <c r="B44">
        <f>HYPERLINK("https://genome.ucsc.edu/cgi-bin/hgTracks?db=hg19&amp;position=chr1%3A70503803%2D70503803", "chr1:70503803")</f>
        <v/>
      </c>
      <c r="C44" t="inlineStr">
        <is>
          <t>chr1</t>
        </is>
      </c>
      <c r="D44" t="n">
        <v>70503803</v>
      </c>
      <c r="E44" t="n">
        <v>70503803</v>
      </c>
      <c r="F44" t="inlineStr">
        <is>
          <t>C</t>
        </is>
      </c>
      <c r="G44" t="inlineStr">
        <is>
          <t>A</t>
        </is>
      </c>
      <c r="H44" t="inlineStr">
        <is>
          <t>496.64</t>
        </is>
      </c>
      <c r="I44" t="inlineStr">
        <is>
          <t>75</t>
        </is>
      </c>
      <c r="J44" t="inlineStr">
        <is>
          <t>55,20</t>
        </is>
      </c>
      <c r="K44" t="inlineStr">
        <is>
          <t>.</t>
        </is>
      </c>
      <c r="L44">
        <f>HYPERLINK("https://www.ncbi.nlm.nih.gov/snp/rs770865664", "rs770865664")</f>
        <v/>
      </c>
      <c r="M44">
        <f>HYPERLINK("https://www.genecards.org/Search/Keyword?queryString=%5Baliases%5D(%20LRRC7%20)&amp;keywords=LRRC7", "LRRC7")</f>
        <v/>
      </c>
      <c r="N44" t="inlineStr">
        <is>
          <t>exonic</t>
        </is>
      </c>
      <c r="O44" t="inlineStr">
        <is>
          <t>nonsynonymous SNV</t>
        </is>
      </c>
      <c r="P44" t="inlineStr">
        <is>
          <t>LRRC7:NM_001350216:exon21:c.C2299A:p.P767T,LRRC7:NM_001366838:exon21:c.C2296A:p.P766T,LRRC7:NM_001370785:exon21:c.C2296A:p.P766T,LRRC7:NM_001330635:exon22:c.C2197A:p.P733T,LRRC7:NM_001366839:exon22:c.C2137A:p.P713T,LRRC7:NM_001366841:exon22:c.C2197A:p.P733T;LRRC7:uc009wbg.3:exon15:c.C34A:p.P12T,LRRC7:uc001dep.3:exon19:c.C2182A:p.P728T;LRRC7:ENST00000415775.2_1:exon15:c.C34A:p.P12T,LRRC7:ENST00000651989.2_6:exon21:c.C2296A:p.P766T,LRRC7:ENST00000310961.9_6:exon22:c.C2197A:p.P733T</t>
        </is>
      </c>
      <c r="Q44" t="n">
        <v>6.5e-06</v>
      </c>
      <c r="R44" t="n">
        <v>-1</v>
      </c>
      <c r="S44" t="n">
        <v>-1</v>
      </c>
      <c r="T44" t="n">
        <v>-1</v>
      </c>
      <c r="U44" t="n">
        <v>-1</v>
      </c>
      <c r="V44" t="inlineStr">
        <is>
          <t>3/12</t>
        </is>
      </c>
      <c r="W44" t="inlineStr">
        <is>
          <t>.</t>
        </is>
      </c>
      <c r="X44" t="inlineStr">
        <is>
          <t>.</t>
        </is>
      </c>
      <c r="Y44" t="inlineStr">
        <is>
          <t>.</t>
        </is>
      </c>
      <c r="Z44" t="inlineStr">
        <is>
          <t>3/7</t>
        </is>
      </c>
      <c r="AA44" t="inlineStr">
        <is>
          <t>Uncertain significance</t>
        </is>
      </c>
      <c r="AB44" t="inlineStr">
        <is>
          <t>.</t>
        </is>
      </c>
      <c r="AC44" t="inlineStr">
        <is>
          <t>0/1</t>
        </is>
      </c>
      <c r="AD44" t="inlineStr">
        <is>
          <t>1</t>
        </is>
      </c>
      <c r="AE44" t="inlineStr">
        <is>
          <t>0.999998533487013</t>
        </is>
      </c>
      <c r="AF44" t="inlineStr">
        <is>
          <t>leucine rich repeat containing 7</t>
        </is>
      </c>
      <c r="AG44" t="inlineStr">
        <is>
          <t xml:space="preserve">FUNCTION: Required for normal synaptic spine architecture and function. Necessary for DISC1 and GRM5 localization to postsynaptic density complexes and for both N-methyl D-aspartate receptor-dependent and metabotropic glutamate receptor-dependent long term depression. {ECO:0000269|PubMed:11729199}.; </t>
        </is>
      </c>
      <c r="AH44" t="inlineStr">
        <is>
          <t>.</t>
        </is>
      </c>
      <c r="AI44" t="inlineStr">
        <is>
          <t>.</t>
        </is>
      </c>
      <c r="AJ44" t="inlineStr">
        <is>
          <t>.</t>
        </is>
      </c>
      <c r="AK44" t="inlineStr">
        <is>
          <t>.</t>
        </is>
      </c>
      <c r="AL44" t="inlineStr">
        <is>
          <t>.</t>
        </is>
      </c>
    </row>
    <row r="45">
      <c r="A45" t="inlineStr"/>
      <c r="B45">
        <f>HYPERLINK("https://genome.ucsc.edu/cgi-bin/hgTracks?db=hg19&amp;position=chr1%3A78435701%2D78435701", "chr1:78435701")</f>
        <v/>
      </c>
      <c r="C45" t="inlineStr">
        <is>
          <t>chr1</t>
        </is>
      </c>
      <c r="D45" t="n">
        <v>78435701</v>
      </c>
      <c r="E45" t="n">
        <v>78435701</v>
      </c>
      <c r="F45" t="inlineStr">
        <is>
          <t>-</t>
        </is>
      </c>
      <c r="G45" t="inlineStr">
        <is>
          <t>A</t>
        </is>
      </c>
      <c r="H45" t="inlineStr">
        <is>
          <t>41.60</t>
        </is>
      </c>
      <c r="I45" t="inlineStr">
        <is>
          <t>19</t>
        </is>
      </c>
      <c r="J45" t="inlineStr">
        <is>
          <t>15,4</t>
        </is>
      </c>
      <c r="K45" t="inlineStr">
        <is>
          <t>.</t>
        </is>
      </c>
      <c r="L45">
        <f>HYPERLINK("https://www.ncbi.nlm.nih.gov/snp/rs752631352", "rs752631352")</f>
        <v/>
      </c>
      <c r="M45">
        <f>HYPERLINK("https://www.genecards.org/Search/Keyword?queryString=%5Baliases%5D(%20FUBP1%20)&amp;keywords=FUBP1", "FUBP1")</f>
        <v/>
      </c>
      <c r="N45" t="inlineStr">
        <is>
          <t>splicing</t>
        </is>
      </c>
      <c r="O45" t="inlineStr">
        <is>
          <t>.</t>
        </is>
      </c>
      <c r="P45" t="inlineStr">
        <is>
          <t>NM_001376057:exon2:c.121-2-&gt;T;NM_001376055:exon2:c.121-2-&gt;T;NM_003902:exon2:c.121-2-&gt;T;NM_001376056:exon2:c.121-2-&gt;T;NM_001303433:exon2:c.121-2-&gt;T;uc001dii.3:exon2:c.121-2-&gt;T;uc010orm.2:exon2:c.121-2-&gt;T;ENST00000370768.7_7:exon2:c.121-2-&gt;T;ENST00000370767.5_6:exon2:c.121-2-&gt;T</t>
        </is>
      </c>
      <c r="Q45" t="n">
        <v>0.0168</v>
      </c>
      <c r="R45" t="n">
        <v>0.0047</v>
      </c>
      <c r="S45" t="n">
        <v>0.0054</v>
      </c>
      <c r="T45" t="n">
        <v>-1</v>
      </c>
      <c r="U45" t="n">
        <v>0.0244</v>
      </c>
      <c r="V45" t="inlineStr">
        <is>
          <t>.</t>
        </is>
      </c>
      <c r="W45" t="inlineStr">
        <is>
          <t>.</t>
        </is>
      </c>
      <c r="X45" t="inlineStr">
        <is>
          <t>.</t>
        </is>
      </c>
      <c r="Y45" t="inlineStr">
        <is>
          <t>.</t>
        </is>
      </c>
      <c r="Z45" t="inlineStr">
        <is>
          <t>.</t>
        </is>
      </c>
      <c r="AA45" t="inlineStr">
        <is>
          <t>.</t>
        </is>
      </c>
      <c r="AB45" t="inlineStr">
        <is>
          <t>.</t>
        </is>
      </c>
      <c r="AC45" t="inlineStr">
        <is>
          <t>0/1</t>
        </is>
      </c>
      <c r="AD45" t="inlineStr">
        <is>
          <t>1</t>
        </is>
      </c>
      <c r="AE45" t="inlineStr">
        <is>
          <t>0.999972830983476</t>
        </is>
      </c>
      <c r="AF45" t="inlineStr">
        <is>
          <t>far upstream element binding protein 1</t>
        </is>
      </c>
      <c r="AG45" t="inlineStr">
        <is>
          <t xml:space="preserve">FUNCTION: Regulates MYC expression by binding to a single-stranded far-upstream element (FUSE) upstream of the MYC promoter. May act both as activator and repressor of transcription. {ECO:0000269|PubMed:8125259}.; </t>
        </is>
      </c>
      <c r="AH45" t="inlineStr">
        <is>
          <t>.</t>
        </is>
      </c>
      <c r="AI45" t="inlineStr">
        <is>
          <t>.</t>
        </is>
      </c>
      <c r="AJ45" t="inlineStr">
        <is>
          <t>.</t>
        </is>
      </c>
      <c r="AK45" t="inlineStr">
        <is>
          <t>.</t>
        </is>
      </c>
      <c r="AL45" t="inlineStr">
        <is>
          <t>.</t>
        </is>
      </c>
    </row>
    <row r="46">
      <c r="A46" t="inlineStr"/>
      <c r="B46">
        <f>HYPERLINK("https://genome.ucsc.edu/cgi-bin/hgTracks?db=hg19&amp;position=chr1%3A79356879%2D79356879", "chr1:79356879")</f>
        <v/>
      </c>
      <c r="C46" t="inlineStr">
        <is>
          <t>chr1</t>
        </is>
      </c>
      <c r="D46" t="n">
        <v>79356879</v>
      </c>
      <c r="E46" t="n">
        <v>79356879</v>
      </c>
      <c r="F46" t="inlineStr">
        <is>
          <t>A</t>
        </is>
      </c>
      <c r="G46" t="inlineStr">
        <is>
          <t>C</t>
        </is>
      </c>
      <c r="H46" t="inlineStr">
        <is>
          <t>109.64</t>
        </is>
      </c>
      <c r="I46" t="inlineStr">
        <is>
          <t>39</t>
        </is>
      </c>
      <c r="J46" t="inlineStr">
        <is>
          <t>32,7</t>
        </is>
      </c>
      <c r="K46" t="inlineStr">
        <is>
          <t>.</t>
        </is>
      </c>
      <c r="L46" t="inlineStr">
        <is>
          <t>.</t>
        </is>
      </c>
      <c r="M46">
        <f>HYPERLINK("https://www.genecards.org/Search/Keyword?queryString=%5Baliases%5D(%20ADGRL4%20)%20OR%20%5Baliases%5D(%20ELTD1%20)&amp;keywords=ADGRL4,ELTD1", "ADGRL4;ELTD1")</f>
        <v/>
      </c>
      <c r="N46" t="inlineStr">
        <is>
          <t>exonic</t>
        </is>
      </c>
      <c r="O46" t="inlineStr">
        <is>
          <t>nonsynonymous SNV</t>
        </is>
      </c>
      <c r="P46" t="inlineStr">
        <is>
          <t>ADGRL4:NM_022159:exon15:c.T2033G:p.L678W;ELTD1:uc001diq.4:exon15:c.T2033G:p.L678W;ADGRL4:ENST00000671209.1_3:exon14:c.T1859G:p.L620W,ADGRL4:ENST00000370742.4_7:exon15:c.T2033G:p.L678W,ADGRL4:ENST00000656841.1_4:exon15:c.T1898G:p.L633W,ADGRL4:ENST00000655029.1_4:exon17:c.T1898G:p.L633W,ADGRL4:ENST00000661030.1_4:exon17:c.T1898G:p.L633W</t>
        </is>
      </c>
      <c r="Q46" t="n">
        <v>-1</v>
      </c>
      <c r="R46" t="n">
        <v>-1</v>
      </c>
      <c r="S46" t="n">
        <v>-1</v>
      </c>
      <c r="T46" t="n">
        <v>-1</v>
      </c>
      <c r="U46" t="n">
        <v>-1</v>
      </c>
      <c r="V46" t="inlineStr">
        <is>
          <t>6/12</t>
        </is>
      </c>
      <c r="W46" t="inlineStr">
        <is>
          <t>.</t>
        </is>
      </c>
      <c r="X46" t="inlineStr">
        <is>
          <t>.</t>
        </is>
      </c>
      <c r="Y46" t="inlineStr">
        <is>
          <t>.</t>
        </is>
      </c>
      <c r="Z46" t="inlineStr">
        <is>
          <t>4/7</t>
        </is>
      </c>
      <c r="AA46" t="inlineStr">
        <is>
          <t>Uncertain significance</t>
        </is>
      </c>
      <c r="AB46" t="inlineStr">
        <is>
          <t>.</t>
        </is>
      </c>
      <c r="AC46" t="inlineStr">
        <is>
          <t>0/1</t>
        </is>
      </c>
      <c r="AD46" t="inlineStr">
        <is>
          <t>1;1</t>
        </is>
      </c>
      <c r="AE46" t="inlineStr">
        <is>
          <t>.</t>
        </is>
      </c>
      <c r="AF46" t="inlineStr">
        <is>
          <t>adhesion G protein-coupled receptor L4</t>
        </is>
      </c>
      <c r="AG46" t="inlineStr">
        <is>
          <t xml:space="preserve">FUNCTION: Endothelial orphan receptor that acts as a key regulator of angiogenesis. {ECO:0000269|PubMed:23871637}.; </t>
        </is>
      </c>
      <c r="AH46" t="inlineStr">
        <is>
          <t>.</t>
        </is>
      </c>
      <c r="AI46" t="inlineStr">
        <is>
          <t>.</t>
        </is>
      </c>
      <c r="AJ46" t="inlineStr">
        <is>
          <t>.</t>
        </is>
      </c>
      <c r="AK46" t="inlineStr">
        <is>
          <t>.</t>
        </is>
      </c>
      <c r="AL46" t="inlineStr">
        <is>
          <t>.</t>
        </is>
      </c>
    </row>
    <row r="47">
      <c r="A47" t="inlineStr"/>
      <c r="B47">
        <f>HYPERLINK("https://genome.ucsc.edu/cgi-bin/hgTracks?db=hg19&amp;position=chr1%3A82447636%2D82447636", "chr1:82447636")</f>
        <v/>
      </c>
      <c r="C47" t="inlineStr">
        <is>
          <t>chr1</t>
        </is>
      </c>
      <c r="D47" t="n">
        <v>82447636</v>
      </c>
      <c r="E47" t="n">
        <v>82447636</v>
      </c>
      <c r="F47" t="inlineStr">
        <is>
          <t>C</t>
        </is>
      </c>
      <c r="G47" t="inlineStr">
        <is>
          <t>G</t>
        </is>
      </c>
      <c r="H47" t="inlineStr">
        <is>
          <t>180.64</t>
        </is>
      </c>
      <c r="I47" t="inlineStr">
        <is>
          <t>37</t>
        </is>
      </c>
      <c r="J47" t="inlineStr">
        <is>
          <t>28,9</t>
        </is>
      </c>
      <c r="K47" t="inlineStr">
        <is>
          <t>.</t>
        </is>
      </c>
      <c r="L47" t="inlineStr">
        <is>
          <t>.</t>
        </is>
      </c>
      <c r="M47">
        <f>HYPERLINK("https://www.genecards.org/Search/Keyword?queryString=%5Baliases%5D(%20ADGRL2%20)%20OR%20%5Baliases%5D(%20LPHN2%20)&amp;keywords=ADGRL2,LPHN2", "ADGRL2;LPHN2")</f>
        <v/>
      </c>
      <c r="N47" t="inlineStr">
        <is>
          <t>exonic</t>
        </is>
      </c>
      <c r="O47" t="inlineStr">
        <is>
          <t>nonsynonymous SNV</t>
        </is>
      </c>
      <c r="P47" t="inlineStr">
        <is>
          <t>ADGRL2:NM_001297705:exon17:c.C3207G:p.I1069M,ADGRL2:NM_001297706:exon17:c.C3207G:p.I1069M,ADGRL2:NM_001350699:exon17:c.C3207G:p.I1069M,ADGRL2:NM_012302:exon17:c.C3207G:p.I1069M,ADGRL2:NM_001297704:exon18:c.C3207G:p.I1069M,ADGRL2:NM_001330645:exon18:c.C3246G:p.I1082M,ADGRL2:NM_001366002:exon18:c.C3207G:p.I1069M,ADGRL2:NM_001366009:exon18:c.C3246G:p.I1082M,ADGRL2:NM_001350698:exon19:c.C3258G:p.I1086M,ADGRL2:NM_001366005:exon19:c.C3258G:p.I1086M,ADGRL2:NM_001366006:exon19:c.C3258G:p.I1086M,ADGRL2:NM_001366007:exon20:c.C3303G:p.I1101M,ADGRL2:NM_001366008:exon22:c.C3258G:p.I1086M,ADGRL2:NM_001366003:exon24:c.C3258G:p.I1086M,ADGRL2:NM_001366004:exon24:c.C3258G:p.I1086M;LPHN2:uc009wce.1:exon5:c.C510G:p.I170M,LPHN2:uc001diw.3:exon13:c.C1959G:p.I653M,LPHN2:uc001diu.3:exon17:c.C3207G:p.I1069M,LPHN2:uc001div.3:exon17:c.C3207G:p.I1069M,LPHN2:uc009wcd.3:exon17:c.C3207G:p.I1069M,LPHN2:uc001dit.4:exon18:c.C3207G:p.I1069M;ADGRL2:ENST00000319517.10_3:exon17:c.C3207G:p.I1069M,ADGRL2:ENST00000370713.5_1:exon17:c.C3207G:p.I1069M,ADGRL2:ENST00000370715.5_1:exon17:c.C3207G:p.I1069M,ADGRL2:ENST00000674209.1_3:exon17:c.C3207G:p.I1069M,ADGRL2:ENST00000674407.1_2:exon17:c.C3207G:p.I1069M,ADGRL2:ENST00000674442.1_2:exon17:c.C3207G:p.I1069M,ADGRL2:ENST00000359929.7_3:exon18:c.C3207G:p.I1069M,ADGRL2:ENST00000370717.6_5:exon18:c.C3246G:p.I1082M,ADGRL2:ENST00000674168.1_2:exon18:c.C3252G:p.I1084M,ADGRL2:ENST00000674208.1_2:exon18:c.C3246G:p.I1082M,ADGRL2:ENST00000674393.1_2:exon18:c.C3207G:p.I1069M,ADGRL2:ENST00000674419.1_2:exon18:c.C3246G:p.I1082M,ADGRL2:ENST00000627151.2_1:exon19:c.C3291G:p.I1097M,ADGRL2:ENST00000674307.1_2:exon19:c.C3279G:p.I1093M,ADGRL2:ENST00000686636.1_1:exon19:c.C3258G:p.I1086M,ADGRL2:ENST00000674489.1_2:exon20:c.C3318G:p.I1106M,ADGRL2:ENST00000370721.5_9:exon21:c.C3021G:p.I1007M,ADGRL2:ENST00000370723.5_5:exon21:c.C3252G:p.I1084M,ADGRL2:ENST00000370728.5_10:exon21:c.C3246G:p.I1082M,ADGRL2:ENST00000370730.5_6:exon21:c.C3246G:p.I1082M,ADGRL2:ENST00000370725.5_12:exon22:c.C3291G:p.I1097M,ADGRL2:ENST00000370727.5_5:exon22:c.C3291G:p.I1097M</t>
        </is>
      </c>
      <c r="Q47" t="n">
        <v>-1</v>
      </c>
      <c r="R47" t="n">
        <v>-1</v>
      </c>
      <c r="S47" t="n">
        <v>-1</v>
      </c>
      <c r="T47" t="n">
        <v>-1</v>
      </c>
      <c r="U47" t="n">
        <v>-1</v>
      </c>
      <c r="V47" t="inlineStr">
        <is>
          <t>7/12</t>
        </is>
      </c>
      <c r="W47" t="inlineStr">
        <is>
          <t>.</t>
        </is>
      </c>
      <c r="X47" t="inlineStr">
        <is>
          <t>.</t>
        </is>
      </c>
      <c r="Y47" t="inlineStr">
        <is>
          <t>.</t>
        </is>
      </c>
      <c r="Z47" t="inlineStr">
        <is>
          <t>3/7</t>
        </is>
      </c>
      <c r="AA47" t="inlineStr">
        <is>
          <t>Uncertain significance</t>
        </is>
      </c>
      <c r="AB47" t="inlineStr">
        <is>
          <t>.</t>
        </is>
      </c>
      <c r="AC47" t="inlineStr">
        <is>
          <t>0/1</t>
        </is>
      </c>
      <c r="AD47" t="inlineStr">
        <is>
          <t>1;1</t>
        </is>
      </c>
      <c r="AE47" t="inlineStr">
        <is>
          <t>.</t>
        </is>
      </c>
      <c r="AF47" t="inlineStr">
        <is>
          <t>adhesion G protein-coupled receptor L2</t>
        </is>
      </c>
      <c r="AG47" t="inlineStr">
        <is>
          <t xml:space="preserve">FUNCTION: Calcium-independent receptor of low affinity for alpha- latrotoxin, an excitatory neurotoxin present in black widow spider venom which triggers massive exocytosis from neurons and neuroendocrine cells. Receptor propably implicated in the regulation of exocytosis. {ECO:0000250|UniProtKB:O88923}.; </t>
        </is>
      </c>
      <c r="AH47" t="inlineStr">
        <is>
          <t>.</t>
        </is>
      </c>
      <c r="AI47" t="inlineStr">
        <is>
          <t>.</t>
        </is>
      </c>
      <c r="AJ47" t="inlineStr">
        <is>
          <t>.</t>
        </is>
      </c>
      <c r="AK47" t="inlineStr">
        <is>
          <t>.</t>
        </is>
      </c>
      <c r="AL47" t="inlineStr">
        <is>
          <t>.</t>
        </is>
      </c>
    </row>
    <row r="48">
      <c r="A48" t="inlineStr"/>
      <c r="B48">
        <f>HYPERLINK("https://genome.ucsc.edu/cgi-bin/hgTracks?db=hg19&amp;position=chr1%3A92185201%2D92185201", "chr1:92185201")</f>
        <v/>
      </c>
      <c r="C48" t="inlineStr">
        <is>
          <t>chr1</t>
        </is>
      </c>
      <c r="D48" t="n">
        <v>92185201</v>
      </c>
      <c r="E48" t="n">
        <v>92185201</v>
      </c>
      <c r="F48" t="inlineStr">
        <is>
          <t>T</t>
        </is>
      </c>
      <c r="G48" t="inlineStr">
        <is>
          <t>C</t>
        </is>
      </c>
      <c r="H48" t="inlineStr">
        <is>
          <t>61.64</t>
        </is>
      </c>
      <c r="I48" t="inlineStr">
        <is>
          <t>7</t>
        </is>
      </c>
      <c r="J48" t="inlineStr">
        <is>
          <t>5,2</t>
        </is>
      </c>
      <c r="K48" t="inlineStr">
        <is>
          <t>.</t>
        </is>
      </c>
      <c r="L48">
        <f>HYPERLINK("https://www.ncbi.nlm.nih.gov/snp/rs937529935", "rs937529935")</f>
        <v/>
      </c>
      <c r="M48">
        <f>HYPERLINK("https://www.genecards.org/Search/Keyword?queryString=%5Baliases%5D(%20TGFBR3%20)&amp;keywords=TGFBR3", "TGFBR3")</f>
        <v/>
      </c>
      <c r="N48" t="inlineStr">
        <is>
          <t>intronic</t>
        </is>
      </c>
      <c r="O48" t="inlineStr">
        <is>
          <t>.</t>
        </is>
      </c>
      <c r="P48" t="inlineStr">
        <is>
          <t>.</t>
        </is>
      </c>
      <c r="Q48" t="n">
        <v>0.0002</v>
      </c>
      <c r="R48" t="n">
        <v>0.0002</v>
      </c>
      <c r="S48" t="n">
        <v>-1</v>
      </c>
      <c r="T48" t="n">
        <v>-1</v>
      </c>
      <c r="U48" t="n">
        <v>-1</v>
      </c>
      <c r="V48" t="inlineStr">
        <is>
          <t>.</t>
        </is>
      </c>
      <c r="W48" t="inlineStr">
        <is>
          <t>.</t>
        </is>
      </c>
      <c r="X48" t="inlineStr">
        <is>
          <t>PD</t>
        </is>
      </c>
      <c r="Y48" t="inlineStr">
        <is>
          <t>off</t>
        </is>
      </c>
      <c r="Z48" t="inlineStr">
        <is>
          <t>.</t>
        </is>
      </c>
      <c r="AA48" t="inlineStr">
        <is>
          <t>.</t>
        </is>
      </c>
      <c r="AB48" t="inlineStr">
        <is>
          <t>.</t>
        </is>
      </c>
      <c r="AC48" t="inlineStr">
        <is>
          <t>.</t>
        </is>
      </c>
      <c r="AD48" t="inlineStr">
        <is>
          <t>1</t>
        </is>
      </c>
      <c r="AE48" t="inlineStr">
        <is>
          <t>0.0110547982037593</t>
        </is>
      </c>
      <c r="AF48" t="inlineStr">
        <is>
          <t>transforming growth factor beta receptor III</t>
        </is>
      </c>
      <c r="AG48" t="inlineStr">
        <is>
          <t xml:space="preserve">FUNCTION: Binds to TGF-beta. Could be involved in capturing and retaining TGF-beta for presentation to the signaling receptors.; </t>
        </is>
      </c>
      <c r="AH48" t="inlineStr">
        <is>
          <t>.</t>
        </is>
      </c>
      <c r="AI48" t="inlineStr">
        <is>
          <t>.</t>
        </is>
      </c>
      <c r="AJ48" t="inlineStr">
        <is>
          <t>.</t>
        </is>
      </c>
      <c r="AK48" t="inlineStr">
        <is>
          <t>.</t>
        </is>
      </c>
      <c r="AL48" t="inlineStr">
        <is>
          <t>.</t>
        </is>
      </c>
    </row>
    <row r="49">
      <c r="A49" t="inlineStr"/>
      <c r="B49">
        <f>HYPERLINK("https://genome.ucsc.edu/cgi-bin/hgTracks?db=hg19&amp;position=chr1%3A92446579%2D92446579", "chr1:92446579")</f>
        <v/>
      </c>
      <c r="C49" t="inlineStr">
        <is>
          <t>chr1</t>
        </is>
      </c>
      <c r="D49" t="n">
        <v>92446579</v>
      </c>
      <c r="E49" t="n">
        <v>92446579</v>
      </c>
      <c r="F49" t="inlineStr">
        <is>
          <t>C</t>
        </is>
      </c>
      <c r="G49" t="inlineStr">
        <is>
          <t>T</t>
        </is>
      </c>
      <c r="H49" t="inlineStr">
        <is>
          <t>1517.64</t>
        </is>
      </c>
      <c r="I49" t="inlineStr">
        <is>
          <t>103</t>
        </is>
      </c>
      <c r="J49" t="inlineStr">
        <is>
          <t>44,59</t>
        </is>
      </c>
      <c r="K49" t="inlineStr">
        <is>
          <t>.</t>
        </is>
      </c>
      <c r="L49">
        <f>HYPERLINK("https://www.ncbi.nlm.nih.gov/snp/rs969395495", "rs969395495")</f>
        <v/>
      </c>
      <c r="M49">
        <f>HYPERLINK("https://www.genecards.org/Search/Keyword?queryString=%5Baliases%5D(%20BRDT%20)&amp;keywords=BRDT", "BRDT")</f>
        <v/>
      </c>
      <c r="N49" t="inlineStr">
        <is>
          <t>exonic</t>
        </is>
      </c>
      <c r="O49" t="inlineStr">
        <is>
          <t>stopgain</t>
        </is>
      </c>
      <c r="P49" t="inlineStr">
        <is>
          <t>BRDT:NM_001242807:exon9:c.C1456T:p.R486X,BRDT:NM_001242808:exon9:c.C1456T:p.R486X,BRDT:NM_001242806:exon10:c.C1606T:p.R536X,BRDT:NM_001242810:exon10:c.C1375T:p.R459X,BRDT:NM_001726:exon10:c.C1594T:p.R532X,BRDT:NM_207189:exon10:c.C1594T:p.R532X,BRDT:NM_001242805:exon11:c.C1594T:p.R532X;BRDT:uc010ota.2:exon9:c.C1456T:p.R486X,BRDT:uc010otb.2:exon9:c.C1456T:p.R486X,BRDT:uc001dok.4:exon10:c.C1594T:p.R532X,BRDT:uc001dom.4:exon10:c.C1594T:p.R532X,BRDT:uc009wdf.3:exon10:c.C1375T:p.R459X,BRDT:uc010osz.2:exon10:c.C1606T:p.R536X,BRDT:uc001dol.4:exon11:c.C1594T:p.R532X;BRDT:ENST00000394530.7_2:exon9:c.C1456T:p.R486X,BRDT:ENST00000370389.6_1:exon10:c.C1375T:p.R459X,BRDT:ENST00000399546.7_3:exon10:c.C1594T:p.R532X,BRDT:ENST00000402388.1_3:exon10:c.C1594T:p.R532X,BRDT:ENST00000362005.7_3:exon11:c.C1594T:p.R532X</t>
        </is>
      </c>
      <c r="Q49" t="n">
        <v>0.000821</v>
      </c>
      <c r="R49" t="n">
        <v>-1</v>
      </c>
      <c r="S49" t="n">
        <v>-1</v>
      </c>
      <c r="T49" t="n">
        <v>-1</v>
      </c>
      <c r="U49" t="n">
        <v>-1</v>
      </c>
      <c r="V49" t="inlineStr">
        <is>
          <t>1/3</t>
        </is>
      </c>
      <c r="W49" t="inlineStr">
        <is>
          <t>.</t>
        </is>
      </c>
      <c r="X49" t="inlineStr">
        <is>
          <t>.</t>
        </is>
      </c>
      <c r="Y49" t="inlineStr">
        <is>
          <t>.</t>
        </is>
      </c>
      <c r="Z49" t="inlineStr">
        <is>
          <t>0/7</t>
        </is>
      </c>
      <c r="AA49" t="inlineStr">
        <is>
          <t>Uncertain significance</t>
        </is>
      </c>
      <c r="AB49" t="inlineStr">
        <is>
          <t>.</t>
        </is>
      </c>
      <c r="AC49" t="inlineStr">
        <is>
          <t>0/1</t>
        </is>
      </c>
      <c r="AD49" t="inlineStr">
        <is>
          <t>1</t>
        </is>
      </c>
      <c r="AE49" t="inlineStr">
        <is>
          <t>2.47163040334459e-06</t>
        </is>
      </c>
      <c r="AF49" t="inlineStr">
        <is>
          <t>bromodomain testis associated</t>
        </is>
      </c>
      <c r="AG49" t="inlineStr">
        <is>
          <t xml:space="preserve">FUNCTION: Testis-specific chromatin protein that specifically binds histone H4 acetylated at 'Lys-5' and 'Lys-8' (H4K5ac and H4K8ac, respectively) and plays a key role in spermatogenesis. Required in late pachytene spermatocytes: plays a role in meiotic and post-meiotic cells by binding to acetylated histones at the promoter of specific meiotic and post-meiotic genes, facilitating their activation at the appropriate time. In the post-meiotic phase of spermatogenesis, binds to hyperacetylated histones and participates in their general removal from DNA. Also acts as a component of the splicing machinery in pachytene spermatocytes and round spermatids and participates in 3'-UTR truncation of specific mRNAs in post-meiotic spermatids. Required for chromocenter organization, a structure comprised of peri-centromeric heterochromatin. {ECO:0000269|PubMed:15647849, ECO:0000269|PubMed:22901802, ECO:0000269|PubMed:9367677}.; </t>
        </is>
      </c>
      <c r="AH49" t="inlineStr">
        <is>
          <t>.</t>
        </is>
      </c>
      <c r="AI49" t="inlineStr">
        <is>
          <t>.</t>
        </is>
      </c>
      <c r="AJ49" t="inlineStr">
        <is>
          <t>.</t>
        </is>
      </c>
      <c r="AK49" t="inlineStr">
        <is>
          <t>.</t>
        </is>
      </c>
      <c r="AL49" t="inlineStr">
        <is>
          <t>.</t>
        </is>
      </c>
    </row>
    <row r="50">
      <c r="A50" t="inlineStr"/>
      <c r="B50">
        <f>HYPERLINK("https://genome.ucsc.edu/cgi-bin/hgTracks?db=hg19&amp;position=chr1%3A99772444%2D99772444", "chr1:99772444")</f>
        <v/>
      </c>
      <c r="C50" t="inlineStr">
        <is>
          <t>chr1</t>
        </is>
      </c>
      <c r="D50" t="n">
        <v>99772444</v>
      </c>
      <c r="E50" t="n">
        <v>99772444</v>
      </c>
      <c r="F50" t="inlineStr">
        <is>
          <t>C</t>
        </is>
      </c>
      <c r="G50" t="inlineStr">
        <is>
          <t>A</t>
        </is>
      </c>
      <c r="H50" t="inlineStr">
        <is>
          <t>483.64</t>
        </is>
      </c>
      <c r="I50" t="inlineStr">
        <is>
          <t>91</t>
        </is>
      </c>
      <c r="J50" t="inlineStr">
        <is>
          <t>66,25</t>
        </is>
      </c>
      <c r="K50" t="inlineStr">
        <is>
          <t>.</t>
        </is>
      </c>
      <c r="L50" t="inlineStr">
        <is>
          <t>.</t>
        </is>
      </c>
      <c r="M50">
        <f>HYPERLINK("https://www.genecards.org/Search/Keyword?queryString=%5Baliases%5D(%20LPPR4%20)%20OR%20%5Baliases%5D(%20PLPPR4%20)&amp;keywords=LPPR4,PLPPR4", "LPPR4;PLPPR4")</f>
        <v/>
      </c>
      <c r="N50" t="inlineStr">
        <is>
          <t>exonic</t>
        </is>
      </c>
      <c r="O50" t="inlineStr">
        <is>
          <t>nonsynonymous SNV</t>
        </is>
      </c>
      <c r="P50" t="inlineStr">
        <is>
          <t>PLPPR4:NM_001166252:exon6:c.C1996A:p.R666S,PLPPR4:NM_014839:exon7:c.C2026A:p.R676S;LPPR4:uc010oue.2:exon6:c.C1996A:p.R666S,LPPR4:uc001dse.3:exon7:c.C2170A:p.R724S;PLPPR4:ENST00000457765.6_2:exon6:c.C1852A:p.R618S,PLPPR4:ENST00000370185.9_5:exon7:c.C2026A:p.R676S</t>
        </is>
      </c>
      <c r="Q50" t="n">
        <v>-1</v>
      </c>
      <c r="R50" t="n">
        <v>-1</v>
      </c>
      <c r="S50" t="n">
        <v>-1</v>
      </c>
      <c r="T50" t="n">
        <v>-1</v>
      </c>
      <c r="U50" t="n">
        <v>-1</v>
      </c>
      <c r="V50" t="inlineStr">
        <is>
          <t>6/12</t>
        </is>
      </c>
      <c r="W50" t="inlineStr">
        <is>
          <t>.</t>
        </is>
      </c>
      <c r="X50" t="inlineStr">
        <is>
          <t>.</t>
        </is>
      </c>
      <c r="Y50" t="inlineStr">
        <is>
          <t>.</t>
        </is>
      </c>
      <c r="Z50" t="inlineStr">
        <is>
          <t>3/7</t>
        </is>
      </c>
      <c r="AA50" t="inlineStr">
        <is>
          <t>Uncertain significance</t>
        </is>
      </c>
      <c r="AB50" t="inlineStr">
        <is>
          <t>.</t>
        </is>
      </c>
      <c r="AC50" t="inlineStr">
        <is>
          <t>0/1</t>
        </is>
      </c>
      <c r="AD50" t="inlineStr">
        <is>
          <t>1;1</t>
        </is>
      </c>
      <c r="AE50" t="inlineStr">
        <is>
          <t>.</t>
        </is>
      </c>
      <c r="AF50" t="inlineStr">
        <is>
          <t>phospholipid phosphatase related 4</t>
        </is>
      </c>
      <c r="AG50" t="inlineStr">
        <is>
          <t xml:space="preserve">FUNCTION: Hydrolyzes lysophosphatidic acid (LPA). Facilitates axonal outgrowth during development and regenerative sprouting. In the outgrowing axons acts as an ecto-enzyme and attenuates phospholipid-induced axon collapse in neurons and facilitates outgrowth in the hippocampus. {ECO:0000269|PubMed:12730698}.; </t>
        </is>
      </c>
      <c r="AH50" t="inlineStr">
        <is>
          <t>.</t>
        </is>
      </c>
      <c r="AI50" t="inlineStr">
        <is>
          <t>.</t>
        </is>
      </c>
      <c r="AJ50" t="inlineStr">
        <is>
          <t>.</t>
        </is>
      </c>
      <c r="AK50" t="inlineStr">
        <is>
          <t>.</t>
        </is>
      </c>
      <c r="AL50" t="inlineStr">
        <is>
          <t>.</t>
        </is>
      </c>
    </row>
    <row r="51">
      <c r="A51" t="inlineStr"/>
      <c r="B51">
        <f>HYPERLINK("https://genome.ucsc.edu/cgi-bin/hgTracks?db=hg19&amp;position=chr1%3A103354135%2D103354135", "chr1:103354135")</f>
        <v/>
      </c>
      <c r="C51" t="inlineStr">
        <is>
          <t>chr1</t>
        </is>
      </c>
      <c r="D51" t="n">
        <v>103354135</v>
      </c>
      <c r="E51" t="n">
        <v>103354135</v>
      </c>
      <c r="F51" t="inlineStr">
        <is>
          <t>G</t>
        </is>
      </c>
      <c r="G51" t="inlineStr">
        <is>
          <t>C</t>
        </is>
      </c>
      <c r="H51" t="inlineStr">
        <is>
          <t>908.64</t>
        </is>
      </c>
      <c r="I51" t="inlineStr">
        <is>
          <t>41</t>
        </is>
      </c>
      <c r="J51" t="inlineStr">
        <is>
          <t>10,31</t>
        </is>
      </c>
      <c r="K51" t="inlineStr">
        <is>
          <t>.</t>
        </is>
      </c>
      <c r="L51">
        <f>HYPERLINK("https://www.ncbi.nlm.nih.gov/snp/rs139064549", "rs139064549")</f>
        <v/>
      </c>
      <c r="M51">
        <f>HYPERLINK("https://www.genecards.org/Search/Keyword?queryString=%5Baliases%5D(%20COL11A1%20)&amp;keywords=COL11A1", "COL11A1")</f>
        <v/>
      </c>
      <c r="N51" t="inlineStr">
        <is>
          <t>exonic</t>
        </is>
      </c>
      <c r="O51" t="inlineStr">
        <is>
          <t>nonsynonymous SNV</t>
        </is>
      </c>
      <c r="P51" t="inlineStr">
        <is>
          <t>COL11A1:NM_080630:exon60:c.C4258G:p.P1420A,COL11A1:NM_001190709:exon61:c.C4489G:p.P1497A,COL11A1:NM_001854:exon62:c.C4606G:p.P1536A,COL11A1:NM_080629:exon62:c.C4642G:p.P1548A;COL11A1:uc001duk.3:exon59:c.C2194G:p.P732A,COL11A1:uc009weh.3:exon60:c.C4258G:p.P1420A,COL11A1:uc001dun.3:exon61:c.C4489G:p.P1497A,COL11A1:uc001dul.3:exon62:c.C4606G:p.P1536A,COL11A1:uc001dum.3:exon62:c.C4642G:p.P1548A;COL11A1:ENST00000512756.5_4:exon60:c.C4258G:p.P1420A,COL11A1:ENST00000353414.8_4:exon61:c.C4489G:p.P1497A,COL11A1:ENST00000358392.6_3:exon62:c.C4642G:p.P1548A,COL11A1:ENST00000370096.9_10:exon62:c.C4606G:p.P1536A</t>
        </is>
      </c>
      <c r="Q51" t="n">
        <v>0.013</v>
      </c>
      <c r="R51" t="n">
        <v>0.013</v>
      </c>
      <c r="S51" t="n">
        <v>0.0134</v>
      </c>
      <c r="T51" t="n">
        <v>-1</v>
      </c>
      <c r="U51" t="n">
        <v>0.0114</v>
      </c>
      <c r="V51" t="inlineStr">
        <is>
          <t>9/10</t>
        </is>
      </c>
      <c r="W51" t="inlineStr">
        <is>
          <t>D</t>
        </is>
      </c>
      <c r="X51" t="inlineStr">
        <is>
          <t>.</t>
        </is>
      </c>
      <c r="Y51" t="inlineStr">
        <is>
          <t>.</t>
        </is>
      </c>
      <c r="Z51" t="inlineStr">
        <is>
          <t>5/7</t>
        </is>
      </c>
      <c r="AA51" t="inlineStr">
        <is>
          <t>Benign</t>
        </is>
      </c>
      <c r="AB51" t="inlineStr">
        <is>
          <t>Benign/Likely_benign</t>
        </is>
      </c>
      <c r="AC51" t="inlineStr">
        <is>
          <t>.</t>
        </is>
      </c>
      <c r="AD51" t="inlineStr">
        <is>
          <t>2</t>
        </is>
      </c>
      <c r="AE51" t="inlineStr">
        <is>
          <t>0.999980608468386</t>
        </is>
      </c>
      <c r="AF51" t="inlineStr">
        <is>
          <t>collagen type XI alpha 1</t>
        </is>
      </c>
      <c r="AG51" t="inlineStr">
        <is>
          <t xml:space="preserve">FUNCTION: May play an important role in fibrillogenesis by controlling lateral growth of collagen II fibrils.; </t>
        </is>
      </c>
      <c r="AH51" t="inlineStr">
        <is>
          <t xml:space="preserve">DISEASE: Stickler syndrome 2 (STL2) [MIM:604841]: An autosomal dominant form of Stickler syndrome, an inherited disorder that associates ocular signs with more or less complete forms of Pierre Robin sequence, bone disorders and sensorineural deafness. Ocular disorders may include juvenile cataract, myopia, strabismus, vitreoretinal or chorioretinal degeneration, retinal detachment, and chronic uveitis. Pierre Robin sequence includes an opening in the roof of the mouth (a cleft palate), a large tongue (macroglossia), and a small lower jaw (micrognathia). Bones are affected by slight platyspondylisis and large, often defective epiphyses. Juvenile joint laxity is followed by early signs of arthrosis. The degree of hearing loss varies among affected individuals and may become more severe over time. Syndrome expressivity is variable. {ECO:0000269|PubMed:20513134, ECO:0000269|PubMed:8872475}. Note=The disease is caused by mutations affecting the gene represented in this entry.; DISEASE: Marshall syndrome (MRSHS) [MIM:154780]: An autosomal dominant disorder characterized by ocular abnormalities, deafness, craniofacial anomalies, and anhidrotic ectodermal dysplasia. Clinical features include short stature; flat or retruded midface with short, depressed nose, flat nasal bridge and anteverted nares; cleft palate with or without the Pierre Robin sequence; appearance of large eyes with ocular hypertelorism; cataracts, either congenital or juvenile; esotropia; high myopia; sensorineural hearing loss; spondyloepiphyseal abnormalities; calcification of the falx cerebri; ectodermal abnormalities, including defects in sweating and dental structures. {ECO:0000269|PubMed:10486316}. Note=The disease is caused by mutations affecting the gene represented in this entry.; DISEASE: Fibrochondrogenesis 1 (FBCG1) [MIM:228520]: A severe short-limbed skeletal dysplasia characterized by broad long-bone metaphyses, pear-shaped vertebral bodies, and characteristic morphology of the growth plate, in which the chondrocytes have a fibroblastic appearance and there are regions of fibrous cartilage extracellular matrix. Clinical features include a flat midface with a small nose and anteverted nares, significant shortening of all limb segments but relatively normal hands and feet, and a small bell-shaped thorax with a protuberant abdomen. {ECO:0000269|PubMed:21035103}. Note=The disease is caused by mutations affecting the gene represented in this entry.; </t>
        </is>
      </c>
      <c r="AI51" t="inlineStr">
        <is>
          <t>.</t>
        </is>
      </c>
      <c r="AJ51" t="inlineStr">
        <is>
          <t>.</t>
        </is>
      </c>
      <c r="AK51" t="inlineStr">
        <is>
          <t>.</t>
        </is>
      </c>
      <c r="AL51" t="inlineStr">
        <is>
          <t>.</t>
        </is>
      </c>
    </row>
    <row r="52">
      <c r="A52" t="inlineStr"/>
      <c r="B52">
        <f>HYPERLINK("https://genome.ucsc.edu/cgi-bin/hgTracks?db=hg19&amp;position=chr1%3A103540291%2D103540291", "chr1:103540291")</f>
        <v/>
      </c>
      <c r="C52" t="inlineStr">
        <is>
          <t>chr1</t>
        </is>
      </c>
      <c r="D52" t="n">
        <v>103540291</v>
      </c>
      <c r="E52" t="n">
        <v>103540291</v>
      </c>
      <c r="F52" t="inlineStr">
        <is>
          <t>C</t>
        </is>
      </c>
      <c r="G52" t="inlineStr">
        <is>
          <t>T</t>
        </is>
      </c>
      <c r="H52" t="inlineStr">
        <is>
          <t>2038.64</t>
        </is>
      </c>
      <c r="I52" t="inlineStr">
        <is>
          <t>104</t>
        </is>
      </c>
      <c r="J52" t="inlineStr">
        <is>
          <t>27,77</t>
        </is>
      </c>
      <c r="K52" t="inlineStr">
        <is>
          <t>.</t>
        </is>
      </c>
      <c r="L52" t="inlineStr">
        <is>
          <t>.</t>
        </is>
      </c>
      <c r="M52">
        <f>HYPERLINK("https://www.genecards.org/Search/Keyword?queryString=%5Baliases%5D(%20COL11A1%20)&amp;keywords=COL11A1", "COL11A1")</f>
        <v/>
      </c>
      <c r="N52" t="inlineStr">
        <is>
          <t>exonic</t>
        </is>
      </c>
      <c r="O52" t="inlineStr">
        <is>
          <t>nonsynonymous SNV</t>
        </is>
      </c>
      <c r="P52" t="inlineStr">
        <is>
          <t>COL11A1:NM_001190709:exon4:c.G534A:p.M178I,COL11A1:NM_001854:exon4:c.G534A:p.M178I,COL11A1:NM_080629:exon4:c.G534A:p.M178I,COL11A1:NM_080630:exon4:c.G534A:p.M178I;COL11A1:uc001dul.3:exon4:c.G534A:p.M178I,COL11A1:uc001dum.3:exon4:c.G534A:p.M178I,COL11A1:uc001dun.3:exon4:c.G534A:p.M178I,COL11A1:uc009weh.3:exon4:c.G534A:p.M178I;COL11A1:ENST00000353414.8_4:exon4:c.G534A:p.M178I,COL11A1:ENST00000358392.6_3:exon4:c.G534A:p.M178I,COL11A1:ENST00000370096.9_10:exon4:c.G534A:p.M178I,COL11A1:ENST00000461720.6_4:exon4:c.G534A:p.M178I,COL11A1:ENST00000512756.5_4:exon4:c.G534A:p.M178I,COL11A1:ENST00000644186.1_3:exon4:c.G534A:p.M178I,COL11A1:ENST00000647280.1_3:exon4:c.G534A:p.M178I,COL11A1:ENST00000645458.1_3:exon5:c.G534A:p.M178I</t>
        </is>
      </c>
      <c r="Q52" t="n">
        <v>-1</v>
      </c>
      <c r="R52" t="n">
        <v>-1</v>
      </c>
      <c r="S52" t="n">
        <v>-1</v>
      </c>
      <c r="T52" t="n">
        <v>-1</v>
      </c>
      <c r="U52" t="n">
        <v>-1</v>
      </c>
      <c r="V52" t="inlineStr">
        <is>
          <t>4/12</t>
        </is>
      </c>
      <c r="W52" t="inlineStr">
        <is>
          <t>.</t>
        </is>
      </c>
      <c r="X52" t="inlineStr">
        <is>
          <t>.</t>
        </is>
      </c>
      <c r="Y52" t="inlineStr">
        <is>
          <t>.</t>
        </is>
      </c>
      <c r="Z52" t="inlineStr">
        <is>
          <t>3/7</t>
        </is>
      </c>
      <c r="AA52" t="inlineStr">
        <is>
          <t>Uncertain significance</t>
        </is>
      </c>
      <c r="AB52" t="inlineStr">
        <is>
          <t>.</t>
        </is>
      </c>
      <c r="AC52" t="inlineStr">
        <is>
          <t>0/1</t>
        </is>
      </c>
      <c r="AD52" t="inlineStr">
        <is>
          <t>2</t>
        </is>
      </c>
      <c r="AE52" t="inlineStr">
        <is>
          <t>0.999980608468386</t>
        </is>
      </c>
      <c r="AF52" t="inlineStr">
        <is>
          <t>collagen type XI alpha 1</t>
        </is>
      </c>
      <c r="AG52" t="inlineStr">
        <is>
          <t xml:space="preserve">FUNCTION: May play an important role in fibrillogenesis by controlling lateral growth of collagen II fibrils.; </t>
        </is>
      </c>
      <c r="AH52" t="inlineStr">
        <is>
          <t xml:space="preserve">DISEASE: Stickler syndrome 2 (STL2) [MIM:604841]: An autosomal dominant form of Stickler syndrome, an inherited disorder that associates ocular signs with more or less complete forms of Pierre Robin sequence, bone disorders and sensorineural deafness. Ocular disorders may include juvenile cataract, myopia, strabismus, vitreoretinal or chorioretinal degeneration, retinal detachment, and chronic uveitis. Pierre Robin sequence includes an opening in the roof of the mouth (a cleft palate), a large tongue (macroglossia), and a small lower jaw (micrognathia). Bones are affected by slight platyspondylisis and large, often defective epiphyses. Juvenile joint laxity is followed by early signs of arthrosis. The degree of hearing loss varies among affected individuals and may become more severe over time. Syndrome expressivity is variable. {ECO:0000269|PubMed:20513134, ECO:0000269|PubMed:8872475}. Note=The disease is caused by mutations affecting the gene represented in this entry.; DISEASE: Marshall syndrome (MRSHS) [MIM:154780]: An autosomal dominant disorder characterized by ocular abnormalities, deafness, craniofacial anomalies, and anhidrotic ectodermal dysplasia. Clinical features include short stature; flat or retruded midface with short, depressed nose, flat nasal bridge and anteverted nares; cleft palate with or without the Pierre Robin sequence; appearance of large eyes with ocular hypertelorism; cataracts, either congenital or juvenile; esotropia; high myopia; sensorineural hearing loss; spondyloepiphyseal abnormalities; calcification of the falx cerebri; ectodermal abnormalities, including defects in sweating and dental structures. {ECO:0000269|PubMed:10486316}. Note=The disease is caused by mutations affecting the gene represented in this entry.; DISEASE: Fibrochondrogenesis 1 (FBCG1) [MIM:228520]: A severe short-limbed skeletal dysplasia characterized by broad long-bone metaphyses, pear-shaped vertebral bodies, and characteristic morphology of the growth plate, in which the chondrocytes have a fibroblastic appearance and there are regions of fibrous cartilage extracellular matrix. Clinical features include a flat midface with a small nose and anteverted nares, significant shortening of all limb segments but relatively normal hands and feet, and a small bell-shaped thorax with a protuberant abdomen. {ECO:0000269|PubMed:21035103}. Note=The disease is caused by mutations affecting the gene represented in this entry.; </t>
        </is>
      </c>
      <c r="AI52" t="inlineStr">
        <is>
          <t>.</t>
        </is>
      </c>
      <c r="AJ52" t="inlineStr">
        <is>
          <t>.</t>
        </is>
      </c>
      <c r="AK52" t="inlineStr">
        <is>
          <t>.</t>
        </is>
      </c>
      <c r="AL52" t="inlineStr">
        <is>
          <t>.</t>
        </is>
      </c>
    </row>
    <row r="53">
      <c r="A53" t="inlineStr"/>
      <c r="B53">
        <f>HYPERLINK("https://genome.ucsc.edu/cgi-bin/hgTracks?db=hg19&amp;position=chr1%3A108300091%2D108300091", "chr1:108300091")</f>
        <v/>
      </c>
      <c r="C53" t="inlineStr">
        <is>
          <t>chr1</t>
        </is>
      </c>
      <c r="D53" t="n">
        <v>108300091</v>
      </c>
      <c r="E53" t="n">
        <v>108300091</v>
      </c>
      <c r="F53" t="inlineStr">
        <is>
          <t>C</t>
        </is>
      </c>
      <c r="G53" t="inlineStr">
        <is>
          <t>A</t>
        </is>
      </c>
      <c r="H53" t="inlineStr">
        <is>
          <t>37.64</t>
        </is>
      </c>
      <c r="I53" t="inlineStr">
        <is>
          <t>10</t>
        </is>
      </c>
      <c r="J53" t="inlineStr">
        <is>
          <t>8,2</t>
        </is>
      </c>
      <c r="K53" t="inlineStr">
        <is>
          <t>.</t>
        </is>
      </c>
      <c r="L53" t="inlineStr">
        <is>
          <t>.</t>
        </is>
      </c>
      <c r="M53">
        <f>HYPERLINK("https://www.genecards.org/Search/Keyword?queryString=%5Baliases%5D(%20VAV3%20)&amp;keywords=VAV3", "VAV3")</f>
        <v/>
      </c>
      <c r="N53" t="inlineStr">
        <is>
          <t>intronic</t>
        </is>
      </c>
      <c r="O53" t="inlineStr">
        <is>
          <t>.</t>
        </is>
      </c>
      <c r="P53" t="inlineStr">
        <is>
          <t>.</t>
        </is>
      </c>
      <c r="Q53" t="n">
        <v>-1</v>
      </c>
      <c r="R53" t="n">
        <v>-1</v>
      </c>
      <c r="S53" t="n">
        <v>-1</v>
      </c>
      <c r="T53" t="n">
        <v>-1</v>
      </c>
      <c r="U53" t="n">
        <v>-1</v>
      </c>
      <c r="V53" t="inlineStr">
        <is>
          <t>.</t>
        </is>
      </c>
      <c r="W53" t="inlineStr">
        <is>
          <t>.</t>
        </is>
      </c>
      <c r="X53" t="inlineStr">
        <is>
          <t>PD</t>
        </is>
      </c>
      <c r="Y53" t="inlineStr">
        <is>
          <t>off</t>
        </is>
      </c>
      <c r="Z53" t="inlineStr">
        <is>
          <t>.</t>
        </is>
      </c>
      <c r="AA53" t="inlineStr">
        <is>
          <t>.</t>
        </is>
      </c>
      <c r="AB53" t="inlineStr">
        <is>
          <t>.</t>
        </is>
      </c>
      <c r="AC53" t="inlineStr">
        <is>
          <t>0/1</t>
        </is>
      </c>
      <c r="AD53" t="inlineStr">
        <is>
          <t>2</t>
        </is>
      </c>
      <c r="AE53" t="inlineStr">
        <is>
          <t>0.0200593234937473</t>
        </is>
      </c>
      <c r="AF53" t="inlineStr">
        <is>
          <t>vav guanine nucleotide exchange factor 3</t>
        </is>
      </c>
      <c r="AG53" t="inlineStr">
        <is>
          <t xml:space="preserve">FUNCTION: Exchange factor for GTP-binding proteins RhoA, RhoG and, to a lesser extent, Rac1. Binds physically to the nucleotide-free states of those GTPases. Plays an important role in angiogenesis. Its recruitment by phosphorylated EPHA2 is critical for EFNA1- induced RAC1 GTPase activation and vascular endothelial cell migration and assembly (By similarity). May be important for integrin-mediated signaling, at least in some cell types. In osteoclasts, along with SYK tyrosine kinase, required for signaling through integrin alpha-v/beta-1 (ITAGV-ITGB1), a crucial event for osteoclast proper cytoskeleton organization and function. This signaling pathway involves RAC1, but not RHO, activation. Necessary for proper wound healing. In the course of wound healing, required for the phagocytotic cup formation preceding macrophage phagocytosis of apoptotic neutrophils. Responsible for integrin beta-2 (ITGB2)-mediated macrophage adhesion and, to a lesser extent, contributes to beta-3 (ITGB3)- mediated adhesion. Does not affect integrin beta-1 (ITGB1)- mediated adhesion (By similarity). {ECO:0000250}.; </t>
        </is>
      </c>
      <c r="AH53" t="inlineStr">
        <is>
          <t>.</t>
        </is>
      </c>
      <c r="AI53" t="inlineStr">
        <is>
          <t>.</t>
        </is>
      </c>
      <c r="AJ53" t="inlineStr">
        <is>
          <t>.</t>
        </is>
      </c>
      <c r="AK53" t="inlineStr">
        <is>
          <t>.</t>
        </is>
      </c>
      <c r="AL53" t="inlineStr">
        <is>
          <t>.</t>
        </is>
      </c>
    </row>
    <row r="54">
      <c r="A54" t="inlineStr"/>
      <c r="B54">
        <f>HYPERLINK("https://genome.ucsc.edu/cgi-bin/hgTracks?db=hg19&amp;position=chr1%3A108507419%2D108507419", "chr1:108507419")</f>
        <v/>
      </c>
      <c r="C54" t="inlineStr">
        <is>
          <t>chr1</t>
        </is>
      </c>
      <c r="D54" t="n">
        <v>108507419</v>
      </c>
      <c r="E54" t="n">
        <v>108507419</v>
      </c>
      <c r="F54" t="inlineStr">
        <is>
          <t>A</t>
        </is>
      </c>
      <c r="G54" t="inlineStr">
        <is>
          <t>G</t>
        </is>
      </c>
      <c r="H54" t="inlineStr">
        <is>
          <t>1386.64</t>
        </is>
      </c>
      <c r="I54" t="inlineStr">
        <is>
          <t>119</t>
        </is>
      </c>
      <c r="J54" t="inlineStr">
        <is>
          <t>58,61</t>
        </is>
      </c>
      <c r="K54" t="inlineStr">
        <is>
          <t>.</t>
        </is>
      </c>
      <c r="L54">
        <f>HYPERLINK("https://www.ncbi.nlm.nih.gov/snp/rs138170759", "rs138170759")</f>
        <v/>
      </c>
      <c r="M54">
        <f>HYPERLINK("https://www.genecards.org/Search/Keyword?queryString=%5Baliases%5D(%20VAV3%20)&amp;keywords=VAV3", "VAV3")</f>
        <v/>
      </c>
      <c r="N54" t="inlineStr">
        <is>
          <t>exonic</t>
        </is>
      </c>
      <c r="O54" t="inlineStr">
        <is>
          <t>nonsynonymous SNV</t>
        </is>
      </c>
      <c r="P54" t="inlineStr">
        <is>
          <t>VAV3:NM_006113:exon1:c.T73C:p.W25R;VAV3:uc001dvk.1:exon1:c.T73C:p.W25R,VAV3:uc010ouw.1:exon1:c.T73C:p.W25R,VAV3:uc010oux.1:exon1:c.T73C:p.W25R;VAV3:ENST00000370056.9_5:exon1:c.T73C:p.W25R,VAV3:ENST00000527011.5_3:exon1:c.T73C:p.W25R</t>
        </is>
      </c>
      <c r="Q54" t="n">
        <v>0.0018</v>
      </c>
      <c r="R54" t="n">
        <v>0.0016</v>
      </c>
      <c r="S54" t="n">
        <v>0.0015</v>
      </c>
      <c r="T54" t="n">
        <v>-1</v>
      </c>
      <c r="U54" t="n">
        <v>0.0007</v>
      </c>
      <c r="V54" t="inlineStr">
        <is>
          <t>6/11</t>
        </is>
      </c>
      <c r="W54" t="inlineStr">
        <is>
          <t>.</t>
        </is>
      </c>
      <c r="X54" t="inlineStr">
        <is>
          <t>.</t>
        </is>
      </c>
      <c r="Y54" t="inlineStr">
        <is>
          <t>.</t>
        </is>
      </c>
      <c r="Z54" t="inlineStr">
        <is>
          <t>4/7</t>
        </is>
      </c>
      <c r="AA54" t="inlineStr">
        <is>
          <t>Uncertain significance</t>
        </is>
      </c>
      <c r="AB54" t="inlineStr">
        <is>
          <t>Likely_benign</t>
        </is>
      </c>
      <c r="AC54" t="inlineStr">
        <is>
          <t>0/1</t>
        </is>
      </c>
      <c r="AD54" t="inlineStr">
        <is>
          <t>2</t>
        </is>
      </c>
      <c r="AE54" t="inlineStr">
        <is>
          <t>0.0200593234937473</t>
        </is>
      </c>
      <c r="AF54" t="inlineStr">
        <is>
          <t>vav guanine nucleotide exchange factor 3</t>
        </is>
      </c>
      <c r="AG54" t="inlineStr">
        <is>
          <t xml:space="preserve">FUNCTION: Exchange factor for GTP-binding proteins RhoA, RhoG and, to a lesser extent, Rac1. Binds physically to the nucleotide-free states of those GTPases. Plays an important role in angiogenesis. Its recruitment by phosphorylated EPHA2 is critical for EFNA1- induced RAC1 GTPase activation and vascular endothelial cell migration and assembly (By similarity). May be important for integrin-mediated signaling, at least in some cell types. In osteoclasts, along with SYK tyrosine kinase, required for signaling through integrin alpha-v/beta-1 (ITAGV-ITGB1), a crucial event for osteoclast proper cytoskeleton organization and function. This signaling pathway involves RAC1, but not RHO, activation. Necessary for proper wound healing. In the course of wound healing, required for the phagocytotic cup formation preceding macrophage phagocytosis of apoptotic neutrophils. Responsible for integrin beta-2 (ITGB2)-mediated macrophage adhesion and, to a lesser extent, contributes to beta-3 (ITGB3)- mediated adhesion. Does not affect integrin beta-1 (ITGB1)- mediated adhesion (By similarity). {ECO:0000250}.; </t>
        </is>
      </c>
      <c r="AH54" t="inlineStr">
        <is>
          <t>.</t>
        </is>
      </c>
      <c r="AI54" t="inlineStr">
        <is>
          <t>.</t>
        </is>
      </c>
      <c r="AJ54" t="inlineStr">
        <is>
          <t>.</t>
        </is>
      </c>
      <c r="AK54" t="inlineStr">
        <is>
          <t>.</t>
        </is>
      </c>
      <c r="AL54" t="inlineStr">
        <is>
          <t>.</t>
        </is>
      </c>
    </row>
    <row r="55">
      <c r="A55" t="inlineStr"/>
      <c r="B55">
        <f>HYPERLINK("https://genome.ucsc.edu/cgi-bin/hgTracks?db=hg19&amp;position=chr1%3A111061364%2D111061364", "chr1:111061364")</f>
        <v/>
      </c>
      <c r="C55" t="inlineStr">
        <is>
          <t>chr1</t>
        </is>
      </c>
      <c r="D55" t="n">
        <v>111061364</v>
      </c>
      <c r="E55" t="n">
        <v>111061364</v>
      </c>
      <c r="F55" t="inlineStr">
        <is>
          <t>A</t>
        </is>
      </c>
      <c r="G55" t="inlineStr">
        <is>
          <t>C</t>
        </is>
      </c>
      <c r="H55" t="inlineStr">
        <is>
          <t>454.64</t>
        </is>
      </c>
      <c r="I55" t="inlineStr">
        <is>
          <t>109</t>
        </is>
      </c>
      <c r="J55" t="inlineStr">
        <is>
          <t>87,22</t>
        </is>
      </c>
      <c r="K55" t="inlineStr">
        <is>
          <t>.</t>
        </is>
      </c>
      <c r="L55" t="inlineStr">
        <is>
          <t>.</t>
        </is>
      </c>
      <c r="M55">
        <f>HYPERLINK("https://www.genecards.org/Search/Keyword?queryString=%5Baliases%5D(%20KCNA10%20)&amp;keywords=KCNA10", "KCNA10")</f>
        <v/>
      </c>
      <c r="N55" t="inlineStr">
        <is>
          <t>exonic</t>
        </is>
      </c>
      <c r="O55" t="inlineStr">
        <is>
          <t>nonsynonymous SNV</t>
        </is>
      </c>
      <c r="P55" t="inlineStr">
        <is>
          <t>KCNA10:NM_005549:exon1:c.T46G:p.F16V;KCNA10:uc001dzt.1:exon1:c.T46G:p.F16V;KCNA10:ENST00000369771.4_5:exon1:c.T46G:p.F16V</t>
        </is>
      </c>
      <c r="Q55" t="n">
        <v>-1</v>
      </c>
      <c r="R55" t="n">
        <v>-1</v>
      </c>
      <c r="S55" t="n">
        <v>-1</v>
      </c>
      <c r="T55" t="n">
        <v>-1</v>
      </c>
      <c r="U55" t="n">
        <v>-1</v>
      </c>
      <c r="V55" t="inlineStr">
        <is>
          <t>8/12</t>
        </is>
      </c>
      <c r="W55" t="inlineStr">
        <is>
          <t>.</t>
        </is>
      </c>
      <c r="X55" t="inlineStr">
        <is>
          <t>.</t>
        </is>
      </c>
      <c r="Y55" t="inlineStr">
        <is>
          <t>.</t>
        </is>
      </c>
      <c r="Z55" t="inlineStr">
        <is>
          <t>6/7</t>
        </is>
      </c>
      <c r="AA55" t="inlineStr">
        <is>
          <t>Uncertain significance</t>
        </is>
      </c>
      <c r="AB55" t="inlineStr">
        <is>
          <t>.</t>
        </is>
      </c>
      <c r="AC55" t="inlineStr">
        <is>
          <t>0/1</t>
        </is>
      </c>
      <c r="AD55" t="inlineStr">
        <is>
          <t>1</t>
        </is>
      </c>
      <c r="AE55" t="inlineStr">
        <is>
          <t>0.00305948856082549</t>
        </is>
      </c>
      <c r="AF55" t="inlineStr">
        <is>
          <t>potassium voltage-gated channel subfamily A member 10</t>
        </is>
      </c>
      <c r="AG55" t="inlineStr">
        <is>
          <t xml:space="preserve">FUNCTION: Mediates voltage-dependent potassium ion permeability of excitable membranes. Assuming opened or closed conformations in response to the voltage difference across the membrane, the protein forms a potassium-selective channel through which potassium ions may pass in accordance with their electrochemical gradient. The channel activity is up-regulated by cAMP. {ECO:0000269|PubMed:10836990}.; </t>
        </is>
      </c>
      <c r="AH55" t="inlineStr">
        <is>
          <t>.</t>
        </is>
      </c>
      <c r="AI55" t="inlineStr">
        <is>
          <t>.</t>
        </is>
      </c>
      <c r="AJ55" t="inlineStr">
        <is>
          <t>.</t>
        </is>
      </c>
      <c r="AK55" t="inlineStr">
        <is>
          <t>.</t>
        </is>
      </c>
      <c r="AL55" t="inlineStr">
        <is>
          <t>.</t>
        </is>
      </c>
    </row>
    <row r="56">
      <c r="A56" t="inlineStr"/>
      <c r="B56">
        <f>HYPERLINK("https://genome.ucsc.edu/cgi-bin/hgTracks?db=hg19&amp;position=chr1%3A114394805%2D114394805", "chr1:114394805")</f>
        <v/>
      </c>
      <c r="C56" t="inlineStr">
        <is>
          <t>chr1</t>
        </is>
      </c>
      <c r="D56" t="n">
        <v>114394805</v>
      </c>
      <c r="E56" t="n">
        <v>114394805</v>
      </c>
      <c r="F56" t="inlineStr">
        <is>
          <t>C</t>
        </is>
      </c>
      <c r="G56" t="inlineStr">
        <is>
          <t>T</t>
        </is>
      </c>
      <c r="H56" t="inlineStr">
        <is>
          <t>82.64</t>
        </is>
      </c>
      <c r="I56" t="inlineStr">
        <is>
          <t>12</t>
        </is>
      </c>
      <c r="J56" t="inlineStr">
        <is>
          <t>9,3</t>
        </is>
      </c>
      <c r="K56" t="inlineStr">
        <is>
          <t>.</t>
        </is>
      </c>
      <c r="L56">
        <f>HYPERLINK("https://www.ncbi.nlm.nih.gov/snp/rs1014958277", "rs1014958277")</f>
        <v/>
      </c>
      <c r="M56">
        <f>HYPERLINK("https://www.genecards.org/Search/Keyword?queryString=%5Baliases%5D(%20AP4B1-AS1%20)%20OR%20%5Baliases%5D(%20PTPN22%20)&amp;keywords=AP4B1-AS1,PTPN22", "AP4B1-AS1;PTPN22")</f>
        <v/>
      </c>
      <c r="N56" t="inlineStr">
        <is>
          <t>intronic;ncRNA_intronic</t>
        </is>
      </c>
      <c r="O56" t="inlineStr">
        <is>
          <t>.</t>
        </is>
      </c>
      <c r="P56" t="inlineStr">
        <is>
          <t>.</t>
        </is>
      </c>
      <c r="Q56" t="n">
        <v>0.000821</v>
      </c>
      <c r="R56" t="n">
        <v>-1</v>
      </c>
      <c r="S56" t="n">
        <v>-1</v>
      </c>
      <c r="T56" t="n">
        <v>-1</v>
      </c>
      <c r="U56" t="n">
        <v>-1</v>
      </c>
      <c r="V56" t="inlineStr">
        <is>
          <t>.</t>
        </is>
      </c>
      <c r="W56" t="inlineStr">
        <is>
          <t>.</t>
        </is>
      </c>
      <c r="X56" t="inlineStr">
        <is>
          <t>B</t>
        </is>
      </c>
      <c r="Y56" t="inlineStr">
        <is>
          <t>off</t>
        </is>
      </c>
      <c r="Z56" t="inlineStr">
        <is>
          <t>.</t>
        </is>
      </c>
      <c r="AA56" t="inlineStr">
        <is>
          <t>.</t>
        </is>
      </c>
      <c r="AB56" t="inlineStr">
        <is>
          <t>.</t>
        </is>
      </c>
      <c r="AC56" t="inlineStr">
        <is>
          <t>0/1</t>
        </is>
      </c>
      <c r="AD56" t="inlineStr">
        <is>
          <t>1;1</t>
        </is>
      </c>
      <c r="AE56" t="inlineStr">
        <is>
          <t>3.0777571006681e-16</t>
        </is>
      </c>
      <c r="AF56" t="inlineStr">
        <is>
          <t>AP4B1 antisense RNA 1;protein tyrosine phosphatase, non-receptor type 22</t>
        </is>
      </c>
      <c r="AG56" t="inlineStr">
        <is>
          <t xml:space="preserve">FUNCTION: Acts as negative regulator of T-cell receptor (TCR) signaling by direct dephosphorylation of the Src family kinases LCK and FYN, ITAMs of the TCRz/CD3 complex, as well as ZAP70, VAV, VCP and other key signaling molecules (PubMed:16461343, PubMed:18056643). Associates with and probably dephosphorylates CBL. Dephosphorylates LCK at its activating 'Tyr-394' residue (PubMed:21719704). Dephosphorylates ZAP70 at its activating 'Tyr- 493' residue (PubMed:16461343). Dephosphorylates the immune system activator SKAP2 (PubMed:21719704). Positively regulates toll-like receptor (TLR)-induced type 1 interferon production (PubMed:23871208). Promotes host antiviral responses mediated by type 1 interferon (By similarity). Regulates NOD2-induced pro- inflammatory cytokine secretion and autophagy (PubMed:23991106). {ECO:0000250|UniProtKB:P29352, ECO:0000269|PubMed:16461343, ECO:0000269|PubMed:18056643, ECO:0000269|PubMed:19167335, ECO:0000269|PubMed:21719704, ECO:0000269|PubMed:23871208, ECO:0000269|PubMed:23991106}.; </t>
        </is>
      </c>
      <c r="AH56" t="inlineStr">
        <is>
          <t xml:space="preserve">DISEASE: Systemic lupus erythematosus (SLE) [MIM:152700]: A chronic, relapsing, inflammatory, and often febrile multisystemic disorder of connective tissue, characterized principally by involvement of the skin, joints, kidneys and serosal membranes. It is of unknown etiology, but is thought to represent a failure of the regulatory mechanisms of the autoimmune system. The disease is marked by a wide range of system dysfunctions, an elevated erythrocyte sedimentation rate, and the formation of LE cells in the blood or bone marrow. {ECO:0000269|PubMed:15273934}. Note=Disease susceptibility is associated with variations affecting the gene represented in this entry.; DISEASE: Diabetes mellitus, insulin-dependent (IDDM) [MIM:222100]: A multifactorial disorder of glucose homeostasis that is characterized by susceptibility to ketoacidosis in the absence of insulin therapy. Clinical features are polydipsia, polyphagia and polyuria which result from hyperglycemia-induced osmotic diuresis and secondary thirst. These derangements result in long-term complications that affect the eyes, kidneys, nerves, and blood vessels. {ECO:0000269|PubMed:15004560}. Note=Disease susceptibility is associated with variations affecting the gene represented in this entry.; DISEASE: Rheumatoid arthritis (RA) [MIM:180300]: An inflammatory disease with autoimmune features and a complex genetic component. It primarily affects the joints and is characterized by inflammatory changes in the synovial membranes and articular structures, widespread fibrinoid degeneration of the collagen fibers in mesenchymal tissues, and by atrophy and rarefaction of bony structures. {ECO:0000269|PubMed:15208781}. Note=Disease susceptibility is associated with variations affecting the gene represented in this entry.; DISEASE: Vitiligo (VTLG) [MIM:193200]: A pigmentary disorder of the skin and mucous membranes. It is characterized by circumscribed depigmented macules and patches, commonly on extensor aspects of extremities, on the face or neck and in skin folds. Vitiligo is a progressive disorder in which some or all of the melanocytes in the affected skin are selectively destroyed. It is a multifactorial disorder with a complex etiology probably including autoimmune mechanisms, and is associated with an elevated risk of other autoimmune diseases. {ECO:0000269|PubMed:16015369}. Note=Disease susceptibility is associated with variations affecting the gene represented in this entry.; </t>
        </is>
      </c>
      <c r="AI56" t="inlineStr">
        <is>
          <t>.</t>
        </is>
      </c>
      <c r="AJ56" t="inlineStr">
        <is>
          <t>.</t>
        </is>
      </c>
      <c r="AK56" t="inlineStr">
        <is>
          <t>.</t>
        </is>
      </c>
      <c r="AL56" t="inlineStr">
        <is>
          <t>.</t>
        </is>
      </c>
    </row>
    <row r="57">
      <c r="A57" t="inlineStr"/>
      <c r="B57">
        <f>HYPERLINK("https://genome.ucsc.edu/cgi-bin/hgTracks?db=hg19&amp;position=chr1%3A117142707%2D117142707", "chr1:117142707")</f>
        <v/>
      </c>
      <c r="C57" t="inlineStr">
        <is>
          <t>chr1</t>
        </is>
      </c>
      <c r="D57" t="n">
        <v>117142707</v>
      </c>
      <c r="E57" t="n">
        <v>117142707</v>
      </c>
      <c r="F57" t="inlineStr">
        <is>
          <t>G</t>
        </is>
      </c>
      <c r="G57" t="inlineStr">
        <is>
          <t>A</t>
        </is>
      </c>
      <c r="H57" t="inlineStr">
        <is>
          <t>919.64</t>
        </is>
      </c>
      <c r="I57" t="inlineStr">
        <is>
          <t>333</t>
        </is>
      </c>
      <c r="J57" t="inlineStr">
        <is>
          <t>279,54</t>
        </is>
      </c>
      <c r="K57" t="inlineStr">
        <is>
          <t>.</t>
        </is>
      </c>
      <c r="L57">
        <f>HYPERLINK("https://www.ncbi.nlm.nih.gov/snp/rs201515387", "rs201515387")</f>
        <v/>
      </c>
      <c r="M57">
        <f>HYPERLINK("https://www.genecards.org/Search/Keyword?queryString=%5Baliases%5D(%20IGSF3%20)&amp;keywords=IGSF3", "IGSF3")</f>
        <v/>
      </c>
      <c r="N57" t="inlineStr">
        <is>
          <t>exonic</t>
        </is>
      </c>
      <c r="O57" t="inlineStr">
        <is>
          <t>nonsynonymous SNV</t>
        </is>
      </c>
      <c r="P57" t="inlineStr">
        <is>
          <t>IGSF3:NM_001007237:exon7:c.C1885T:p.R629C,IGSF3:NM_001542:exon8:c.C1945T:p.R649C;IGSF3:uc001egs.1:exon3:c.C904T:p.R302C,IGSF3:uc001egr.2:exon7:c.C1885T:p.R629C,IGSF3:uc031pnr.1:exon7:c.C1945T:p.R649C;IGSF3:ENST00000318837.6_5:exon7:c.C1945T:p.R649C,IGSF3:ENST00000369486.8_8:exon7:c.C1885T:p.R629C,IGSF3:ENST00000369483.5_5:exon8:c.C1945T:p.R649C</t>
        </is>
      </c>
      <c r="Q57" t="n">
        <v>0.020408</v>
      </c>
      <c r="R57" t="n">
        <v>0.0013</v>
      </c>
      <c r="S57" t="n">
        <v>0.0007</v>
      </c>
      <c r="T57" t="n">
        <v>-1</v>
      </c>
      <c r="U57" t="n">
        <v>0.0004</v>
      </c>
      <c r="V57" t="inlineStr">
        <is>
          <t>7/11</t>
        </is>
      </c>
      <c r="W57" t="inlineStr">
        <is>
          <t>.</t>
        </is>
      </c>
      <c r="X57" t="inlineStr">
        <is>
          <t>.</t>
        </is>
      </c>
      <c r="Y57" t="inlineStr">
        <is>
          <t>.</t>
        </is>
      </c>
      <c r="Z57" t="inlineStr">
        <is>
          <t>3/7</t>
        </is>
      </c>
      <c r="AA57" t="inlineStr">
        <is>
          <t>Likely benign</t>
        </is>
      </c>
      <c r="AB57" t="inlineStr">
        <is>
          <t>.</t>
        </is>
      </c>
      <c r="AC57" t="inlineStr">
        <is>
          <t>0/1</t>
        </is>
      </c>
      <c r="AD57" t="inlineStr">
        <is>
          <t>15</t>
        </is>
      </c>
      <c r="AE57" t="inlineStr">
        <is>
          <t>0.987084919325614</t>
        </is>
      </c>
      <c r="AF57" t="inlineStr">
        <is>
          <t>immunoglobulin superfamily member 3</t>
        </is>
      </c>
      <c r="AG57" t="inlineStr">
        <is>
          <t>.</t>
        </is>
      </c>
      <c r="AH57" t="inlineStr">
        <is>
          <t>.</t>
        </is>
      </c>
      <c r="AI57" t="inlineStr">
        <is>
          <t>.</t>
        </is>
      </c>
      <c r="AJ57" t="inlineStr">
        <is>
          <t>.</t>
        </is>
      </c>
      <c r="AK57" t="inlineStr">
        <is>
          <t>.</t>
        </is>
      </c>
      <c r="AL57" t="inlineStr">
        <is>
          <t>NGS_HighStringency</t>
        </is>
      </c>
    </row>
    <row r="58">
      <c r="A58" t="inlineStr"/>
      <c r="B58">
        <f>HYPERLINK("https://genome.ucsc.edu/cgi-bin/hgTracks?db=hg19&amp;position=chr1%3A117142736%2D117142736", "chr1:117142736")</f>
        <v/>
      </c>
      <c r="C58" t="inlineStr">
        <is>
          <t>chr1</t>
        </is>
      </c>
      <c r="D58" t="n">
        <v>117142736</v>
      </c>
      <c r="E58" t="n">
        <v>117142736</v>
      </c>
      <c r="F58" t="inlineStr">
        <is>
          <t>A</t>
        </is>
      </c>
      <c r="G58" t="inlineStr">
        <is>
          <t>G</t>
        </is>
      </c>
      <c r="H58" t="inlineStr">
        <is>
          <t>962.64</t>
        </is>
      </c>
      <c r="I58" t="inlineStr">
        <is>
          <t>333</t>
        </is>
      </c>
      <c r="J58" t="inlineStr">
        <is>
          <t>269,64</t>
        </is>
      </c>
      <c r="K58" t="inlineStr">
        <is>
          <t>.</t>
        </is>
      </c>
      <c r="L58">
        <f>HYPERLINK("https://www.ncbi.nlm.nih.gov/snp/rs75067537", "rs75067537")</f>
        <v/>
      </c>
      <c r="M58">
        <f>HYPERLINK("https://www.genecards.org/Search/Keyword?queryString=%5Baliases%5D(%20IGSF3%20)&amp;keywords=IGSF3", "IGSF3")</f>
        <v/>
      </c>
      <c r="N58" t="inlineStr">
        <is>
          <t>exonic</t>
        </is>
      </c>
      <c r="O58" t="inlineStr">
        <is>
          <t>nonsynonymous SNV</t>
        </is>
      </c>
      <c r="P58" t="inlineStr">
        <is>
          <t>IGSF3:NM_001007237:exon7:c.T1856C:p.I619T,IGSF3:NM_001542:exon8:c.T1916C:p.I639T;IGSF3:uc001egs.1:exon3:c.T875C:p.I292T,IGSF3:uc001egr.2:exon7:c.T1856C:p.I619T,IGSF3:uc031pnr.1:exon7:c.T1916C:p.I639T;IGSF3:ENST00000318837.6_5:exon7:c.T1916C:p.I639T,IGSF3:ENST00000369486.8_8:exon7:c.T1856C:p.I619T,IGSF3:ENST00000369483.5_5:exon8:c.T1916C:p.I639T</t>
        </is>
      </c>
      <c r="Q58" t="n">
        <v>0.0149368</v>
      </c>
      <c r="R58" t="n">
        <v>0.0013</v>
      </c>
      <c r="S58" t="n">
        <v>0.0018</v>
      </c>
      <c r="T58" t="n">
        <v>-1</v>
      </c>
      <c r="U58" t="n">
        <v>0.0041</v>
      </c>
      <c r="V58" t="inlineStr">
        <is>
          <t>6/11</t>
        </is>
      </c>
      <c r="W58" t="inlineStr">
        <is>
          <t>.</t>
        </is>
      </c>
      <c r="X58" t="inlineStr">
        <is>
          <t>.</t>
        </is>
      </c>
      <c r="Y58" t="inlineStr">
        <is>
          <t>.</t>
        </is>
      </c>
      <c r="Z58" t="inlineStr">
        <is>
          <t>4/7</t>
        </is>
      </c>
      <c r="AA58" t="inlineStr">
        <is>
          <t>Uncertain significance</t>
        </is>
      </c>
      <c r="AB58" t="inlineStr">
        <is>
          <t>.</t>
        </is>
      </c>
      <c r="AC58" t="inlineStr">
        <is>
          <t>0/1</t>
        </is>
      </c>
      <c r="AD58" t="inlineStr">
        <is>
          <t>15</t>
        </is>
      </c>
      <c r="AE58" t="inlineStr">
        <is>
          <t>0.987084919325614</t>
        </is>
      </c>
      <c r="AF58" t="inlineStr">
        <is>
          <t>immunoglobulin superfamily member 3</t>
        </is>
      </c>
      <c r="AG58" t="inlineStr">
        <is>
          <t>.</t>
        </is>
      </c>
      <c r="AH58" t="inlineStr">
        <is>
          <t>.</t>
        </is>
      </c>
      <c r="AI58" t="inlineStr">
        <is>
          <t>.</t>
        </is>
      </c>
      <c r="AJ58" t="inlineStr">
        <is>
          <t>.</t>
        </is>
      </c>
      <c r="AK58" t="inlineStr">
        <is>
          <t>.</t>
        </is>
      </c>
      <c r="AL58" t="inlineStr">
        <is>
          <t>NGS_HighStringency</t>
        </is>
      </c>
    </row>
    <row r="59">
      <c r="A59" t="inlineStr"/>
      <c r="B59">
        <f>HYPERLINK("https://genome.ucsc.edu/cgi-bin/hgTracks?db=hg19&amp;position=chr1%3A117142868%2D117142868", "chr1:117142868")</f>
        <v/>
      </c>
      <c r="C59" t="inlineStr">
        <is>
          <t>chr1</t>
        </is>
      </c>
      <c r="D59" t="n">
        <v>117142868</v>
      </c>
      <c r="E59" t="n">
        <v>117142868</v>
      </c>
      <c r="F59" t="inlineStr">
        <is>
          <t>C</t>
        </is>
      </c>
      <c r="G59" t="inlineStr">
        <is>
          <t>T</t>
        </is>
      </c>
      <c r="H59" t="inlineStr">
        <is>
          <t>2438.64</t>
        </is>
      </c>
      <c r="I59" t="inlineStr">
        <is>
          <t>278</t>
        </is>
      </c>
      <c r="J59" t="inlineStr">
        <is>
          <t>204,74</t>
        </is>
      </c>
      <c r="K59" t="inlineStr">
        <is>
          <t>.</t>
        </is>
      </c>
      <c r="L59">
        <f>HYPERLINK("https://www.ncbi.nlm.nih.gov/snp/rs61730489", "rs61730489")</f>
        <v/>
      </c>
      <c r="M59">
        <f>HYPERLINK("https://www.genecards.org/Search/Keyword?queryString=%5Baliases%5D(%20IGSF3%20)&amp;keywords=IGSF3", "IGSF3")</f>
        <v/>
      </c>
      <c r="N59" t="inlineStr">
        <is>
          <t>exonic</t>
        </is>
      </c>
      <c r="O59" t="inlineStr">
        <is>
          <t>stopgain</t>
        </is>
      </c>
      <c r="P59" t="inlineStr">
        <is>
          <t>IGSF3:NM_001007237:exon7:c.G1724A:p.W575X,IGSF3:NM_001542:exon8:c.G1784A:p.W595X;IGSF3:uc001egs.1:exon3:c.G743A:p.W248X,IGSF3:uc001egr.2:exon7:c.G1724A:p.W575X,IGSF3:uc031pnr.1:exon7:c.G1784A:p.W595X;IGSF3:ENST00000318837.6_5:exon7:c.G1784A:p.W595X,IGSF3:ENST00000369486.8_8:exon7:c.G1724A:p.W575X,IGSF3:ENST00000369483.5_5:exon8:c.G1784A:p.W595X</t>
        </is>
      </c>
      <c r="Q59" t="n">
        <v>0.0001</v>
      </c>
      <c r="R59" t="n">
        <v>0.0001</v>
      </c>
      <c r="S59" t="n">
        <v>0.0003</v>
      </c>
      <c r="T59" t="n">
        <v>-1</v>
      </c>
      <c r="U59" t="n">
        <v>0.0002</v>
      </c>
      <c r="V59" t="inlineStr">
        <is>
          <t>3/3</t>
        </is>
      </c>
      <c r="W59" t="inlineStr">
        <is>
          <t>.</t>
        </is>
      </c>
      <c r="X59" t="inlineStr">
        <is>
          <t>.</t>
        </is>
      </c>
      <c r="Y59" t="inlineStr">
        <is>
          <t>.</t>
        </is>
      </c>
      <c r="Z59" t="inlineStr">
        <is>
          <t>3/7</t>
        </is>
      </c>
      <c r="AA59" t="inlineStr">
        <is>
          <t>Pathogenic</t>
        </is>
      </c>
      <c r="AB59" t="inlineStr">
        <is>
          <t>.</t>
        </is>
      </c>
      <c r="AC59" t="inlineStr">
        <is>
          <t>.</t>
        </is>
      </c>
      <c r="AD59" t="inlineStr">
        <is>
          <t>15</t>
        </is>
      </c>
      <c r="AE59" t="inlineStr">
        <is>
          <t>0.987084919325614</t>
        </is>
      </c>
      <c r="AF59" t="inlineStr">
        <is>
          <t>immunoglobulin superfamily member 3</t>
        </is>
      </c>
      <c r="AG59" t="inlineStr">
        <is>
          <t>.</t>
        </is>
      </c>
      <c r="AH59" t="inlineStr">
        <is>
          <t>.</t>
        </is>
      </c>
      <c r="AI59" t="inlineStr">
        <is>
          <t>.</t>
        </is>
      </c>
      <c r="AJ59" t="inlineStr">
        <is>
          <t>.</t>
        </is>
      </c>
      <c r="AK59" t="inlineStr">
        <is>
          <t>.</t>
        </is>
      </c>
      <c r="AL59" t="inlineStr">
        <is>
          <t>NGS_HighStringency</t>
        </is>
      </c>
    </row>
    <row r="60">
      <c r="A60" t="inlineStr"/>
      <c r="B60">
        <f>HYPERLINK("https://genome.ucsc.edu/cgi-bin/hgTracks?db=hg19&amp;position=chr1%3A117146504%2D117146504", "chr1:117146504")</f>
        <v/>
      </c>
      <c r="C60" t="inlineStr">
        <is>
          <t>chr1</t>
        </is>
      </c>
      <c r="D60" t="n">
        <v>117146504</v>
      </c>
      <c r="E60" t="n">
        <v>117146504</v>
      </c>
      <c r="F60" t="inlineStr">
        <is>
          <t>G</t>
        </is>
      </c>
      <c r="G60" t="inlineStr">
        <is>
          <t>A</t>
        </is>
      </c>
      <c r="H60" t="inlineStr">
        <is>
          <t>305.64</t>
        </is>
      </c>
      <c r="I60" t="inlineStr">
        <is>
          <t>220</t>
        </is>
      </c>
      <c r="J60" t="inlineStr">
        <is>
          <t>183,37</t>
        </is>
      </c>
      <c r="K60" t="inlineStr">
        <is>
          <t>.</t>
        </is>
      </c>
      <c r="L60">
        <f>HYPERLINK("https://www.ncbi.nlm.nih.gov/snp/rs61786577", "rs61786577")</f>
        <v/>
      </c>
      <c r="M60">
        <f>HYPERLINK("https://www.genecards.org/Search/Keyword?queryString=%5Baliases%5D(%20IGSF3%20)&amp;keywords=IGSF3", "IGSF3")</f>
        <v/>
      </c>
      <c r="N60" t="inlineStr">
        <is>
          <t>exonic</t>
        </is>
      </c>
      <c r="O60" t="inlineStr">
        <is>
          <t>nonsynonymous SNV</t>
        </is>
      </c>
      <c r="P60" t="inlineStr">
        <is>
          <t>IGSF3:NM_001007237:exon6:c.C1366T:p.R456C,IGSF3:NM_001542:exon7:c.C1426T:p.R476C;IGSF3:uc001egs.1:exon2:c.C385T:p.R129C,IGSF3:uc001egr.2:exon6:c.C1366T:p.R456C,IGSF3:uc031pnr.1:exon6:c.C1426T:p.R476C;IGSF3:ENST00000318837.6_5:exon6:c.C1426T:p.R476C,IGSF3:ENST00000369486.8_8:exon6:c.C1366T:p.R456C,IGSF3:ENST00000369483.5_5:exon7:c.C1426T:p.R476C</t>
        </is>
      </c>
      <c r="Q60" t="n">
        <v>0.0053039</v>
      </c>
      <c r="R60" t="n">
        <v>-1</v>
      </c>
      <c r="S60" t="n">
        <v>-1</v>
      </c>
      <c r="T60" t="n">
        <v>-1</v>
      </c>
      <c r="U60" t="n">
        <v>-1</v>
      </c>
      <c r="V60" t="inlineStr">
        <is>
          <t>7/12</t>
        </is>
      </c>
      <c r="W60" t="inlineStr">
        <is>
          <t>.</t>
        </is>
      </c>
      <c r="X60" t="inlineStr">
        <is>
          <t>.</t>
        </is>
      </c>
      <c r="Y60" t="inlineStr">
        <is>
          <t>.</t>
        </is>
      </c>
      <c r="Z60" t="inlineStr">
        <is>
          <t>3/7</t>
        </is>
      </c>
      <c r="AA60" t="inlineStr">
        <is>
          <t>Uncertain significance</t>
        </is>
      </c>
      <c r="AB60" t="inlineStr">
        <is>
          <t>.</t>
        </is>
      </c>
      <c r="AC60" t="inlineStr">
        <is>
          <t>0/1</t>
        </is>
      </c>
      <c r="AD60" t="inlineStr">
        <is>
          <t>15</t>
        </is>
      </c>
      <c r="AE60" t="inlineStr">
        <is>
          <t>0.987084919325614</t>
        </is>
      </c>
      <c r="AF60" t="inlineStr">
        <is>
          <t>immunoglobulin superfamily member 3</t>
        </is>
      </c>
      <c r="AG60" t="inlineStr">
        <is>
          <t>.</t>
        </is>
      </c>
      <c r="AH60" t="inlineStr">
        <is>
          <t>.</t>
        </is>
      </c>
      <c r="AI60" t="inlineStr">
        <is>
          <t>.</t>
        </is>
      </c>
      <c r="AJ60" t="inlineStr">
        <is>
          <t>.</t>
        </is>
      </c>
      <c r="AK60" t="inlineStr">
        <is>
          <t>.</t>
        </is>
      </c>
      <c r="AL60" t="inlineStr">
        <is>
          <t>NGS_HighStringency</t>
        </is>
      </c>
    </row>
    <row r="61">
      <c r="A61" t="inlineStr"/>
      <c r="B61">
        <f>HYPERLINK("https://genome.ucsc.edu/cgi-bin/hgTracks?db=hg19&amp;position=chr1%3A117146563%2D117146563", "chr1:117146563")</f>
        <v/>
      </c>
      <c r="C61" t="inlineStr">
        <is>
          <t>chr1</t>
        </is>
      </c>
      <c r="D61" t="n">
        <v>117146563</v>
      </c>
      <c r="E61" t="n">
        <v>117146563</v>
      </c>
      <c r="F61" t="inlineStr">
        <is>
          <t>G</t>
        </is>
      </c>
      <c r="G61" t="inlineStr">
        <is>
          <t>A</t>
        </is>
      </c>
      <c r="H61" t="inlineStr">
        <is>
          <t>690.64</t>
        </is>
      </c>
      <c r="I61" t="inlineStr">
        <is>
          <t>204</t>
        </is>
      </c>
      <c r="J61" t="inlineStr">
        <is>
          <t>173,31</t>
        </is>
      </c>
      <c r="K61" t="inlineStr">
        <is>
          <t>.</t>
        </is>
      </c>
      <c r="L61">
        <f>HYPERLINK("https://www.ncbi.nlm.nih.gov/snp/rs61786578", "rs61786578")</f>
        <v/>
      </c>
      <c r="M61">
        <f>HYPERLINK("https://www.genecards.org/Search/Keyword?queryString=%5Baliases%5D(%20IGSF3%20)&amp;keywords=IGSF3", "IGSF3")</f>
        <v/>
      </c>
      <c r="N61" t="inlineStr">
        <is>
          <t>exonic</t>
        </is>
      </c>
      <c r="O61" t="inlineStr">
        <is>
          <t>nonsynonymous SNV</t>
        </is>
      </c>
      <c r="P61" t="inlineStr">
        <is>
          <t>IGSF3:NM_001007237:exon6:c.C1307T:p.T436M,IGSF3:NM_001542:exon7:c.C1367T:p.T456M;IGSF3:uc001egs.1:exon2:c.C326T:p.T109M,IGSF3:uc001egr.2:exon6:c.C1307T:p.T436M,IGSF3:uc031pnr.1:exon6:c.C1367T:p.T456M;IGSF3:ENST00000318837.6_5:exon6:c.C1367T:p.T456M,IGSF3:ENST00000369486.8_8:exon6:c.C1307T:p.T436M,IGSF3:ENST00000369483.5_5:exon7:c.C1367T:p.T456M</t>
        </is>
      </c>
      <c r="Q61" t="n">
        <v>0.0017594</v>
      </c>
      <c r="R61" t="n">
        <v>-1</v>
      </c>
      <c r="S61" t="n">
        <v>-1</v>
      </c>
      <c r="T61" t="n">
        <v>-1</v>
      </c>
      <c r="U61" t="n">
        <v>-1</v>
      </c>
      <c r="V61" t="inlineStr">
        <is>
          <t>4/12</t>
        </is>
      </c>
      <c r="W61" t="inlineStr">
        <is>
          <t>.</t>
        </is>
      </c>
      <c r="X61" t="inlineStr">
        <is>
          <t>.</t>
        </is>
      </c>
      <c r="Y61" t="inlineStr">
        <is>
          <t>.</t>
        </is>
      </c>
      <c r="Z61" t="inlineStr">
        <is>
          <t>1/7</t>
        </is>
      </c>
      <c r="AA61" t="inlineStr">
        <is>
          <t>Uncertain significance</t>
        </is>
      </c>
      <c r="AB61" t="inlineStr">
        <is>
          <t>.</t>
        </is>
      </c>
      <c r="AC61" t="inlineStr">
        <is>
          <t>.</t>
        </is>
      </c>
      <c r="AD61" t="inlineStr">
        <is>
          <t>15</t>
        </is>
      </c>
      <c r="AE61" t="inlineStr">
        <is>
          <t>0.987084919325614</t>
        </is>
      </c>
      <c r="AF61" t="inlineStr">
        <is>
          <t>immunoglobulin superfamily member 3</t>
        </is>
      </c>
      <c r="AG61" t="inlineStr">
        <is>
          <t>.</t>
        </is>
      </c>
      <c r="AH61" t="inlineStr">
        <is>
          <t>.</t>
        </is>
      </c>
      <c r="AI61" t="inlineStr">
        <is>
          <t>.</t>
        </is>
      </c>
      <c r="AJ61" t="inlineStr">
        <is>
          <t>.</t>
        </is>
      </c>
      <c r="AK61" t="inlineStr">
        <is>
          <t>.</t>
        </is>
      </c>
      <c r="AL61" t="inlineStr">
        <is>
          <t>NGS_HighStringency</t>
        </is>
      </c>
    </row>
    <row r="62">
      <c r="A62" t="inlineStr"/>
      <c r="B62">
        <f>HYPERLINK("https://genome.ucsc.edu/cgi-bin/hgTracks?db=hg19&amp;position=chr1%3A117146585%2D117146585", "chr1:117146585")</f>
        <v/>
      </c>
      <c r="C62" t="inlineStr">
        <is>
          <t>chr1</t>
        </is>
      </c>
      <c r="D62" t="n">
        <v>117146585</v>
      </c>
      <c r="E62" t="n">
        <v>117146585</v>
      </c>
      <c r="F62" t="inlineStr">
        <is>
          <t>G</t>
        </is>
      </c>
      <c r="G62" t="inlineStr">
        <is>
          <t>A</t>
        </is>
      </c>
      <c r="H62" t="inlineStr">
        <is>
          <t>546.64</t>
        </is>
      </c>
      <c r="I62" t="inlineStr">
        <is>
          <t>169</t>
        </is>
      </c>
      <c r="J62" t="inlineStr">
        <is>
          <t>143,26</t>
        </is>
      </c>
      <c r="K62" t="inlineStr">
        <is>
          <t>.</t>
        </is>
      </c>
      <c r="L62">
        <f>HYPERLINK("https://www.ncbi.nlm.nih.gov/snp/rs968366784", "rs968366784")</f>
        <v/>
      </c>
      <c r="M62">
        <f>HYPERLINK("https://www.genecards.org/Search/Keyword?queryString=%5Baliases%5D(%20IGSF3%20)&amp;keywords=IGSF3", "IGSF3")</f>
        <v/>
      </c>
      <c r="N62" t="inlineStr">
        <is>
          <t>exonic</t>
        </is>
      </c>
      <c r="O62" t="inlineStr">
        <is>
          <t>nonsynonymous SNV</t>
        </is>
      </c>
      <c r="P62" t="inlineStr">
        <is>
          <t>IGSF3:NM_001007237:exon6:c.C1285T:p.R429C,IGSF3:NM_001542:exon7:c.C1345T:p.R449C;IGSF3:uc001egs.1:exon2:c.C304T:p.R102C,IGSF3:uc001egr.2:exon6:c.C1285T:p.R429C,IGSF3:uc031pnr.1:exon6:c.C1345T:p.R449C;IGSF3:ENST00000318837.6_5:exon6:c.C1345T:p.R449C,IGSF3:ENST00000369486.8_8:exon6:c.C1285T:p.R429C,IGSF3:ENST00000369483.5_5:exon7:c.C1345T:p.R449C</t>
        </is>
      </c>
      <c r="Q62" t="n">
        <v>-1</v>
      </c>
      <c r="R62" t="n">
        <v>-1</v>
      </c>
      <c r="S62" t="n">
        <v>-1</v>
      </c>
      <c r="T62" t="n">
        <v>-1</v>
      </c>
      <c r="U62" t="n">
        <v>-1</v>
      </c>
      <c r="V62" t="inlineStr">
        <is>
          <t>4/11</t>
        </is>
      </c>
      <c r="W62" t="inlineStr">
        <is>
          <t>.</t>
        </is>
      </c>
      <c r="X62" t="inlineStr">
        <is>
          <t>.</t>
        </is>
      </c>
      <c r="Y62" t="inlineStr">
        <is>
          <t>.</t>
        </is>
      </c>
      <c r="Z62" t="inlineStr">
        <is>
          <t>2/7</t>
        </is>
      </c>
      <c r="AA62" t="inlineStr">
        <is>
          <t>Uncertain significance</t>
        </is>
      </c>
      <c r="AB62" t="inlineStr">
        <is>
          <t>.</t>
        </is>
      </c>
      <c r="AC62" t="inlineStr">
        <is>
          <t>.</t>
        </is>
      </c>
      <c r="AD62" t="inlineStr">
        <is>
          <t>15</t>
        </is>
      </c>
      <c r="AE62" t="inlineStr">
        <is>
          <t>0.987084919325614</t>
        </is>
      </c>
      <c r="AF62" t="inlineStr">
        <is>
          <t>immunoglobulin superfamily member 3</t>
        </is>
      </c>
      <c r="AG62" t="inlineStr">
        <is>
          <t>.</t>
        </is>
      </c>
      <c r="AH62" t="inlineStr">
        <is>
          <t>.</t>
        </is>
      </c>
      <c r="AI62" t="inlineStr">
        <is>
          <t>.</t>
        </is>
      </c>
      <c r="AJ62" t="inlineStr">
        <is>
          <t>.</t>
        </is>
      </c>
      <c r="AK62" t="inlineStr">
        <is>
          <t>.</t>
        </is>
      </c>
      <c r="AL62" t="inlineStr">
        <is>
          <t>NGS_HighStringency</t>
        </is>
      </c>
    </row>
    <row r="63">
      <c r="A63" t="inlineStr"/>
      <c r="B63">
        <f>HYPERLINK("https://genome.ucsc.edu/cgi-bin/hgTracks?db=hg19&amp;position=chr1%3A117146592%2D117146592", "chr1:117146592")</f>
        <v/>
      </c>
      <c r="C63" t="inlineStr">
        <is>
          <t>chr1</t>
        </is>
      </c>
      <c r="D63" t="n">
        <v>117146592</v>
      </c>
      <c r="E63" t="n">
        <v>117146592</v>
      </c>
      <c r="F63" t="inlineStr">
        <is>
          <t>C</t>
        </is>
      </c>
      <c r="G63" t="inlineStr">
        <is>
          <t>G</t>
        </is>
      </c>
      <c r="H63" t="inlineStr">
        <is>
          <t>507.64</t>
        </is>
      </c>
      <c r="I63" t="inlineStr">
        <is>
          <t>163</t>
        </is>
      </c>
      <c r="J63" t="inlineStr">
        <is>
          <t>139,24</t>
        </is>
      </c>
      <c r="K63" t="inlineStr">
        <is>
          <t>.</t>
        </is>
      </c>
      <c r="L63">
        <f>HYPERLINK("https://www.ncbi.nlm.nih.gov/snp/rs532709767", "rs532709767")</f>
        <v/>
      </c>
      <c r="M63">
        <f>HYPERLINK("https://www.genecards.org/Search/Keyword?queryString=%5Baliases%5D(%20IGSF3%20)&amp;keywords=IGSF3", "IGSF3")</f>
        <v/>
      </c>
      <c r="N63" t="inlineStr">
        <is>
          <t>exonic</t>
        </is>
      </c>
      <c r="O63" t="inlineStr">
        <is>
          <t>nonsynonymous SNV</t>
        </is>
      </c>
      <c r="P63" t="inlineStr">
        <is>
          <t>IGSF3:NM_001007237:exon6:c.G1278C:p.E426D,IGSF3:NM_001542:exon7:c.G1338C:p.E446D;IGSF3:uc001egs.1:exon2:c.G297C:p.E99D,IGSF3:uc001egr.2:exon6:c.G1278C:p.E426D,IGSF3:uc031pnr.1:exon6:c.G1338C:p.E446D;IGSF3:ENST00000318837.6_5:exon6:c.G1338C:p.E446D,IGSF3:ENST00000369486.8_8:exon6:c.G1278C:p.E426D,IGSF3:ENST00000369483.5_5:exon7:c.G1338C:p.E446D</t>
        </is>
      </c>
      <c r="Q63" t="n">
        <v>6.5e-06</v>
      </c>
      <c r="R63" t="n">
        <v>-1</v>
      </c>
      <c r="S63" t="n">
        <v>-1</v>
      </c>
      <c r="T63" t="n">
        <v>-1</v>
      </c>
      <c r="U63" t="n">
        <v>-1</v>
      </c>
      <c r="V63" t="inlineStr">
        <is>
          <t>3/12</t>
        </is>
      </c>
      <c r="W63" t="inlineStr">
        <is>
          <t>.</t>
        </is>
      </c>
      <c r="X63" t="inlineStr">
        <is>
          <t>.</t>
        </is>
      </c>
      <c r="Y63" t="inlineStr">
        <is>
          <t>.</t>
        </is>
      </c>
      <c r="Z63" t="inlineStr">
        <is>
          <t>0/7</t>
        </is>
      </c>
      <c r="AA63" t="inlineStr">
        <is>
          <t>Uncertain significance</t>
        </is>
      </c>
      <c r="AB63" t="inlineStr">
        <is>
          <t>.</t>
        </is>
      </c>
      <c r="AC63" t="inlineStr">
        <is>
          <t>.</t>
        </is>
      </c>
      <c r="AD63" t="inlineStr">
        <is>
          <t>15</t>
        </is>
      </c>
      <c r="AE63" t="inlineStr">
        <is>
          <t>0.987084919325614</t>
        </is>
      </c>
      <c r="AF63" t="inlineStr">
        <is>
          <t>immunoglobulin superfamily member 3</t>
        </is>
      </c>
      <c r="AG63" t="inlineStr">
        <is>
          <t>.</t>
        </is>
      </c>
      <c r="AH63" t="inlineStr">
        <is>
          <t>.</t>
        </is>
      </c>
      <c r="AI63" t="inlineStr">
        <is>
          <t>.</t>
        </is>
      </c>
      <c r="AJ63" t="inlineStr">
        <is>
          <t>.</t>
        </is>
      </c>
      <c r="AK63" t="inlineStr">
        <is>
          <t>.</t>
        </is>
      </c>
      <c r="AL63" t="inlineStr">
        <is>
          <t>NGS_HighStringency</t>
        </is>
      </c>
    </row>
    <row r="64">
      <c r="A64" t="inlineStr"/>
      <c r="B64">
        <f>HYPERLINK("https://genome.ucsc.edu/cgi-bin/hgTracks?db=hg19&amp;position=chr1%3A117150736%2D117150736", "chr1:117150736")</f>
        <v/>
      </c>
      <c r="C64" t="inlineStr">
        <is>
          <t>chr1</t>
        </is>
      </c>
      <c r="D64" t="n">
        <v>117150736</v>
      </c>
      <c r="E64" t="n">
        <v>117150736</v>
      </c>
      <c r="F64" t="inlineStr">
        <is>
          <t>C</t>
        </is>
      </c>
      <c r="G64" t="inlineStr">
        <is>
          <t>G</t>
        </is>
      </c>
      <c r="H64" t="inlineStr">
        <is>
          <t>139.64</t>
        </is>
      </c>
      <c r="I64" t="inlineStr">
        <is>
          <t>199</t>
        </is>
      </c>
      <c r="J64" t="inlineStr">
        <is>
          <t>170,29</t>
        </is>
      </c>
      <c r="K64" t="inlineStr">
        <is>
          <t>.</t>
        </is>
      </c>
      <c r="L64">
        <f>HYPERLINK("https://www.ncbi.nlm.nih.gov/snp/rs61786589", "rs61786589")</f>
        <v/>
      </c>
      <c r="M64">
        <f>HYPERLINK("https://www.genecards.org/Search/Keyword?queryString=%5Baliases%5D(%20IGSF3%20)&amp;keywords=IGSF3", "IGSF3")</f>
        <v/>
      </c>
      <c r="N64" t="inlineStr">
        <is>
          <t>exonic</t>
        </is>
      </c>
      <c r="O64" t="inlineStr">
        <is>
          <t>nonsynonymous SNV</t>
        </is>
      </c>
      <c r="P64" t="inlineStr">
        <is>
          <t>IGSF3:NM_001007237:exon5:c.G1050C:p.K350N,IGSF3:NM_001542:exon5:c.G1050C:p.K350N;IGSF3:uc001egs.1:exon1:c.G69C:p.K23N,IGSF3:uc031pnr.1:exon4:c.G1050C:p.K350N,IGSF3:uc001egr.2:exon5:c.G1050C:p.K350N;IGSF3:ENST00000318837.6_5:exon4:c.G1050C:p.K350N,IGSF3:ENST00000369483.5_5:exon5:c.G1050C:p.K350N,IGSF3:ENST00000369486.8_8:exon5:c.G1050C:p.K350N</t>
        </is>
      </c>
      <c r="Q64" t="n">
        <v>0.0039909</v>
      </c>
      <c r="R64" t="n">
        <v>-1</v>
      </c>
      <c r="S64" t="n">
        <v>-1</v>
      </c>
      <c r="T64" t="n">
        <v>-1</v>
      </c>
      <c r="U64" t="n">
        <v>-1</v>
      </c>
      <c r="V64" t="inlineStr">
        <is>
          <t>3/12</t>
        </is>
      </c>
      <c r="W64" t="inlineStr">
        <is>
          <t>.</t>
        </is>
      </c>
      <c r="X64" t="inlineStr">
        <is>
          <t>.</t>
        </is>
      </c>
      <c r="Y64" t="inlineStr">
        <is>
          <t>.</t>
        </is>
      </c>
      <c r="Z64" t="inlineStr">
        <is>
          <t>2/7</t>
        </is>
      </c>
      <c r="AA64" t="inlineStr">
        <is>
          <t>Likely benign</t>
        </is>
      </c>
      <c r="AB64" t="inlineStr">
        <is>
          <t>.</t>
        </is>
      </c>
      <c r="AC64" t="inlineStr">
        <is>
          <t>0/1</t>
        </is>
      </c>
      <c r="AD64" t="inlineStr">
        <is>
          <t>15</t>
        </is>
      </c>
      <c r="AE64" t="inlineStr">
        <is>
          <t>0.987084919325614</t>
        </is>
      </c>
      <c r="AF64" t="inlineStr">
        <is>
          <t>immunoglobulin superfamily member 3</t>
        </is>
      </c>
      <c r="AG64" t="inlineStr">
        <is>
          <t>.</t>
        </is>
      </c>
      <c r="AH64" t="inlineStr">
        <is>
          <t>.</t>
        </is>
      </c>
      <c r="AI64" t="inlineStr">
        <is>
          <t>.</t>
        </is>
      </c>
      <c r="AJ64" t="inlineStr">
        <is>
          <t>.</t>
        </is>
      </c>
      <c r="AK64" t="inlineStr">
        <is>
          <t>.</t>
        </is>
      </c>
      <c r="AL64" t="inlineStr">
        <is>
          <t>NGS_HighStringency</t>
        </is>
      </c>
    </row>
    <row r="65">
      <c r="A65" t="inlineStr"/>
      <c r="B65">
        <f>HYPERLINK("https://genome.ucsc.edu/cgi-bin/hgTracks?db=hg19&amp;position=chr1%3A117156326%2D117156326", "chr1:117156326")</f>
        <v/>
      </c>
      <c r="C65" t="inlineStr">
        <is>
          <t>chr1</t>
        </is>
      </c>
      <c r="D65" t="n">
        <v>117156326</v>
      </c>
      <c r="E65" t="n">
        <v>117156326</v>
      </c>
      <c r="F65" t="inlineStr">
        <is>
          <t>C</t>
        </is>
      </c>
      <c r="G65" t="inlineStr">
        <is>
          <t>T</t>
        </is>
      </c>
      <c r="H65" t="inlineStr">
        <is>
          <t>747.64</t>
        </is>
      </c>
      <c r="I65" t="inlineStr">
        <is>
          <t>63</t>
        </is>
      </c>
      <c r="J65" t="inlineStr">
        <is>
          <t>42,21</t>
        </is>
      </c>
      <c r="K65" t="inlineStr">
        <is>
          <t>.</t>
        </is>
      </c>
      <c r="L65">
        <f>HYPERLINK("https://www.ncbi.nlm.nih.gov/snp/rs201074598", "rs201074598")</f>
        <v/>
      </c>
      <c r="M65">
        <f>HYPERLINK("https://www.genecards.org/Search/Keyword?queryString=%5Baliases%5D(%20IGSF3%20)&amp;keywords=IGSF3", "IGSF3")</f>
        <v/>
      </c>
      <c r="N65" t="inlineStr">
        <is>
          <t>intronic</t>
        </is>
      </c>
      <c r="O65" t="inlineStr">
        <is>
          <t>.</t>
        </is>
      </c>
      <c r="P65" t="inlineStr">
        <is>
          <t>.</t>
        </is>
      </c>
      <c r="Q65" t="n">
        <v>3.84e-05</v>
      </c>
      <c r="R65" t="n">
        <v>-1</v>
      </c>
      <c r="S65" t="n">
        <v>-1</v>
      </c>
      <c r="T65" t="n">
        <v>-1</v>
      </c>
      <c r="U65" t="n">
        <v>-1</v>
      </c>
      <c r="V65" t="inlineStr">
        <is>
          <t>.</t>
        </is>
      </c>
      <c r="W65" t="inlineStr">
        <is>
          <t>.</t>
        </is>
      </c>
      <c r="X65" t="inlineStr">
        <is>
          <t>D</t>
        </is>
      </c>
      <c r="Y65" t="inlineStr">
        <is>
          <t>off</t>
        </is>
      </c>
      <c r="Z65" t="inlineStr">
        <is>
          <t>.</t>
        </is>
      </c>
      <c r="AA65" t="inlineStr">
        <is>
          <t>.</t>
        </is>
      </c>
      <c r="AB65" t="inlineStr">
        <is>
          <t>.</t>
        </is>
      </c>
      <c r="AC65" t="inlineStr">
        <is>
          <t>.</t>
        </is>
      </c>
      <c r="AD65" t="inlineStr">
        <is>
          <t>15</t>
        </is>
      </c>
      <c r="AE65" t="inlineStr">
        <is>
          <t>0.987084919325614</t>
        </is>
      </c>
      <c r="AF65" t="inlineStr">
        <is>
          <t>immunoglobulin superfamily member 3</t>
        </is>
      </c>
      <c r="AG65" t="inlineStr">
        <is>
          <t>.</t>
        </is>
      </c>
      <c r="AH65" t="inlineStr">
        <is>
          <t>.</t>
        </is>
      </c>
      <c r="AI65" t="inlineStr">
        <is>
          <t>.</t>
        </is>
      </c>
      <c r="AJ65" t="inlineStr">
        <is>
          <t>.</t>
        </is>
      </c>
      <c r="AK65" t="inlineStr">
        <is>
          <t>.</t>
        </is>
      </c>
      <c r="AL65" t="inlineStr">
        <is>
          <t>NGS_LowStringency</t>
        </is>
      </c>
    </row>
    <row r="66">
      <c r="A66" t="inlineStr"/>
      <c r="B66">
        <f>HYPERLINK("https://genome.ucsc.edu/cgi-bin/hgTracks?db=hg19&amp;position=chr1%3A117156459%2D117156459", "chr1:117156459")</f>
        <v/>
      </c>
      <c r="C66" t="inlineStr">
        <is>
          <t>chr1</t>
        </is>
      </c>
      <c r="D66" t="n">
        <v>117156459</v>
      </c>
      <c r="E66" t="n">
        <v>117156459</v>
      </c>
      <c r="F66" t="inlineStr">
        <is>
          <t>C</t>
        </is>
      </c>
      <c r="G66" t="inlineStr">
        <is>
          <t>T</t>
        </is>
      </c>
      <c r="H66" t="inlineStr">
        <is>
          <t>1433.64</t>
        </is>
      </c>
      <c r="I66" t="inlineStr">
        <is>
          <t>233</t>
        </is>
      </c>
      <c r="J66" t="inlineStr">
        <is>
          <t>160,73</t>
        </is>
      </c>
      <c r="K66" t="inlineStr">
        <is>
          <t>.</t>
        </is>
      </c>
      <c r="L66">
        <f>HYPERLINK("https://www.ncbi.nlm.nih.gov/snp/rs61786651", "rs61786651")</f>
        <v/>
      </c>
      <c r="M66">
        <f>HYPERLINK("https://www.genecards.org/Search/Keyword?queryString=%5Baliases%5D(%20IGSF3%20)&amp;keywords=IGSF3", "IGSF3")</f>
        <v/>
      </c>
      <c r="N66" t="inlineStr">
        <is>
          <t>exonic</t>
        </is>
      </c>
      <c r="O66" t="inlineStr">
        <is>
          <t>nonsynonymous SNV</t>
        </is>
      </c>
      <c r="P66" t="inlineStr">
        <is>
          <t>IGSF3:NM_001007237:exon4:c.G760A:p.D254N,IGSF3:NM_001542:exon4:c.G760A:p.D254N;IGSF3:uc031pnr.1:exon3:c.G760A:p.D254N,IGSF3:uc001egr.2:exon4:c.G760A:p.D254N;IGSF3:ENST00000318837.6_5:exon3:c.G760A:p.D254N,IGSF3:ENST00000369483.5_5:exon4:c.G760A:p.D254N,IGSF3:ENST00000369486.8_8:exon4:c.G760A:p.D254N</t>
        </is>
      </c>
      <c r="Q66" t="n">
        <v>0.0043208</v>
      </c>
      <c r="R66" t="n">
        <v>-1</v>
      </c>
      <c r="S66" t="n">
        <v>-1</v>
      </c>
      <c r="T66" t="n">
        <v>-1</v>
      </c>
      <c r="U66" t="n">
        <v>-1</v>
      </c>
      <c r="V66" t="inlineStr">
        <is>
          <t>8/12</t>
        </is>
      </c>
      <c r="W66" t="inlineStr">
        <is>
          <t>.</t>
        </is>
      </c>
      <c r="X66" t="inlineStr">
        <is>
          <t>.</t>
        </is>
      </c>
      <c r="Y66" t="inlineStr">
        <is>
          <t>.</t>
        </is>
      </c>
      <c r="Z66" t="inlineStr">
        <is>
          <t>3/7</t>
        </is>
      </c>
      <c r="AA66" t="inlineStr">
        <is>
          <t>Uncertain significance</t>
        </is>
      </c>
      <c r="AB66" t="inlineStr">
        <is>
          <t>.</t>
        </is>
      </c>
      <c r="AC66" t="inlineStr">
        <is>
          <t>0/1</t>
        </is>
      </c>
      <c r="AD66" t="inlineStr">
        <is>
          <t>15</t>
        </is>
      </c>
      <c r="AE66" t="inlineStr">
        <is>
          <t>0.987084919325614</t>
        </is>
      </c>
      <c r="AF66" t="inlineStr">
        <is>
          <t>immunoglobulin superfamily member 3</t>
        </is>
      </c>
      <c r="AG66" t="inlineStr">
        <is>
          <t>.</t>
        </is>
      </c>
      <c r="AH66" t="inlineStr">
        <is>
          <t>.</t>
        </is>
      </c>
      <c r="AI66" t="inlineStr">
        <is>
          <t>.</t>
        </is>
      </c>
      <c r="AJ66" t="inlineStr">
        <is>
          <t>.</t>
        </is>
      </c>
      <c r="AK66" t="inlineStr">
        <is>
          <t>.</t>
        </is>
      </c>
      <c r="AL66" t="inlineStr">
        <is>
          <t>NGS_LowStringency</t>
        </is>
      </c>
    </row>
    <row r="67">
      <c r="A67" t="inlineStr"/>
      <c r="B67">
        <f>HYPERLINK("https://genome.ucsc.edu/cgi-bin/hgTracks?db=hg19&amp;position=chr1%3A117156584%2D117156584", "chr1:117156584")</f>
        <v/>
      </c>
      <c r="C67" t="inlineStr">
        <is>
          <t>chr1</t>
        </is>
      </c>
      <c r="D67" t="n">
        <v>117156584</v>
      </c>
      <c r="E67" t="n">
        <v>117156584</v>
      </c>
      <c r="F67" t="inlineStr">
        <is>
          <t>T</t>
        </is>
      </c>
      <c r="G67" t="inlineStr">
        <is>
          <t>C</t>
        </is>
      </c>
      <c r="H67" t="inlineStr">
        <is>
          <t>1399.64</t>
        </is>
      </c>
      <c r="I67" t="inlineStr">
        <is>
          <t>205</t>
        </is>
      </c>
      <c r="J67" t="inlineStr">
        <is>
          <t>160,45</t>
        </is>
      </c>
      <c r="K67" t="inlineStr">
        <is>
          <t>.</t>
        </is>
      </c>
      <c r="L67">
        <f>HYPERLINK("https://www.ncbi.nlm.nih.gov/snp/rs143106517", "rs143106517")</f>
        <v/>
      </c>
      <c r="M67">
        <f>HYPERLINK("https://www.genecards.org/Search/Keyword?queryString=%5Baliases%5D(%20IGSF3%20)&amp;keywords=IGSF3", "IGSF3")</f>
        <v/>
      </c>
      <c r="N67" t="inlineStr">
        <is>
          <t>exonic</t>
        </is>
      </c>
      <c r="O67" t="inlineStr">
        <is>
          <t>nonsynonymous SNV</t>
        </is>
      </c>
      <c r="P67" t="inlineStr">
        <is>
          <t>IGSF3:NM_001007237:exon4:c.A635G:p.Q212R,IGSF3:NM_001542:exon4:c.A635G:p.Q212R;IGSF3:uc031pnr.1:exon3:c.A635G:p.Q212R,IGSF3:uc001egr.2:exon4:c.A635G:p.Q212R;IGSF3:ENST00000318837.6_5:exon3:c.A635G:p.Q212R,IGSF3:ENST00000369483.5_5:exon4:c.A635G:p.Q212R,IGSF3:ENST00000369486.8_8:exon4:c.A635G:p.Q212R</t>
        </is>
      </c>
      <c r="Q67" t="n">
        <v>0.0012742</v>
      </c>
      <c r="R67" t="n">
        <v>-1</v>
      </c>
      <c r="S67" t="n">
        <v>-1</v>
      </c>
      <c r="T67" t="n">
        <v>-1</v>
      </c>
      <c r="U67" t="n">
        <v>-1</v>
      </c>
      <c r="V67" t="inlineStr">
        <is>
          <t>7/12</t>
        </is>
      </c>
      <c r="W67" t="inlineStr">
        <is>
          <t>.</t>
        </is>
      </c>
      <c r="X67" t="inlineStr">
        <is>
          <t>.</t>
        </is>
      </c>
      <c r="Y67" t="inlineStr">
        <is>
          <t>.</t>
        </is>
      </c>
      <c r="Z67" t="inlineStr">
        <is>
          <t>3/7</t>
        </is>
      </c>
      <c r="AA67" t="inlineStr">
        <is>
          <t>Uncertain significance</t>
        </is>
      </c>
      <c r="AB67" t="inlineStr">
        <is>
          <t>.</t>
        </is>
      </c>
      <c r="AC67" t="inlineStr">
        <is>
          <t>.</t>
        </is>
      </c>
      <c r="AD67" t="inlineStr">
        <is>
          <t>15</t>
        </is>
      </c>
      <c r="AE67" t="inlineStr">
        <is>
          <t>0.987084919325614</t>
        </is>
      </c>
      <c r="AF67" t="inlineStr">
        <is>
          <t>immunoglobulin superfamily member 3</t>
        </is>
      </c>
      <c r="AG67" t="inlineStr">
        <is>
          <t>.</t>
        </is>
      </c>
      <c r="AH67" t="inlineStr">
        <is>
          <t>.</t>
        </is>
      </c>
      <c r="AI67" t="inlineStr">
        <is>
          <t>.</t>
        </is>
      </c>
      <c r="AJ67" t="inlineStr">
        <is>
          <t>.</t>
        </is>
      </c>
      <c r="AK67" t="inlineStr">
        <is>
          <t>.</t>
        </is>
      </c>
      <c r="AL67" t="inlineStr">
        <is>
          <t>NGS_LowStringency</t>
        </is>
      </c>
    </row>
    <row r="68">
      <c r="A68" t="inlineStr"/>
      <c r="B68">
        <f>HYPERLINK("https://genome.ucsc.edu/cgi-bin/hgTracks?db=hg19&amp;position=chr1%3A117156585%2D117156585", "chr1:117156585")</f>
        <v/>
      </c>
      <c r="C68" t="inlineStr">
        <is>
          <t>chr1</t>
        </is>
      </c>
      <c r="D68" t="n">
        <v>117156585</v>
      </c>
      <c r="E68" t="n">
        <v>117156585</v>
      </c>
      <c r="F68" t="inlineStr">
        <is>
          <t>G</t>
        </is>
      </c>
      <c r="G68" t="inlineStr">
        <is>
          <t>A</t>
        </is>
      </c>
      <c r="H68" t="inlineStr">
        <is>
          <t>1399.64</t>
        </is>
      </c>
      <c r="I68" t="inlineStr">
        <is>
          <t>205</t>
        </is>
      </c>
      <c r="J68" t="inlineStr">
        <is>
          <t>160,45</t>
        </is>
      </c>
      <c r="K68" t="inlineStr">
        <is>
          <t>.</t>
        </is>
      </c>
      <c r="L68">
        <f>HYPERLINK("https://www.ncbi.nlm.nih.gov/snp/rs139013364", "rs139013364")</f>
        <v/>
      </c>
      <c r="M68">
        <f>HYPERLINK("https://www.genecards.org/Search/Keyword?queryString=%5Baliases%5D(%20IGSF3%20)&amp;keywords=IGSF3", "IGSF3")</f>
        <v/>
      </c>
      <c r="N68" t="inlineStr">
        <is>
          <t>exonic</t>
        </is>
      </c>
      <c r="O68" t="inlineStr">
        <is>
          <t>stopgain</t>
        </is>
      </c>
      <c r="P68" t="inlineStr">
        <is>
          <t>IGSF3:NM_001007237:exon4:c.C634T:p.Q212X,IGSF3:NM_001542:exon4:c.C634T:p.Q212X;IGSF3:uc031pnr.1:exon3:c.C634T:p.Q212X,IGSF3:uc001egr.2:exon4:c.C634T:p.Q212X;IGSF3:ENST00000318837.6_5:exon3:c.C634T:p.Q212X,IGSF3:ENST00000369483.5_5:exon4:c.C634T:p.Q212X,IGSF3:ENST00000369486.8_8:exon4:c.C634T:p.Q212X</t>
        </is>
      </c>
      <c r="Q68" t="n">
        <v>0.0011513</v>
      </c>
      <c r="R68" t="n">
        <v>-1</v>
      </c>
      <c r="S68" t="n">
        <v>-1</v>
      </c>
      <c r="T68" t="n">
        <v>-1</v>
      </c>
      <c r="U68" t="n">
        <v>-1</v>
      </c>
      <c r="V68" t="inlineStr">
        <is>
          <t>3/3</t>
        </is>
      </c>
      <c r="W68" t="inlineStr">
        <is>
          <t>.</t>
        </is>
      </c>
      <c r="X68" t="inlineStr">
        <is>
          <t>.</t>
        </is>
      </c>
      <c r="Y68" t="inlineStr">
        <is>
          <t>.</t>
        </is>
      </c>
      <c r="Z68" t="inlineStr">
        <is>
          <t>4/7</t>
        </is>
      </c>
      <c r="AA68" t="inlineStr">
        <is>
          <t>Pathogenic</t>
        </is>
      </c>
      <c r="AB68" t="inlineStr">
        <is>
          <t>.</t>
        </is>
      </c>
      <c r="AC68" t="inlineStr">
        <is>
          <t>.</t>
        </is>
      </c>
      <c r="AD68" t="inlineStr">
        <is>
          <t>15</t>
        </is>
      </c>
      <c r="AE68" t="inlineStr">
        <is>
          <t>0.987084919325614</t>
        </is>
      </c>
      <c r="AF68" t="inlineStr">
        <is>
          <t>immunoglobulin superfamily member 3</t>
        </is>
      </c>
      <c r="AG68" t="inlineStr">
        <is>
          <t>.</t>
        </is>
      </c>
      <c r="AH68" t="inlineStr">
        <is>
          <t>.</t>
        </is>
      </c>
      <c r="AI68" t="inlineStr">
        <is>
          <t>.</t>
        </is>
      </c>
      <c r="AJ68" t="inlineStr">
        <is>
          <t>.</t>
        </is>
      </c>
      <c r="AK68" t="inlineStr">
        <is>
          <t>.</t>
        </is>
      </c>
      <c r="AL68" t="inlineStr">
        <is>
          <t>NGS_LowStringency</t>
        </is>
      </c>
    </row>
    <row r="69">
      <c r="A69" t="inlineStr"/>
      <c r="B69">
        <f>HYPERLINK("https://genome.ucsc.edu/cgi-bin/hgTracks?db=hg19&amp;position=chr1%3A117156600%2D117156600", "chr1:117156600")</f>
        <v/>
      </c>
      <c r="C69" t="inlineStr">
        <is>
          <t>chr1</t>
        </is>
      </c>
      <c r="D69" t="n">
        <v>117156600</v>
      </c>
      <c r="E69" t="n">
        <v>117156600</v>
      </c>
      <c r="F69" t="inlineStr">
        <is>
          <t>T</t>
        </is>
      </c>
      <c r="G69" t="inlineStr">
        <is>
          <t>C</t>
        </is>
      </c>
      <c r="H69" t="inlineStr">
        <is>
          <t>434.64</t>
        </is>
      </c>
      <c r="I69" t="inlineStr">
        <is>
          <t>205</t>
        </is>
      </c>
      <c r="J69" t="inlineStr">
        <is>
          <t>163,42</t>
        </is>
      </c>
      <c r="K69" t="inlineStr">
        <is>
          <t>.</t>
        </is>
      </c>
      <c r="L69">
        <f>HYPERLINK("https://www.ncbi.nlm.nih.gov/snp/rs547741844", "rs547741844")</f>
        <v/>
      </c>
      <c r="M69">
        <f>HYPERLINK("https://www.genecards.org/Search/Keyword?queryString=%5Baliases%5D(%20IGSF3%20)&amp;keywords=IGSF3", "IGSF3")</f>
        <v/>
      </c>
      <c r="N69" t="inlineStr">
        <is>
          <t>exonic</t>
        </is>
      </c>
      <c r="O69" t="inlineStr">
        <is>
          <t>nonsynonymous SNV</t>
        </is>
      </c>
      <c r="P69" t="inlineStr">
        <is>
          <t>IGSF3:NM_001007237:exon4:c.A619G:p.S207G,IGSF3:NM_001542:exon4:c.A619G:p.S207G;IGSF3:uc031pnr.1:exon3:c.A619G:p.S207G,IGSF3:uc001egr.2:exon4:c.A619G:p.S207G;IGSF3:ENST00000318837.6_5:exon3:c.A619G:p.S207G,IGSF3:ENST00000369483.5_5:exon4:c.A619G:p.S207G,IGSF3:ENST00000369486.8_8:exon4:c.A619G:p.S207G</t>
        </is>
      </c>
      <c r="Q69" t="n">
        <v>0.0003816</v>
      </c>
      <c r="R69" t="n">
        <v>-1</v>
      </c>
      <c r="S69" t="n">
        <v>-1</v>
      </c>
      <c r="T69" t="n">
        <v>-1</v>
      </c>
      <c r="U69" t="n">
        <v>-1</v>
      </c>
      <c r="V69" t="inlineStr">
        <is>
          <t>4/12</t>
        </is>
      </c>
      <c r="W69" t="inlineStr">
        <is>
          <t>.</t>
        </is>
      </c>
      <c r="X69" t="inlineStr">
        <is>
          <t>.</t>
        </is>
      </c>
      <c r="Y69" t="inlineStr">
        <is>
          <t>.</t>
        </is>
      </c>
      <c r="Z69" t="inlineStr">
        <is>
          <t>1/7</t>
        </is>
      </c>
      <c r="AA69" t="inlineStr">
        <is>
          <t>Uncertain significance</t>
        </is>
      </c>
      <c r="AB69" t="inlineStr">
        <is>
          <t>.</t>
        </is>
      </c>
      <c r="AC69" t="inlineStr">
        <is>
          <t>0/1</t>
        </is>
      </c>
      <c r="AD69" t="inlineStr">
        <is>
          <t>15</t>
        </is>
      </c>
      <c r="AE69" t="inlineStr">
        <is>
          <t>0.987084919325614</t>
        </is>
      </c>
      <c r="AF69" t="inlineStr">
        <is>
          <t>immunoglobulin superfamily member 3</t>
        </is>
      </c>
      <c r="AG69" t="inlineStr">
        <is>
          <t>.</t>
        </is>
      </c>
      <c r="AH69" t="inlineStr">
        <is>
          <t>.</t>
        </is>
      </c>
      <c r="AI69" t="inlineStr">
        <is>
          <t>.</t>
        </is>
      </c>
      <c r="AJ69" t="inlineStr">
        <is>
          <t>.</t>
        </is>
      </c>
      <c r="AK69" t="inlineStr">
        <is>
          <t>.</t>
        </is>
      </c>
      <c r="AL69" t="inlineStr">
        <is>
          <t>NGS_LowStringency</t>
        </is>
      </c>
    </row>
    <row r="70">
      <c r="A70" t="inlineStr"/>
      <c r="B70">
        <f>HYPERLINK("https://genome.ucsc.edu/cgi-bin/hgTracks?db=hg19&amp;position=chr1%3A117158857%2D117158857", "chr1:117158857")</f>
        <v/>
      </c>
      <c r="C70" t="inlineStr">
        <is>
          <t>chr1</t>
        </is>
      </c>
      <c r="D70" t="n">
        <v>117158857</v>
      </c>
      <c r="E70" t="n">
        <v>117158857</v>
      </c>
      <c r="F70" t="inlineStr">
        <is>
          <t>C</t>
        </is>
      </c>
      <c r="G70" t="inlineStr">
        <is>
          <t>T</t>
        </is>
      </c>
      <c r="H70" t="inlineStr">
        <is>
          <t>431.64</t>
        </is>
      </c>
      <c r="I70" t="inlineStr">
        <is>
          <t>183</t>
        </is>
      </c>
      <c r="J70" t="inlineStr">
        <is>
          <t>161,22</t>
        </is>
      </c>
      <c r="K70" t="inlineStr">
        <is>
          <t>.</t>
        </is>
      </c>
      <c r="L70">
        <f>HYPERLINK("https://www.ncbi.nlm.nih.gov/snp/rs796878969", "rs796878969")</f>
        <v/>
      </c>
      <c r="M70">
        <f>HYPERLINK("https://www.genecards.org/Search/Keyword?queryString=%5Baliases%5D(%20IGSF3%20)&amp;keywords=IGSF3", "IGSF3")</f>
        <v/>
      </c>
      <c r="N70" t="inlineStr">
        <is>
          <t>exonic</t>
        </is>
      </c>
      <c r="O70" t="inlineStr">
        <is>
          <t>nonsynonymous SNV</t>
        </is>
      </c>
      <c r="P70" t="inlineStr">
        <is>
          <t>IGSF3:NM_001007237:exon3:c.G266A:p.R89H,IGSF3:NM_001542:exon3:c.G266A:p.R89H;IGSF3:uc031pnr.1:exon2:c.G266A:p.R89H,IGSF3:uc001egr.2:exon3:c.G266A:p.R89H;IGSF3:ENST00000318837.6_5:exon2:c.G266A:p.R89H,IGSF3:ENST00000369483.5_5:exon3:c.G266A:p.R89H,IGSF3:ENST00000369486.8_8:exon3:c.G266A:p.R89H</t>
        </is>
      </c>
      <c r="Q70" t="n">
        <v>7.179e-05</v>
      </c>
      <c r="R70" t="n">
        <v>9.017e-05</v>
      </c>
      <c r="S70" t="n">
        <v>-1</v>
      </c>
      <c r="T70" t="n">
        <v>-1</v>
      </c>
      <c r="U70" t="n">
        <v>-1</v>
      </c>
      <c r="V70" t="inlineStr">
        <is>
          <t>8/12</t>
        </is>
      </c>
      <c r="W70" t="inlineStr">
        <is>
          <t>.</t>
        </is>
      </c>
      <c r="X70" t="inlineStr">
        <is>
          <t>.</t>
        </is>
      </c>
      <c r="Y70" t="inlineStr">
        <is>
          <t>.</t>
        </is>
      </c>
      <c r="Z70" t="inlineStr">
        <is>
          <t>1/7</t>
        </is>
      </c>
      <c r="AA70" t="inlineStr">
        <is>
          <t>Uncertain significance</t>
        </is>
      </c>
      <c r="AB70" t="inlineStr">
        <is>
          <t>.</t>
        </is>
      </c>
      <c r="AC70" t="inlineStr">
        <is>
          <t>.</t>
        </is>
      </c>
      <c r="AD70" t="inlineStr">
        <is>
          <t>15</t>
        </is>
      </c>
      <c r="AE70" t="inlineStr">
        <is>
          <t>0.987084919325614</t>
        </is>
      </c>
      <c r="AF70" t="inlineStr">
        <is>
          <t>immunoglobulin superfamily member 3</t>
        </is>
      </c>
      <c r="AG70" t="inlineStr">
        <is>
          <t>.</t>
        </is>
      </c>
      <c r="AH70" t="inlineStr">
        <is>
          <t>.</t>
        </is>
      </c>
      <c r="AI70" t="inlineStr">
        <is>
          <t>.</t>
        </is>
      </c>
      <c r="AJ70" t="inlineStr">
        <is>
          <t>.</t>
        </is>
      </c>
      <c r="AK70" t="inlineStr">
        <is>
          <t>.</t>
        </is>
      </c>
      <c r="AL70" t="inlineStr">
        <is>
          <t>NGS_HighStringency</t>
        </is>
      </c>
    </row>
    <row r="71">
      <c r="A71" t="inlineStr"/>
      <c r="B71">
        <f>HYPERLINK("https://genome.ucsc.edu/cgi-bin/hgTracks?db=hg19&amp;position=chr1%3A117158972%2D117158972", "chr1:117158972")</f>
        <v/>
      </c>
      <c r="C71" t="inlineStr">
        <is>
          <t>chr1</t>
        </is>
      </c>
      <c r="D71" t="n">
        <v>117158972</v>
      </c>
      <c r="E71" t="n">
        <v>117158972</v>
      </c>
      <c r="F71" t="inlineStr">
        <is>
          <t>A</t>
        </is>
      </c>
      <c r="G71" t="inlineStr">
        <is>
          <t>G</t>
        </is>
      </c>
      <c r="H71" t="inlineStr">
        <is>
          <t>687.64</t>
        </is>
      </c>
      <c r="I71" t="inlineStr">
        <is>
          <t>198</t>
        </is>
      </c>
      <c r="J71" t="inlineStr">
        <is>
          <t>146,52</t>
        </is>
      </c>
      <c r="K71" t="inlineStr">
        <is>
          <t>.</t>
        </is>
      </c>
      <c r="L71">
        <f>HYPERLINK("https://www.ncbi.nlm.nih.gov/snp/rs3965246", "rs3965246")</f>
        <v/>
      </c>
      <c r="M71">
        <f>HYPERLINK("https://www.genecards.org/Search/Keyword?queryString=%5Baliases%5D(%20IGSF3%20)&amp;keywords=IGSF3", "IGSF3")</f>
        <v/>
      </c>
      <c r="N71" t="inlineStr">
        <is>
          <t>exonic</t>
        </is>
      </c>
      <c r="O71" t="inlineStr">
        <is>
          <t>nonsynonymous SNV</t>
        </is>
      </c>
      <c r="P71" t="inlineStr">
        <is>
          <t>IGSF3:NM_001007237:exon3:c.T151C:p.S51P,IGSF3:NM_001542:exon3:c.T151C:p.S51P;IGSF3:uc031pnr.1:exon2:c.T151C:p.S51P,IGSF3:uc001egr.2:exon3:c.T151C:p.S51P;IGSF3:ENST00000318837.6_5:exon2:c.T151C:p.S51P,IGSF3:ENST00000369483.5_5:exon3:c.T151C:p.S51P,IGSF3:ENST00000369486.8_8:exon3:c.T151C:p.S51P</t>
        </is>
      </c>
      <c r="Q71" t="n">
        <v>0.002943</v>
      </c>
      <c r="R71" t="n">
        <v>-1</v>
      </c>
      <c r="S71" t="n">
        <v>-1</v>
      </c>
      <c r="T71" t="n">
        <v>-1</v>
      </c>
      <c r="U71" t="n">
        <v>-1</v>
      </c>
      <c r="V71" t="inlineStr">
        <is>
          <t>5/12</t>
        </is>
      </c>
      <c r="W71" t="inlineStr">
        <is>
          <t>.</t>
        </is>
      </c>
      <c r="X71" t="inlineStr">
        <is>
          <t>.</t>
        </is>
      </c>
      <c r="Y71" t="inlineStr">
        <is>
          <t>.</t>
        </is>
      </c>
      <c r="Z71" t="inlineStr">
        <is>
          <t>2/7</t>
        </is>
      </c>
      <c r="AA71" t="inlineStr">
        <is>
          <t>Likely benign</t>
        </is>
      </c>
      <c r="AB71" t="inlineStr">
        <is>
          <t>.</t>
        </is>
      </c>
      <c r="AC71" t="inlineStr">
        <is>
          <t>0/1</t>
        </is>
      </c>
      <c r="AD71" t="inlineStr">
        <is>
          <t>15</t>
        </is>
      </c>
      <c r="AE71" t="inlineStr">
        <is>
          <t>0.987084919325614</t>
        </is>
      </c>
      <c r="AF71" t="inlineStr">
        <is>
          <t>immunoglobulin superfamily member 3</t>
        </is>
      </c>
      <c r="AG71" t="inlineStr">
        <is>
          <t>.</t>
        </is>
      </c>
      <c r="AH71" t="inlineStr">
        <is>
          <t>.</t>
        </is>
      </c>
      <c r="AI71" t="inlineStr">
        <is>
          <t>.</t>
        </is>
      </c>
      <c r="AJ71" t="inlineStr">
        <is>
          <t>.</t>
        </is>
      </c>
      <c r="AK71" t="inlineStr">
        <is>
          <t>.</t>
        </is>
      </c>
      <c r="AL71" t="inlineStr">
        <is>
          <t>NGS_HighStringency</t>
        </is>
      </c>
    </row>
    <row r="72">
      <c r="A72" t="inlineStr"/>
      <c r="B72">
        <f>HYPERLINK("https://genome.ucsc.edu/cgi-bin/hgTracks?db=hg19&amp;position=chr1%3A117617588%2D117617588", "chr1:117617588")</f>
        <v/>
      </c>
      <c r="C72" t="inlineStr">
        <is>
          <t>chr1</t>
        </is>
      </c>
      <c r="D72" t="n">
        <v>117617588</v>
      </c>
      <c r="E72" t="n">
        <v>117617588</v>
      </c>
      <c r="F72" t="inlineStr">
        <is>
          <t>G</t>
        </is>
      </c>
      <c r="G72" t="inlineStr">
        <is>
          <t>A</t>
        </is>
      </c>
      <c r="H72" t="inlineStr">
        <is>
          <t>1585.64</t>
        </is>
      </c>
      <c r="I72" t="inlineStr">
        <is>
          <t>92</t>
        </is>
      </c>
      <c r="J72" t="inlineStr">
        <is>
          <t>32,60</t>
        </is>
      </c>
      <c r="K72" t="inlineStr">
        <is>
          <t>.</t>
        </is>
      </c>
      <c r="L72" t="inlineStr">
        <is>
          <t>.</t>
        </is>
      </c>
      <c r="M72">
        <f>HYPERLINK("https://www.genecards.org/Search/Keyword?queryString=%5Baliases%5D(%20TTF2%20)&amp;keywords=TTF2", "TTF2")</f>
        <v/>
      </c>
      <c r="N72" t="inlineStr">
        <is>
          <t>exonic</t>
        </is>
      </c>
      <c r="O72" t="inlineStr">
        <is>
          <t>nonsynonymous SNV</t>
        </is>
      </c>
      <c r="P72" t="inlineStr">
        <is>
          <t>TTF2:NM_003594:exon5:c.G382A:p.V128I;TTF2:uc001egx.1:exon5:c.G382A:p.V128I,TTF2:uc001egy.3:exon5:c.G382A:p.V128I;TTF2:ENST00000369466.9_3:exon5:c.G382A:p.V128I</t>
        </is>
      </c>
      <c r="Q72" t="n">
        <v>-1</v>
      </c>
      <c r="R72" t="n">
        <v>-1</v>
      </c>
      <c r="S72" t="n">
        <v>-1</v>
      </c>
      <c r="T72" t="n">
        <v>-1</v>
      </c>
      <c r="U72" t="n">
        <v>-1</v>
      </c>
      <c r="V72" t="inlineStr">
        <is>
          <t>3/12</t>
        </is>
      </c>
      <c r="W72" t="inlineStr">
        <is>
          <t>.</t>
        </is>
      </c>
      <c r="X72" t="inlineStr">
        <is>
          <t>.</t>
        </is>
      </c>
      <c r="Y72" t="inlineStr">
        <is>
          <t>.</t>
        </is>
      </c>
      <c r="Z72" t="inlineStr">
        <is>
          <t>3/7</t>
        </is>
      </c>
      <c r="AA72" t="inlineStr">
        <is>
          <t>Uncertain significance</t>
        </is>
      </c>
      <c r="AB72" t="inlineStr">
        <is>
          <t>.</t>
        </is>
      </c>
      <c r="AC72" t="inlineStr">
        <is>
          <t>0/1</t>
        </is>
      </c>
      <c r="AD72" t="inlineStr">
        <is>
          <t>1</t>
        </is>
      </c>
      <c r="AE72" t="inlineStr">
        <is>
          <t>7.3515283462504e-16</t>
        </is>
      </c>
      <c r="AF72" t="inlineStr">
        <is>
          <t>transcription termination factor, RNA polymerase II</t>
        </is>
      </c>
      <c r="AG72" t="inlineStr">
        <is>
          <t xml:space="preserve">FUNCTION: DsDNA-dependent ATPase which acts as a transcription termination factor by coupling ATP hydrolysis with removal of RNA polymerase II from the DNA template. May contribute to mitotic transcription repression. May also be involved in pre-mRNA splicing. {ECO:0000269|PubMed:10455150, ECO:0000269|PubMed:12927788, ECO:0000269|PubMed:15125840, ECO:0000269|PubMed:9748214}.; </t>
        </is>
      </c>
      <c r="AH72" t="inlineStr">
        <is>
          <t>.</t>
        </is>
      </c>
      <c r="AI72" t="inlineStr">
        <is>
          <t>.</t>
        </is>
      </c>
      <c r="AJ72" t="inlineStr">
        <is>
          <t>.</t>
        </is>
      </c>
      <c r="AK72" t="inlineStr">
        <is>
          <t>.</t>
        </is>
      </c>
      <c r="AL72" t="inlineStr">
        <is>
          <t>.</t>
        </is>
      </c>
    </row>
    <row r="73">
      <c r="A73" t="inlineStr"/>
      <c r="B73">
        <f>HYPERLINK("https://genome.ucsc.edu/cgi-bin/hgTracks?db=hg19&amp;position=chr1%3A120463270%2D120463270", "chr1:120463270")</f>
        <v/>
      </c>
      <c r="C73" t="inlineStr">
        <is>
          <t>chr1</t>
        </is>
      </c>
      <c r="D73" t="n">
        <v>120463270</v>
      </c>
      <c r="E73" t="n">
        <v>120463270</v>
      </c>
      <c r="F73" t="inlineStr">
        <is>
          <t>A</t>
        </is>
      </c>
      <c r="G73" t="inlineStr">
        <is>
          <t>C</t>
        </is>
      </c>
      <c r="H73" t="inlineStr">
        <is>
          <t>50.64</t>
        </is>
      </c>
      <c r="I73" t="inlineStr">
        <is>
          <t>7</t>
        </is>
      </c>
      <c r="J73" t="inlineStr">
        <is>
          <t>5,2</t>
        </is>
      </c>
      <c r="K73" t="inlineStr">
        <is>
          <t>.</t>
        </is>
      </c>
      <c r="L73" t="inlineStr">
        <is>
          <t>.</t>
        </is>
      </c>
      <c r="M73">
        <f>HYPERLINK("https://www.genecards.org/Search/Keyword?queryString=%5Baliases%5D(%20NOTCH2%20)%20OR%20%5Baliases%5D(%20NOTCH2NLC%20)&amp;keywords=NOTCH2,NOTCH2NLC", "NOTCH2;NOTCH2NLC")</f>
        <v/>
      </c>
      <c r="N73" t="inlineStr">
        <is>
          <t>intronic</t>
        </is>
      </c>
      <c r="O73" t="inlineStr">
        <is>
          <t>.</t>
        </is>
      </c>
      <c r="P73" t="inlineStr">
        <is>
          <t>.</t>
        </is>
      </c>
      <c r="Q73" t="n">
        <v>-1</v>
      </c>
      <c r="R73" t="n">
        <v>-1</v>
      </c>
      <c r="S73" t="n">
        <v>-1</v>
      </c>
      <c r="T73" t="n">
        <v>-1</v>
      </c>
      <c r="U73" t="n">
        <v>-1</v>
      </c>
      <c r="V73" t="inlineStr">
        <is>
          <t>.</t>
        </is>
      </c>
      <c r="W73" t="inlineStr">
        <is>
          <t>.</t>
        </is>
      </c>
      <c r="X73" t="inlineStr">
        <is>
          <t>PD</t>
        </is>
      </c>
      <c r="Y73" t="inlineStr">
        <is>
          <t>off</t>
        </is>
      </c>
      <c r="Z73" t="inlineStr">
        <is>
          <t>.</t>
        </is>
      </c>
      <c r="AA73" t="inlineStr">
        <is>
          <t>.</t>
        </is>
      </c>
      <c r="AB73" t="inlineStr">
        <is>
          <t>.</t>
        </is>
      </c>
      <c r="AC73" t="inlineStr">
        <is>
          <t>0/1</t>
        </is>
      </c>
      <c r="AD73" t="inlineStr">
        <is>
          <t>1;1</t>
        </is>
      </c>
      <c r="AE73" t="inlineStr">
        <is>
          <t>0.999999993249444</t>
        </is>
      </c>
      <c r="AF73" t="inlineStr">
        <is>
          <t>notch 2</t>
        </is>
      </c>
      <c r="AG73" t="inlineStr">
        <is>
          <t xml:space="preserve">FUNCTION: Functions as a receptor for membrane-bound ligands Jagged1, Jagged2 and Delta1 to regulate cell-fate determination. Upon ligand activation through the released notch intracellular domain (NICD) it forms a transcriptional activator complex with RBPJ/RBPSUH and activates genes of the enhancer of split locus. Affects the implementation of differentiation, proliferation and apoptotic programs (By similarity). Involved in bone remodeling and homeostasis. In collaboration with RELA/p65 enhances NFATc1 promoter activity and positively regulates RANKL-induced osteoclast differentiation. Positively regulates self-renewal of liver cancer cells (PubMed:25985737). {ECO:0000250|UniProtKB:O35516, ECO:0000269|PubMed:21378985, ECO:0000269|PubMed:21378989, ECO:0000269|PubMed:25985737}.; </t>
        </is>
      </c>
      <c r="AH73" t="inlineStr">
        <is>
          <t xml:space="preserve">DISEASE: Alagille syndrome 2 (ALGS2) [MIM:610205]: A form of Alagille syndrome, an autosomal dominant multisystem disorder. It is clinically defined by hepatic bile duct paucity and cholestasis in association with cardiac, skeletal, and ophthalmologic manifestations. There are characteristic facial features and less frequent clinical involvement of the renal and vascular systems. {ECO:0000269|PubMed:16773578}. Note=The disease is caused by mutations affecting the gene represented in this entry.; DISEASE: Hajdu-Cheney syndrome (HJCYS) [MIM:102500]: A rare skeletal disorder characterized by the association of facial anomalies, acro-osteolysis, general osteoporosis, insufficient ossification of the skull, and periodontal disease (premature loss of permanent teeth). Other features include cleft palate, congenital heart defects, polycystic kidneys, orthopedic problems and anomalies of the genitalia, intestines and eyes. {ECO:0000269|PubMed:21378985, ECO:0000269|PubMed:21378989}. Note=The disease is caused by mutations affecting the gene represented in this entry. NOTCH2 mutations associated with Hajdu- Cheney syndrome cluster to the last coding exon of the gene. This suggests that the mutant mRNA products may escape nonsense- mediated decay and the resulting truncated NOTCH2 proteins act in a gain-of-function manner.; </t>
        </is>
      </c>
      <c r="AI73" t="inlineStr">
        <is>
          <t>.</t>
        </is>
      </c>
      <c r="AJ73" t="inlineStr">
        <is>
          <t>.</t>
        </is>
      </c>
      <c r="AK73" t="inlineStr">
        <is>
          <t>.</t>
        </is>
      </c>
      <c r="AL73" t="inlineStr">
        <is>
          <t>.</t>
        </is>
      </c>
    </row>
    <row r="74">
      <c r="A74" t="inlineStr"/>
      <c r="B74">
        <f>HYPERLINK("https://genome.ucsc.edu/cgi-bin/hgTracks?db=hg19&amp;position=chr1%3A147230991%2D147230991", "chr1:147230991")</f>
        <v/>
      </c>
      <c r="C74" t="inlineStr">
        <is>
          <t>chr1</t>
        </is>
      </c>
      <c r="D74" t="n">
        <v>147230991</v>
      </c>
      <c r="E74" t="n">
        <v>147230991</v>
      </c>
      <c r="F74" t="inlineStr">
        <is>
          <t>C</t>
        </is>
      </c>
      <c r="G74" t="inlineStr">
        <is>
          <t>T</t>
        </is>
      </c>
      <c r="H74" t="inlineStr">
        <is>
          <t>213.64</t>
        </is>
      </c>
      <c r="I74" t="inlineStr">
        <is>
          <t>97</t>
        </is>
      </c>
      <c r="J74" t="inlineStr">
        <is>
          <t>81,16</t>
        </is>
      </c>
      <c r="K74" t="inlineStr">
        <is>
          <t>.</t>
        </is>
      </c>
      <c r="L74" t="inlineStr">
        <is>
          <t>.</t>
        </is>
      </c>
      <c r="M74">
        <f>HYPERLINK("https://www.genecards.org/Search/Keyword?queryString=%5Baliases%5D(%20GJA5%20)&amp;keywords=GJA5", "GJA5")</f>
        <v/>
      </c>
      <c r="N74" t="inlineStr">
        <is>
          <t>exonic</t>
        </is>
      </c>
      <c r="O74" t="inlineStr">
        <is>
          <t>nonsynonymous SNV</t>
        </is>
      </c>
      <c r="P74" t="inlineStr">
        <is>
          <t>GJA5:NM_005266:exon2:c.G356A:p.G119D,GJA5:NM_181703:exon2:c.G356A:p.G119D;GJA5:uc021ovl.1:exon1:c.G356A:p.G119D,GJA5:uc001eps.1:exon2:c.G356A:p.G119D,GJA5:uc001ept.1:exon2:c.G356A:p.G119D;GJA5:ENST00000579774.3_5:exon2:c.G356A:p.G119D,GJA5:ENST00000621517.1_3:exon2:c.G356A:p.G119D</t>
        </is>
      </c>
      <c r="Q74" t="n">
        <v>-1</v>
      </c>
      <c r="R74" t="n">
        <v>-1</v>
      </c>
      <c r="S74" t="n">
        <v>-1</v>
      </c>
      <c r="T74" t="n">
        <v>-1</v>
      </c>
      <c r="U74" t="n">
        <v>-1</v>
      </c>
      <c r="V74" t="inlineStr">
        <is>
          <t>5/11</t>
        </is>
      </c>
      <c r="W74" t="inlineStr">
        <is>
          <t>.</t>
        </is>
      </c>
      <c r="X74" t="inlineStr">
        <is>
          <t>.</t>
        </is>
      </c>
      <c r="Y74" t="inlineStr">
        <is>
          <t>.</t>
        </is>
      </c>
      <c r="Z74" t="inlineStr">
        <is>
          <t>0/7</t>
        </is>
      </c>
      <c r="AA74" t="inlineStr">
        <is>
          <t>Uncertain significance</t>
        </is>
      </c>
      <c r="AB74" t="inlineStr">
        <is>
          <t>.</t>
        </is>
      </c>
      <c r="AC74" t="inlineStr">
        <is>
          <t>0/1</t>
        </is>
      </c>
      <c r="AD74" t="inlineStr">
        <is>
          <t>1</t>
        </is>
      </c>
      <c r="AE74" t="inlineStr">
        <is>
          <t>0.09799649643541</t>
        </is>
      </c>
      <c r="AF74" t="inlineStr">
        <is>
          <t>gap junction protein alpha 5</t>
        </is>
      </c>
      <c r="AG74" t="inlineStr">
        <is>
          <t xml:space="preserve">FUNCTION: One gap junction consists of a cluster of closely packed pairs of transmembrane channels, the connexons, through which materials of low MW diffuse from one cell to a neighboring cell.; </t>
        </is>
      </c>
      <c r="AH74" t="inlineStr">
        <is>
          <t xml:space="preserve">DISEASE: Atrial standstill 1 (ATRST1) [MIM:108770]: A rare arrhythmia characterized by the absence of electrical and mechanical activity in the atria. Electrocardiographically, it is characterized by bradycardia, the absence of P waves, and a junctional narrow complex escape rhythm. {ECO:0000269|PubMed:16790700}. Note=The disease may be caused by mutations affecting distinct genetic loci, including the gene represented in this entry. A rare GJA5 genotype has been detected in combination with a mutation in SCN5A in a large family with atrial standstill.; DISEASE: Atrial fibrillation, familial, 11 (ATFB11) [MIM:614049]: A familial form of atrial fibrillation, a common sustained cardiac rhythm disturbance. Atrial fibrillation is characterized by disorganized atrial electrical activity and ineffective atrial contraction promoting blood stasis in the atria and reduces ventricular filling. It can result in palpitations, syncope, thromboembolic stroke, and congestive heart failure. {ECO:0000269|PubMed:20650941}. Note=The disease is caused by mutations affecting the gene represented in this entry.; </t>
        </is>
      </c>
      <c r="AI74" t="inlineStr">
        <is>
          <t>.</t>
        </is>
      </c>
      <c r="AJ74" t="inlineStr">
        <is>
          <t>.</t>
        </is>
      </c>
      <c r="AK74" t="inlineStr">
        <is>
          <t>.</t>
        </is>
      </c>
      <c r="AL74" t="inlineStr">
        <is>
          <t>.</t>
        </is>
      </c>
    </row>
    <row r="75">
      <c r="A75" t="inlineStr"/>
      <c r="B75">
        <f>HYPERLINK("https://genome.ucsc.edu/cgi-bin/hgTracks?db=hg19&amp;position=chr1%3A150245474%2D150245474", "chr1:150245474")</f>
        <v/>
      </c>
      <c r="C75" t="inlineStr">
        <is>
          <t>chr1</t>
        </is>
      </c>
      <c r="D75" t="n">
        <v>150245474</v>
      </c>
      <c r="E75" t="n">
        <v>150245474</v>
      </c>
      <c r="F75" t="inlineStr">
        <is>
          <t>A</t>
        </is>
      </c>
      <c r="G75" t="inlineStr">
        <is>
          <t>G</t>
        </is>
      </c>
      <c r="H75" t="inlineStr">
        <is>
          <t>43.64</t>
        </is>
      </c>
      <c r="I75" t="inlineStr">
        <is>
          <t>8</t>
        </is>
      </c>
      <c r="J75" t="inlineStr">
        <is>
          <t>6,2</t>
        </is>
      </c>
      <c r="K75" t="inlineStr">
        <is>
          <t>.</t>
        </is>
      </c>
      <c r="L75" t="inlineStr">
        <is>
          <t>.</t>
        </is>
      </c>
      <c r="M75">
        <f>HYPERLINK("https://www.genecards.org/Search/Keyword?queryString=%5Baliases%5D(%20C1orf54%20)&amp;keywords=C1orf54", "C1orf54")</f>
        <v/>
      </c>
      <c r="N75" t="inlineStr">
        <is>
          <t>intronic</t>
        </is>
      </c>
      <c r="O75" t="inlineStr">
        <is>
          <t>.</t>
        </is>
      </c>
      <c r="P75" t="inlineStr">
        <is>
          <t>.</t>
        </is>
      </c>
      <c r="Q75" t="n">
        <v>-1</v>
      </c>
      <c r="R75" t="n">
        <v>-1</v>
      </c>
      <c r="S75" t="n">
        <v>-1</v>
      </c>
      <c r="T75" t="n">
        <v>-1</v>
      </c>
      <c r="U75" t="n">
        <v>-1</v>
      </c>
      <c r="V75" t="inlineStr">
        <is>
          <t>.</t>
        </is>
      </c>
      <c r="W75" t="inlineStr">
        <is>
          <t>.</t>
        </is>
      </c>
      <c r="X75" t="inlineStr">
        <is>
          <t>PD</t>
        </is>
      </c>
      <c r="Y75" t="inlineStr">
        <is>
          <t>off</t>
        </is>
      </c>
      <c r="Z75" t="inlineStr">
        <is>
          <t>.</t>
        </is>
      </c>
      <c r="AA75" t="inlineStr">
        <is>
          <t>.</t>
        </is>
      </c>
      <c r="AB75" t="inlineStr">
        <is>
          <t>.</t>
        </is>
      </c>
      <c r="AC75" t="inlineStr">
        <is>
          <t>0/1</t>
        </is>
      </c>
      <c r="AD75" t="inlineStr">
        <is>
          <t>1</t>
        </is>
      </c>
      <c r="AE75" t="inlineStr">
        <is>
          <t>0.178651547006617</t>
        </is>
      </c>
      <c r="AF75" t="inlineStr">
        <is>
          <t>chromosome 1 open reading frame 54</t>
        </is>
      </c>
      <c r="AG75" t="inlineStr">
        <is>
          <t>.</t>
        </is>
      </c>
      <c r="AH75" t="inlineStr">
        <is>
          <t>.</t>
        </is>
      </c>
      <c r="AI75" t="inlineStr">
        <is>
          <t>.</t>
        </is>
      </c>
      <c r="AJ75" t="inlineStr">
        <is>
          <t>.</t>
        </is>
      </c>
      <c r="AK75" t="inlineStr">
        <is>
          <t>.</t>
        </is>
      </c>
      <c r="AL75" t="inlineStr">
        <is>
          <t>.</t>
        </is>
      </c>
    </row>
    <row r="76">
      <c r="A76" t="inlineStr"/>
      <c r="B76">
        <f>HYPERLINK("https://genome.ucsc.edu/cgi-bin/hgTracks?db=hg19&amp;position=chr1%3A152883901%2D152883901", "chr1:152883901")</f>
        <v/>
      </c>
      <c r="C76" t="inlineStr">
        <is>
          <t>chr1</t>
        </is>
      </c>
      <c r="D76" t="n">
        <v>152883901</v>
      </c>
      <c r="E76" t="n">
        <v>152883901</v>
      </c>
      <c r="F76" t="inlineStr">
        <is>
          <t>C</t>
        </is>
      </c>
      <c r="G76" t="inlineStr">
        <is>
          <t>G</t>
        </is>
      </c>
      <c r="H76" t="inlineStr">
        <is>
          <t>996.64</t>
        </is>
      </c>
      <c r="I76" t="inlineStr">
        <is>
          <t>156</t>
        </is>
      </c>
      <c r="J76" t="inlineStr">
        <is>
          <t>108,47</t>
        </is>
      </c>
      <c r="K76" t="inlineStr">
        <is>
          <t>.</t>
        </is>
      </c>
      <c r="L76">
        <f>HYPERLINK("https://www.ncbi.nlm.nih.gov/snp/rs368043300", "rs368043300")</f>
        <v/>
      </c>
      <c r="M76">
        <f>HYPERLINK("https://www.genecards.org/Search/Keyword?queryString=%5Baliases%5D(%20IVL%20)&amp;keywords=IVL", "IVL")</f>
        <v/>
      </c>
      <c r="N76" t="inlineStr">
        <is>
          <t>exonic</t>
        </is>
      </c>
      <c r="O76" t="inlineStr">
        <is>
          <t>nonsynonymous SNV</t>
        </is>
      </c>
      <c r="P76" t="inlineStr">
        <is>
          <t>IVL:NM_005547:exon2:c.C1628G:p.P543R;IVL:uc021ozl.1:exon1:c.C1628G:p.P543R,IVL:uc001fau.3:exon2:c.C1628G:p.P543R;IVL:ENST00000368764.4_3:exon2:c.C1628G:p.P543R</t>
        </is>
      </c>
      <c r="Q76" t="n">
        <v>0.0002</v>
      </c>
      <c r="R76" t="n">
        <v>-1</v>
      </c>
      <c r="S76" t="n">
        <v>-1</v>
      </c>
      <c r="T76" t="n">
        <v>-1</v>
      </c>
      <c r="U76" t="n">
        <v>-1</v>
      </c>
      <c r="V76" t="inlineStr">
        <is>
          <t>3/10</t>
        </is>
      </c>
      <c r="W76" t="inlineStr">
        <is>
          <t>.</t>
        </is>
      </c>
      <c r="X76" t="inlineStr">
        <is>
          <t>.</t>
        </is>
      </c>
      <c r="Y76" t="inlineStr">
        <is>
          <t>.</t>
        </is>
      </c>
      <c r="Z76" t="inlineStr">
        <is>
          <t>0/7</t>
        </is>
      </c>
      <c r="AA76" t="inlineStr">
        <is>
          <t>Uncertain significance</t>
        </is>
      </c>
      <c r="AB76" t="inlineStr">
        <is>
          <t>.</t>
        </is>
      </c>
      <c r="AC76" t="inlineStr">
        <is>
          <t>0/1</t>
        </is>
      </c>
      <c r="AD76" t="inlineStr">
        <is>
          <t>1</t>
        </is>
      </c>
      <c r="AE76" t="inlineStr">
        <is>
          <t>3.43124628664551e-09</t>
        </is>
      </c>
      <c r="AF76" t="inlineStr">
        <is>
          <t>involucrin</t>
        </is>
      </c>
      <c r="AG76" t="inlineStr">
        <is>
          <t xml:space="preserve">FUNCTION: Part of the insoluble cornified cell envelope (CE) of stratified squamous epithelia.; </t>
        </is>
      </c>
      <c r="AH76" t="inlineStr">
        <is>
          <t>.</t>
        </is>
      </c>
      <c r="AI76" t="inlineStr">
        <is>
          <t>.</t>
        </is>
      </c>
      <c r="AJ76" t="inlineStr">
        <is>
          <t>.</t>
        </is>
      </c>
      <c r="AK76" t="inlineStr">
        <is>
          <t>.</t>
        </is>
      </c>
      <c r="AL76" t="inlineStr">
        <is>
          <t>NGS_LowStringency</t>
        </is>
      </c>
    </row>
    <row r="77">
      <c r="A77" t="inlineStr"/>
      <c r="B77">
        <f>HYPERLINK("https://genome.ucsc.edu/cgi-bin/hgTracks?db=hg19&amp;position=chr1%3A154544490%2D154544490", "chr1:154544490")</f>
        <v/>
      </c>
      <c r="C77" t="inlineStr">
        <is>
          <t>chr1</t>
        </is>
      </c>
      <c r="D77" t="n">
        <v>154544490</v>
      </c>
      <c r="E77" t="n">
        <v>154544490</v>
      </c>
      <c r="F77" t="inlineStr">
        <is>
          <t>G</t>
        </is>
      </c>
      <c r="G77" t="inlineStr">
        <is>
          <t>C</t>
        </is>
      </c>
      <c r="H77" t="inlineStr">
        <is>
          <t>1805.06</t>
        </is>
      </c>
      <c r="I77" t="inlineStr">
        <is>
          <t>66</t>
        </is>
      </c>
      <c r="J77" t="inlineStr">
        <is>
          <t>0,66</t>
        </is>
      </c>
      <c r="K77" t="inlineStr">
        <is>
          <t>.</t>
        </is>
      </c>
      <c r="L77">
        <f>HYPERLINK("https://www.ncbi.nlm.nih.gov/snp/rs55685423", "rs55685423")</f>
        <v/>
      </c>
      <c r="M77">
        <f>HYPERLINK("https://www.genecards.org/Search/Keyword?queryString=%5Baliases%5D(%20CHRNB2%20)&amp;keywords=CHRNB2", "CHRNB2")</f>
        <v/>
      </c>
      <c r="N77" t="inlineStr">
        <is>
          <t>exonic</t>
        </is>
      </c>
      <c r="O77" t="inlineStr">
        <is>
          <t>nonsynonymous SNV</t>
        </is>
      </c>
      <c r="P77" t="inlineStr">
        <is>
          <t>CHRNB2:NM_000748:exon5:c.G1191C:p.Q397H;CHRNB2:uc001ffg.3:exon5:c.G1191C:p.Q397H;CHRNB2:ENST00000368476.4_6:exon5:c.G1191C:p.Q397H,CHRNB2:ENST00000637900.1_3:exon5:c.G1197C:p.Q399H</t>
        </is>
      </c>
      <c r="Q77" t="n">
        <v>0.013423</v>
      </c>
      <c r="R77" t="n">
        <v>0.008200000000000001</v>
      </c>
      <c r="S77" t="n">
        <v>0.009299999999999999</v>
      </c>
      <c r="T77" t="n">
        <v>-1</v>
      </c>
      <c r="U77" t="n">
        <v>0.0122</v>
      </c>
      <c r="V77" t="inlineStr">
        <is>
          <t>3/10</t>
        </is>
      </c>
      <c r="W77" t="inlineStr">
        <is>
          <t>.</t>
        </is>
      </c>
      <c r="X77" t="inlineStr">
        <is>
          <t>.</t>
        </is>
      </c>
      <c r="Y77" t="inlineStr">
        <is>
          <t>.</t>
        </is>
      </c>
      <c r="Z77" t="inlineStr">
        <is>
          <t>0/7</t>
        </is>
      </c>
      <c r="AA77" t="inlineStr">
        <is>
          <t>Benign</t>
        </is>
      </c>
      <c r="AB77" t="inlineStr">
        <is>
          <t>Conflicting_interpretations_of_pathogenicity</t>
        </is>
      </c>
      <c r="AC77" t="inlineStr">
        <is>
          <t>HOMO</t>
        </is>
      </c>
      <c r="AD77" t="inlineStr">
        <is>
          <t>1</t>
        </is>
      </c>
      <c r="AE77" t="inlineStr">
        <is>
          <t>0.720254345017317</t>
        </is>
      </c>
      <c r="AF77" t="inlineStr">
        <is>
          <t>cholinergic receptor nicotinic beta 2 subunit</t>
        </is>
      </c>
      <c r="AG77" t="inlineStr">
        <is>
          <t xml:space="preserve">FUNCTION: After binding acetylcholine, the AChR responds by an extensive change in conformation that affects all subunits and leads to opening of an ion-conducting channel across the plasma membrane permeable to sodiun ions. {ECO:0000269|PubMed:22361591}.; </t>
        </is>
      </c>
      <c r="AH77" t="inlineStr">
        <is>
          <t xml:space="preserve">DISEASE: Epilepsy, nocturnal frontal lobe, 3 (ENFL3) [MIM:605375]: An autosomal dominant focal epilepsy characterized by nocturnal seizures with hyperkinetic automatisms and poorly organized stereotyped movements. {ECO:0000269|PubMed:11062464, ECO:0000269|PubMed:11104662}. Note=The disease is caused by mutations affecting the gene represented in this entry.; </t>
        </is>
      </c>
      <c r="AI77" t="inlineStr">
        <is>
          <t>.</t>
        </is>
      </c>
      <c r="AJ77" t="inlineStr">
        <is>
          <t>.</t>
        </is>
      </c>
      <c r="AK77" t="inlineStr">
        <is>
          <t>.</t>
        </is>
      </c>
      <c r="AL77" t="inlineStr">
        <is>
          <t>.</t>
        </is>
      </c>
    </row>
    <row r="78">
      <c r="A78" t="inlineStr"/>
      <c r="B78">
        <f>HYPERLINK("https://genome.ucsc.edu/cgi-bin/hgTracks?db=hg19&amp;position=chr1%3A155028774%2D155028774", "chr1:155028774")</f>
        <v/>
      </c>
      <c r="C78" t="inlineStr">
        <is>
          <t>chr1</t>
        </is>
      </c>
      <c r="D78" t="n">
        <v>155028774</v>
      </c>
      <c r="E78" t="n">
        <v>155028774</v>
      </c>
      <c r="F78" t="inlineStr">
        <is>
          <t>T</t>
        </is>
      </c>
      <c r="G78" t="inlineStr">
        <is>
          <t>G</t>
        </is>
      </c>
      <c r="H78" t="inlineStr">
        <is>
          <t>1140.64</t>
        </is>
      </c>
      <c r="I78" t="inlineStr">
        <is>
          <t>48</t>
        </is>
      </c>
      <c r="J78" t="inlineStr">
        <is>
          <t>9,39</t>
        </is>
      </c>
      <c r="K78" t="inlineStr">
        <is>
          <t>.</t>
        </is>
      </c>
      <c r="L78" t="inlineStr">
        <is>
          <t>.</t>
        </is>
      </c>
      <c r="M78">
        <f>HYPERLINK("https://www.genecards.org/Search/Keyword?queryString=%5Baliases%5D(%20ADAM15%20)%20OR%20%5Baliases%5D(%20DCST1-AS1%20)%20OR%20%5Baliases%5D(%20LOC100505666%20)&amp;keywords=ADAM15,DCST1-AS1,LOC100505666", "ADAM15;DCST1-AS1;LOC100505666")</f>
        <v/>
      </c>
      <c r="N78" t="inlineStr">
        <is>
          <t>intronic;ncRNA_intronic</t>
        </is>
      </c>
      <c r="O78" t="inlineStr">
        <is>
          <t>.</t>
        </is>
      </c>
      <c r="P78" t="inlineStr">
        <is>
          <t>.</t>
        </is>
      </c>
      <c r="Q78" t="n">
        <v>6.486e-05</v>
      </c>
      <c r="R78" t="n">
        <v>9.027e-05</v>
      </c>
      <c r="S78" t="n">
        <v>7.349e-05</v>
      </c>
      <c r="T78" t="n">
        <v>-1</v>
      </c>
      <c r="U78" t="n">
        <v>0.0002</v>
      </c>
      <c r="V78" t="inlineStr">
        <is>
          <t>.</t>
        </is>
      </c>
      <c r="W78" t="inlineStr">
        <is>
          <t>.</t>
        </is>
      </c>
      <c r="X78" t="inlineStr">
        <is>
          <t>D</t>
        </is>
      </c>
      <c r="Y78" t="inlineStr">
        <is>
          <t>off</t>
        </is>
      </c>
      <c r="Z78" t="inlineStr">
        <is>
          <t>.</t>
        </is>
      </c>
      <c r="AA78" t="inlineStr">
        <is>
          <t>.</t>
        </is>
      </c>
      <c r="AB78" t="inlineStr">
        <is>
          <t>.</t>
        </is>
      </c>
      <c r="AC78" t="inlineStr">
        <is>
          <t>0/1</t>
        </is>
      </c>
      <c r="AD78" t="inlineStr">
        <is>
          <t>1;1;1</t>
        </is>
      </c>
      <c r="AE78" t="inlineStr">
        <is>
          <t>1.07719204651477e-11</t>
        </is>
      </c>
      <c r="AF78" t="inlineStr">
        <is>
          <t>ADAM metallopeptidase domain 15</t>
        </is>
      </c>
      <c r="AG78" t="inlineStr">
        <is>
          <t xml:space="preserve">FUNCTION: Active metalloproteinase with gelatinolytic and collagenolytic activity. Plays a role in the wound healing process. Mediates both heterotypic intraepithelial cell/T-cell interactions and homotypic T-cell aggregation. Inhibits beta-1 integrin-mediated cell adhesion and migration of airway smooth muscle cells. Suppresses cell motility on or towards fibronectin possibly by driving alpha-v/beta-1 integrin (ITAGV-ITGB1) cell surface expression via ERK1/2 inactivation. Cleaves E-cadherin in response to growth factor deprivation. Plays a role in glomerular cell migration. Plays a role in pathological neovascularization. May play a role in cartilage remodeling. May be proteolytically processed, during sperm epididymal maturation and the acrosome reaction. May play a role in sperm-egg binding through its disintegrin domain. {ECO:0000269|PubMed:12091380, ECO:0000269|PubMed:15358598, ECO:0000269|PubMed:15818704, ECO:0000269|PubMed:17416588, ECO:0000269|PubMed:17575078, ECO:0000269|PubMed:18387333, ECO:0000269|PubMed:18434311}.; </t>
        </is>
      </c>
      <c r="AH78" t="inlineStr">
        <is>
          <t>.</t>
        </is>
      </c>
      <c r="AI78" t="inlineStr">
        <is>
          <t>.</t>
        </is>
      </c>
      <c r="AJ78" t="inlineStr">
        <is>
          <t>.</t>
        </is>
      </c>
      <c r="AK78" t="inlineStr">
        <is>
          <t>.</t>
        </is>
      </c>
      <c r="AL78" t="inlineStr">
        <is>
          <t>.</t>
        </is>
      </c>
    </row>
    <row r="79">
      <c r="A79" t="inlineStr"/>
      <c r="B79">
        <f>HYPERLINK("https://genome.ucsc.edu/cgi-bin/hgTracks?db=hg19&amp;position=chr1%3A155260401%2D155260401", "chr1:155260401")</f>
        <v/>
      </c>
      <c r="C79" t="inlineStr">
        <is>
          <t>chr1</t>
        </is>
      </c>
      <c r="D79" t="n">
        <v>155260401</v>
      </c>
      <c r="E79" t="n">
        <v>155260401</v>
      </c>
      <c r="F79" t="inlineStr">
        <is>
          <t>C</t>
        </is>
      </c>
      <c r="G79" t="inlineStr">
        <is>
          <t>T</t>
        </is>
      </c>
      <c r="H79" t="inlineStr">
        <is>
          <t>307.64</t>
        </is>
      </c>
      <c r="I79" t="inlineStr">
        <is>
          <t>66</t>
        </is>
      </c>
      <c r="J79" t="inlineStr">
        <is>
          <t>50,16</t>
        </is>
      </c>
      <c r="K79" t="inlineStr">
        <is>
          <t>.</t>
        </is>
      </c>
      <c r="L79">
        <f>HYPERLINK("https://www.ncbi.nlm.nih.gov/snp/rs997370208", "rs997370208")</f>
        <v/>
      </c>
      <c r="M79">
        <f>HYPERLINK("https://www.genecards.org/Search/Keyword?queryString=%5Baliases%5D(%20PKLR%20)&amp;keywords=PKLR", "PKLR")</f>
        <v/>
      </c>
      <c r="N79" t="inlineStr">
        <is>
          <t>exonic</t>
        </is>
      </c>
      <c r="O79" t="inlineStr">
        <is>
          <t>nonsynonymous SNV</t>
        </is>
      </c>
      <c r="P79" t="inlineStr">
        <is>
          <t>PKLR:NM_000298:exon11:c.G1687A:p.G563S,PKLR:NM_181871:exon11:c.G1594A:p.G532S;PKLR:uc001fka.4:exon11:c.G1594A:p.G532S,PKLR:uc001fkb.4:exon11:c.G1687A:p.G563S;PKLR:ENST00000342741.6_10:exon11:c.G1687A:p.G563S,PKLR:ENST00000392414.7_6:exon11:c.G1594A:p.G532S</t>
        </is>
      </c>
      <c r="Q79" t="n">
        <v>0.0001</v>
      </c>
      <c r="R79" t="n">
        <v>0.0001</v>
      </c>
      <c r="S79" t="n">
        <v>7.355e-05</v>
      </c>
      <c r="T79" t="n">
        <v>-1</v>
      </c>
      <c r="U79" t="n">
        <v>0.0004</v>
      </c>
      <c r="V79" t="inlineStr">
        <is>
          <t>11/12</t>
        </is>
      </c>
      <c r="W79" t="inlineStr">
        <is>
          <t>.</t>
        </is>
      </c>
      <c r="X79" t="inlineStr">
        <is>
          <t>.</t>
        </is>
      </c>
      <c r="Y79" t="inlineStr">
        <is>
          <t>.</t>
        </is>
      </c>
      <c r="Z79" t="inlineStr">
        <is>
          <t>3/7</t>
        </is>
      </c>
      <c r="AA79" t="inlineStr">
        <is>
          <t>Uncertain significance</t>
        </is>
      </c>
      <c r="AB79" t="inlineStr">
        <is>
          <t>.</t>
        </is>
      </c>
      <c r="AC79" t="inlineStr">
        <is>
          <t>0/1</t>
        </is>
      </c>
      <c r="AD79" t="inlineStr">
        <is>
          <t>1</t>
        </is>
      </c>
      <c r="AE79" t="inlineStr">
        <is>
          <t>1.00020289233933e-05</t>
        </is>
      </c>
      <c r="AF79" t="inlineStr">
        <is>
          <t>pyruvate kinase, liver and RBC</t>
        </is>
      </c>
      <c r="AG79" t="inlineStr">
        <is>
          <t xml:space="preserve">FUNCTION: Plays a key role in glycolysis. {ECO:0000250}.; </t>
        </is>
      </c>
      <c r="AH79" t="inlineStr">
        <is>
          <t xml:space="preserve">DISEASE: Pyruvate kinase hyperactivity (PKHYP) [MIM:102900]: Autosomal dominant phenotype characterized by increase of red blood cell ATP. {ECO:0000269|PubMed:9090535}. Note=The disease is caused by mutations affecting the gene represented in this entry.; DISEASE: Pyruvate kinase deficiency of red cells (PKRD) [MIM:266200]: A frequent cause of hereditary non-spherocytic hemolytic anemia. Clinically, pyruvate kinase-deficient patients suffer from a highly variable degree of chronic hemolysis, ranging from severe neonatal jaundice and fatal anemia at birth, severe transfusion-dependent chronic hemolysis, moderate hemolysis with exacerbation during infection, to a fully compensated hemolysis without apparent anemia. {ECO:0000269|PubMed:11328279, ECO:0000269|PubMed:1536957, ECO:0000269|PubMed:1896471, ECO:0000269|PubMed:19085939, ECO:0000269|PubMed:2018831, ECO:0000269|PubMed:21794208, ECO:0000269|PubMed:7706479, ECO:0000269|PubMed:8161798, ECO:0000269|PubMed:8180378, ECO:0000269|PubMed:8476433, ECO:0000269|PubMed:8481523, ECO:0000269|PubMed:8483951, ECO:0000269|PubMed:9482576, ECO:0000269|PubMed:9827908, ECO:0000269|PubMed:9886305, ECO:0000269|Ref.24}. Note=The disease is caused by mutations affecting the gene represented in this entry.; </t>
        </is>
      </c>
      <c r="AI79" t="inlineStr">
        <is>
          <t>.</t>
        </is>
      </c>
      <c r="AJ79" t="inlineStr">
        <is>
          <t>.</t>
        </is>
      </c>
      <c r="AK79" t="inlineStr">
        <is>
          <t>.</t>
        </is>
      </c>
      <c r="AL79" t="inlineStr">
        <is>
          <t>.</t>
        </is>
      </c>
    </row>
    <row r="80">
      <c r="A80" t="inlineStr"/>
      <c r="B80">
        <f>HYPERLINK("https://genome.ucsc.edu/cgi-bin/hgTracks?db=hg19&amp;position=chr1%3A155715628%2D155715628", "chr1:155715628")</f>
        <v/>
      </c>
      <c r="C80" t="inlineStr">
        <is>
          <t>chr1</t>
        </is>
      </c>
      <c r="D80" t="n">
        <v>155715628</v>
      </c>
      <c r="E80" t="n">
        <v>155715628</v>
      </c>
      <c r="F80" t="inlineStr">
        <is>
          <t>-</t>
        </is>
      </c>
      <c r="G80" t="inlineStr">
        <is>
          <t>G</t>
        </is>
      </c>
      <c r="H80" t="inlineStr">
        <is>
          <t>39.60</t>
        </is>
      </c>
      <c r="I80" t="inlineStr">
        <is>
          <t>6</t>
        </is>
      </c>
      <c r="J80" t="inlineStr">
        <is>
          <t>4,2</t>
        </is>
      </c>
      <c r="K80" t="inlineStr">
        <is>
          <t>.</t>
        </is>
      </c>
      <c r="L80" t="inlineStr">
        <is>
          <t>.</t>
        </is>
      </c>
      <c r="M80">
        <f>HYPERLINK("https://www.genecards.org/Search/Keyword?queryString=%5Baliases%5D(%20MSTO2P%20)&amp;keywords=MSTO2P", "MSTO2P")</f>
        <v/>
      </c>
      <c r="N80" t="inlineStr">
        <is>
          <t>exonic;intergenic;ncRNA_exonic</t>
        </is>
      </c>
      <c r="O80" t="inlineStr">
        <is>
          <t>frameshift insertion</t>
        </is>
      </c>
      <c r="P80" t="inlineStr">
        <is>
          <t>MSTO2P:uc010pgn.2:exon1:c.10dupG:p.A5Gfs*71,MSTO2P:uc010pgo.2:exon1:c.10dupG:p.A5Gfs*71;dist=6827;dist=3822</t>
        </is>
      </c>
      <c r="Q80" t="n">
        <v>-1</v>
      </c>
      <c r="R80" t="n">
        <v>-1</v>
      </c>
      <c r="S80" t="n">
        <v>-1</v>
      </c>
      <c r="T80" t="n">
        <v>-1</v>
      </c>
      <c r="U80" t="n">
        <v>-1</v>
      </c>
      <c r="V80" t="inlineStr">
        <is>
          <t>.</t>
        </is>
      </c>
      <c r="W80" t="inlineStr">
        <is>
          <t>.</t>
        </is>
      </c>
      <c r="X80" t="inlineStr">
        <is>
          <t>.</t>
        </is>
      </c>
      <c r="Y80" t="inlineStr">
        <is>
          <t>.</t>
        </is>
      </c>
      <c r="Z80" t="inlineStr">
        <is>
          <t>.</t>
        </is>
      </c>
      <c r="AA80" t="inlineStr">
        <is>
          <t>.</t>
        </is>
      </c>
      <c r="AB80" t="inlineStr">
        <is>
          <t>.</t>
        </is>
      </c>
      <c r="AC80" t="inlineStr">
        <is>
          <t>0/1</t>
        </is>
      </c>
      <c r="AD80" t="inlineStr">
        <is>
          <t>1</t>
        </is>
      </c>
      <c r="AE80" t="inlineStr">
        <is>
          <t>.</t>
        </is>
      </c>
      <c r="AF80" t="inlineStr">
        <is>
          <t>misato family member 2, pseudogene</t>
        </is>
      </c>
      <c r="AG80" t="inlineStr">
        <is>
          <t>.</t>
        </is>
      </c>
      <c r="AH80" t="inlineStr">
        <is>
          <t>.</t>
        </is>
      </c>
      <c r="AI80" t="inlineStr">
        <is>
          <t>.</t>
        </is>
      </c>
      <c r="AJ80" t="inlineStr">
        <is>
          <t>.</t>
        </is>
      </c>
      <c r="AK80" t="inlineStr">
        <is>
          <t>.</t>
        </is>
      </c>
      <c r="AL80" t="inlineStr">
        <is>
          <t>.</t>
        </is>
      </c>
    </row>
    <row r="81">
      <c r="A81" t="inlineStr"/>
      <c r="B81">
        <f>HYPERLINK("https://genome.ucsc.edu/cgi-bin/hgTracks?db=hg19&amp;position=chr1%3A156352043%2D156352043", "chr1:156352043")</f>
        <v/>
      </c>
      <c r="C81" t="inlineStr">
        <is>
          <t>chr1</t>
        </is>
      </c>
      <c r="D81" t="n">
        <v>156352043</v>
      </c>
      <c r="E81" t="n">
        <v>156352043</v>
      </c>
      <c r="F81" t="inlineStr">
        <is>
          <t>-</t>
        </is>
      </c>
      <c r="G81" t="inlineStr">
        <is>
          <t>CTGTC</t>
        </is>
      </c>
      <c r="H81" t="inlineStr">
        <is>
          <t>37.60</t>
        </is>
      </c>
      <c r="I81" t="inlineStr">
        <is>
          <t>15</t>
        </is>
      </c>
      <c r="J81" t="inlineStr">
        <is>
          <t>13,2</t>
        </is>
      </c>
      <c r="K81" t="inlineStr">
        <is>
          <t>.</t>
        </is>
      </c>
      <c r="L81" t="inlineStr">
        <is>
          <t>.</t>
        </is>
      </c>
      <c r="M81">
        <f>HYPERLINK("https://www.genecards.org/Search/Keyword?queryString=%5Baliases%5D(%20RHBG%20)&amp;keywords=RHBG", "RHBG")</f>
        <v/>
      </c>
      <c r="N81" t="inlineStr">
        <is>
          <t>exonic;intronic</t>
        </is>
      </c>
      <c r="O81" t="inlineStr">
        <is>
          <t>frameshift insertion</t>
        </is>
      </c>
      <c r="P81" t="inlineStr">
        <is>
          <t>RHBG:uc010phm.2:exon4:c.661_662insCTGTC:p.I223Lfs*30</t>
        </is>
      </c>
      <c r="Q81" t="n">
        <v>-1</v>
      </c>
      <c r="R81" t="n">
        <v>-1</v>
      </c>
      <c r="S81" t="n">
        <v>-1</v>
      </c>
      <c r="T81" t="n">
        <v>-1</v>
      </c>
      <c r="U81" t="n">
        <v>-1</v>
      </c>
      <c r="V81" t="inlineStr">
        <is>
          <t>.</t>
        </is>
      </c>
      <c r="W81" t="inlineStr">
        <is>
          <t>.</t>
        </is>
      </c>
      <c r="X81" t="inlineStr">
        <is>
          <t>.</t>
        </is>
      </c>
      <c r="Y81" t="inlineStr">
        <is>
          <t>.</t>
        </is>
      </c>
      <c r="Z81" t="inlineStr">
        <is>
          <t>.</t>
        </is>
      </c>
      <c r="AA81" t="inlineStr">
        <is>
          <t>.</t>
        </is>
      </c>
      <c r="AB81" t="inlineStr">
        <is>
          <t>.</t>
        </is>
      </c>
      <c r="AC81" t="inlineStr">
        <is>
          <t>0/1</t>
        </is>
      </c>
      <c r="AD81" t="inlineStr">
        <is>
          <t>1</t>
        </is>
      </c>
      <c r="AE81" t="inlineStr">
        <is>
          <t>3.72564357556274e-10</t>
        </is>
      </c>
      <c r="AF81" t="inlineStr">
        <is>
          <t>Rh family B glycoprotein (gene/pseudogene)</t>
        </is>
      </c>
      <c r="AG81" t="inlineStr">
        <is>
          <t xml:space="preserve">FUNCTION: Functions as a specific ammonium transporter. {ECO:0000269|PubMed:15284342, ECO:0000269|PubMed:15929723}.; </t>
        </is>
      </c>
      <c r="AH81" t="inlineStr">
        <is>
          <t>.</t>
        </is>
      </c>
      <c r="AI81" t="inlineStr">
        <is>
          <t>.</t>
        </is>
      </c>
      <c r="AJ81" t="inlineStr">
        <is>
          <t>.</t>
        </is>
      </c>
      <c r="AK81" t="inlineStr">
        <is>
          <t>.</t>
        </is>
      </c>
      <c r="AL81" t="inlineStr">
        <is>
          <t>.</t>
        </is>
      </c>
    </row>
    <row r="82">
      <c r="A82" t="inlineStr"/>
      <c r="B82">
        <f>HYPERLINK("https://genome.ucsc.edu/cgi-bin/hgTracks?db=hg19&amp;position=chr1%3A159505704%2D159505704", "chr1:159505704")</f>
        <v/>
      </c>
      <c r="C82" t="inlineStr">
        <is>
          <t>chr1</t>
        </is>
      </c>
      <c r="D82" t="n">
        <v>159505704</v>
      </c>
      <c r="E82" t="n">
        <v>159505704</v>
      </c>
      <c r="F82" t="inlineStr">
        <is>
          <t>G</t>
        </is>
      </c>
      <c r="G82" t="inlineStr">
        <is>
          <t>C</t>
        </is>
      </c>
      <c r="H82" t="inlineStr">
        <is>
          <t>444.64</t>
        </is>
      </c>
      <c r="I82" t="inlineStr">
        <is>
          <t>96</t>
        </is>
      </c>
      <c r="J82" t="inlineStr">
        <is>
          <t>66,30</t>
        </is>
      </c>
      <c r="K82" t="inlineStr">
        <is>
          <t>.</t>
        </is>
      </c>
      <c r="L82" t="inlineStr">
        <is>
          <t>.</t>
        </is>
      </c>
      <c r="M82">
        <f>HYPERLINK("https://www.genecards.org/Search/Keyword?queryString=%5Baliases%5D(%20OR10J5%20)&amp;keywords=OR10J5", "OR10J5")</f>
        <v/>
      </c>
      <c r="N82" t="inlineStr">
        <is>
          <t>exonic</t>
        </is>
      </c>
      <c r="O82" t="inlineStr">
        <is>
          <t>nonsynonymous SNV</t>
        </is>
      </c>
      <c r="P82" t="inlineStr">
        <is>
          <t>OR10J5:NM_001004469:exon1:c.C94G:p.L32V;OR10J5:uc010piw.2:exon1:c.C94G:p.L32V;OR10J5:ENST00000334857.3_4:exon1:c.C94G:p.L32V</t>
        </is>
      </c>
      <c r="Q82" t="n">
        <v>-1</v>
      </c>
      <c r="R82" t="n">
        <v>-1</v>
      </c>
      <c r="S82" t="n">
        <v>-1</v>
      </c>
      <c r="T82" t="n">
        <v>-1</v>
      </c>
      <c r="U82" t="n">
        <v>-1</v>
      </c>
      <c r="V82" t="inlineStr">
        <is>
          <t>3/11</t>
        </is>
      </c>
      <c r="W82" t="inlineStr">
        <is>
          <t>.</t>
        </is>
      </c>
      <c r="X82" t="inlineStr">
        <is>
          <t>.</t>
        </is>
      </c>
      <c r="Y82" t="inlineStr">
        <is>
          <t>.</t>
        </is>
      </c>
      <c r="Z82" t="inlineStr">
        <is>
          <t>1/7</t>
        </is>
      </c>
      <c r="AA82" t="inlineStr">
        <is>
          <t>Uncertain significance</t>
        </is>
      </c>
      <c r="AB82" t="inlineStr">
        <is>
          <t>.</t>
        </is>
      </c>
      <c r="AC82" t="inlineStr">
        <is>
          <t>0/1</t>
        </is>
      </c>
      <c r="AD82" t="inlineStr">
        <is>
          <t>1</t>
        </is>
      </c>
      <c r="AE82" t="inlineStr">
        <is>
          <t>0.723391071464347</t>
        </is>
      </c>
      <c r="AF82" t="inlineStr">
        <is>
          <t>olfactory receptor family 10 subfamily J member 5</t>
        </is>
      </c>
      <c r="AG82" t="inlineStr">
        <is>
          <t xml:space="preserve">FUNCTION: Odorant receptor. {ECO:0000305}.; </t>
        </is>
      </c>
      <c r="AH82" t="inlineStr">
        <is>
          <t>.</t>
        </is>
      </c>
      <c r="AI82" t="inlineStr">
        <is>
          <t>.</t>
        </is>
      </c>
      <c r="AJ82" t="inlineStr">
        <is>
          <t>.</t>
        </is>
      </c>
      <c r="AK82" t="inlineStr">
        <is>
          <t>.</t>
        </is>
      </c>
      <c r="AL82" t="inlineStr">
        <is>
          <t>.</t>
        </is>
      </c>
    </row>
    <row r="83">
      <c r="A83" t="inlineStr"/>
      <c r="B83">
        <f>HYPERLINK("https://genome.ucsc.edu/cgi-bin/hgTracks?db=hg19&amp;position=chr1%3A160340860%2D160340860", "chr1:160340860")</f>
        <v/>
      </c>
      <c r="C83" t="inlineStr">
        <is>
          <t>chr1</t>
        </is>
      </c>
      <c r="D83" t="n">
        <v>160340860</v>
      </c>
      <c r="E83" t="n">
        <v>160340860</v>
      </c>
      <c r="F83" t="inlineStr">
        <is>
          <t>G</t>
        </is>
      </c>
      <c r="G83" t="inlineStr">
        <is>
          <t>T</t>
        </is>
      </c>
      <c r="H83" t="inlineStr">
        <is>
          <t>445.64</t>
        </is>
      </c>
      <c r="I83" t="inlineStr">
        <is>
          <t>92</t>
        </is>
      </c>
      <c r="J83" t="inlineStr">
        <is>
          <t>68,24</t>
        </is>
      </c>
      <c r="K83" t="inlineStr">
        <is>
          <t>.</t>
        </is>
      </c>
      <c r="L83" t="inlineStr">
        <is>
          <t>.</t>
        </is>
      </c>
      <c r="M83">
        <f>HYPERLINK("https://www.genecards.org/Search/Keyword?queryString=%5Baliases%5D(%20NHLH1%20)&amp;keywords=NHLH1", "NHLH1")</f>
        <v/>
      </c>
      <c r="N83" t="inlineStr">
        <is>
          <t>exonic</t>
        </is>
      </c>
      <c r="O83" t="inlineStr">
        <is>
          <t>nonsynonymous SNV</t>
        </is>
      </c>
      <c r="P83" t="inlineStr">
        <is>
          <t>NHLH1:NM_005598:exon2:c.G339T:p.K113N;NHLH1:uc021pbs.1:exon1:c.G339T:p.K113N,NHLH1:uc001fwa.2:exon2:c.G339T:p.K113N;NHLH1:ENST00000302101.6_3:exon2:c.G339T:p.K113N</t>
        </is>
      </c>
      <c r="Q83" t="n">
        <v>-1</v>
      </c>
      <c r="R83" t="n">
        <v>-1</v>
      </c>
      <c r="S83" t="n">
        <v>-1</v>
      </c>
      <c r="T83" t="n">
        <v>-1</v>
      </c>
      <c r="U83" t="n">
        <v>-1</v>
      </c>
      <c r="V83" t="inlineStr">
        <is>
          <t>10/12</t>
        </is>
      </c>
      <c r="W83" t="inlineStr">
        <is>
          <t>.</t>
        </is>
      </c>
      <c r="X83" t="inlineStr">
        <is>
          <t>.</t>
        </is>
      </c>
      <c r="Y83" t="inlineStr">
        <is>
          <t>.</t>
        </is>
      </c>
      <c r="Z83" t="inlineStr">
        <is>
          <t>5/7</t>
        </is>
      </c>
      <c r="AA83" t="inlineStr">
        <is>
          <t>Uncertain significance</t>
        </is>
      </c>
      <c r="AB83" t="inlineStr">
        <is>
          <t>.</t>
        </is>
      </c>
      <c r="AC83" t="inlineStr">
        <is>
          <t>0/1</t>
        </is>
      </c>
      <c r="AD83" t="inlineStr">
        <is>
          <t>1</t>
        </is>
      </c>
      <c r="AE83" t="inlineStr">
        <is>
          <t>0.640239274537506</t>
        </is>
      </c>
      <c r="AF83" t="inlineStr">
        <is>
          <t>nescient helix-loop-helix 1</t>
        </is>
      </c>
      <c r="AG83" t="inlineStr">
        <is>
          <t xml:space="preserve">FUNCTION: May serve as DNA-binding protein and may be involved in the control of cell-type determination, possibly within the developing nervous system.; </t>
        </is>
      </c>
      <c r="AH83" t="inlineStr">
        <is>
          <t>.</t>
        </is>
      </c>
      <c r="AI83" t="inlineStr">
        <is>
          <t>.</t>
        </is>
      </c>
      <c r="AJ83" t="inlineStr">
        <is>
          <t>.</t>
        </is>
      </c>
      <c r="AK83" t="inlineStr">
        <is>
          <t>.</t>
        </is>
      </c>
      <c r="AL83" t="inlineStr">
        <is>
          <t>.</t>
        </is>
      </c>
    </row>
    <row r="84">
      <c r="A84" t="inlineStr"/>
      <c r="B84">
        <f>HYPERLINK("https://genome.ucsc.edu/cgi-bin/hgTracks?db=hg19&amp;position=chr1%3A161483723%2D161483723", "chr1:161483723")</f>
        <v/>
      </c>
      <c r="C84" t="inlineStr">
        <is>
          <t>chr1</t>
        </is>
      </c>
      <c r="D84" t="n">
        <v>161483723</v>
      </c>
      <c r="E84" t="n">
        <v>161483723</v>
      </c>
      <c r="F84" t="inlineStr">
        <is>
          <t>G</t>
        </is>
      </c>
      <c r="G84" t="inlineStr">
        <is>
          <t>A</t>
        </is>
      </c>
      <c r="H84" t="inlineStr">
        <is>
          <t>69.64</t>
        </is>
      </c>
      <c r="I84" t="inlineStr">
        <is>
          <t>137</t>
        </is>
      </c>
      <c r="J84" t="inlineStr">
        <is>
          <t>117,20</t>
        </is>
      </c>
      <c r="K84" t="inlineStr">
        <is>
          <t>.</t>
        </is>
      </c>
      <c r="L84">
        <f>HYPERLINK("https://www.ncbi.nlm.nih.gov/snp/rs409763", "rs409763")</f>
        <v/>
      </c>
      <c r="M84">
        <f>HYPERLINK("https://www.genecards.org/Search/Keyword?queryString=%5Baliases%5D(%20FCGR2A%20)&amp;keywords=FCGR2A", "FCGR2A")</f>
        <v/>
      </c>
      <c r="N84" t="inlineStr">
        <is>
          <t>splicing</t>
        </is>
      </c>
      <c r="O84" t="inlineStr">
        <is>
          <t>.</t>
        </is>
      </c>
      <c r="P84" t="inlineStr">
        <is>
          <t>NM_001375297:exon5:c.654+1G&gt;A;NM_021642:exon6:c.777+1G&gt;A;NM_001136219:exon6:c.780+1G&gt;A;NM_001375296:exon5:c.657+1G&gt;A;uc001gan.3:exon6:c.780+1G&gt;A;uc001gam.3:exon6:c.777+1G&gt;A;uc021pcz.2:exon6:c.363+1G&gt;A;uc021pda.2:exon6:c.363+1G&gt;A;ENST00000367972.8_4:exon6:c.777+1G&gt;A;ENST00000699277.1_1:exon5:c.657+1G&gt;A;ENST00000699278.1_1:exon5:c.522+1G&gt;A;ENST00000271450.12_5:exon6:c.780+1G&gt;A;ENST00000699279.1_1:exon5:c.363+1G&gt;A</t>
        </is>
      </c>
      <c r="Q84" t="n">
        <v>0.0141</v>
      </c>
      <c r="R84" t="n">
        <v>0.008500000000000001</v>
      </c>
      <c r="S84" t="n">
        <v>0.0074</v>
      </c>
      <c r="T84" t="n">
        <v>-1</v>
      </c>
      <c r="U84" t="n">
        <v>0.007</v>
      </c>
      <c r="V84" t="inlineStr">
        <is>
          <t>1/2</t>
        </is>
      </c>
      <c r="W84" t="inlineStr">
        <is>
          <t>D</t>
        </is>
      </c>
      <c r="X84" t="inlineStr">
        <is>
          <t>D</t>
        </is>
      </c>
      <c r="Y84" t="inlineStr">
        <is>
          <t>on</t>
        </is>
      </c>
      <c r="Z84" t="inlineStr">
        <is>
          <t>0/7</t>
        </is>
      </c>
      <c r="AA84" t="inlineStr">
        <is>
          <t>.</t>
        </is>
      </c>
      <c r="AB84" t="inlineStr">
        <is>
          <t>.</t>
        </is>
      </c>
      <c r="AC84" t="inlineStr">
        <is>
          <t>0/1</t>
        </is>
      </c>
      <c r="AD84" t="inlineStr">
        <is>
          <t>1</t>
        </is>
      </c>
      <c r="AE84" t="inlineStr">
        <is>
          <t>0.000150862363564485</t>
        </is>
      </c>
      <c r="AF84" t="inlineStr">
        <is>
          <t>Fc fragment of IgG receptor IIa</t>
        </is>
      </c>
      <c r="AG84" t="inlineStr">
        <is>
          <t xml:space="preserve">FUNCTION: Binds to the Fc region of immunoglobulins gamma. Low affinity receptor. By binding to IgG it initiates cellular responses against pathogens and soluble antigens. Promotes phagocytosis of opsonized antigens. {ECO:0000269|PubMed:19011614}.; </t>
        </is>
      </c>
      <c r="AH84" t="inlineStr">
        <is>
          <t>.</t>
        </is>
      </c>
      <c r="AI84" t="inlineStr">
        <is>
          <t>.</t>
        </is>
      </c>
      <c r="AJ84" t="inlineStr">
        <is>
          <t>.</t>
        </is>
      </c>
      <c r="AK84" t="inlineStr">
        <is>
          <t>.</t>
        </is>
      </c>
      <c r="AL84" t="inlineStr">
        <is>
          <t>NGS_HighStringency</t>
        </is>
      </c>
    </row>
    <row r="85">
      <c r="A85" t="inlineStr"/>
      <c r="B85">
        <f>HYPERLINK("https://genome.ucsc.edu/cgi-bin/hgTracks?db=hg19&amp;position=chr1%3A161514902%2D161514902", "chr1:161514902")</f>
        <v/>
      </c>
      <c r="C85" t="inlineStr">
        <is>
          <t>chr1</t>
        </is>
      </c>
      <c r="D85" t="n">
        <v>161514902</v>
      </c>
      <c r="E85" t="n">
        <v>161514902</v>
      </c>
      <c r="F85" t="inlineStr">
        <is>
          <t>C</t>
        </is>
      </c>
      <c r="G85" t="inlineStr">
        <is>
          <t>A</t>
        </is>
      </c>
      <c r="H85" t="inlineStr">
        <is>
          <t>217.64</t>
        </is>
      </c>
      <c r="I85" t="inlineStr">
        <is>
          <t>10</t>
        </is>
      </c>
      <c r="J85" t="inlineStr">
        <is>
          <t>3,7</t>
        </is>
      </c>
      <c r="K85" t="inlineStr">
        <is>
          <t>.</t>
        </is>
      </c>
      <c r="L85">
        <f>HYPERLINK("https://www.ncbi.nlm.nih.gov/snp/rs549482975", "rs549482975")</f>
        <v/>
      </c>
      <c r="M85">
        <f>HYPERLINK("https://www.genecards.org/Search/Keyword?queryString=%5Baliases%5D(%20FCGR3A%20)&amp;keywords=FCGR3A", "FCGR3A")</f>
        <v/>
      </c>
      <c r="N85" t="inlineStr">
        <is>
          <t>intronic;ncRNA_intronic</t>
        </is>
      </c>
      <c r="O85" t="inlineStr">
        <is>
          <t>.</t>
        </is>
      </c>
      <c r="P85" t="inlineStr">
        <is>
          <t>.</t>
        </is>
      </c>
      <c r="Q85" t="n">
        <v>0.0297</v>
      </c>
      <c r="R85" t="n">
        <v>0.0028</v>
      </c>
      <c r="S85" t="n">
        <v>0.0035</v>
      </c>
      <c r="T85" t="n">
        <v>-1</v>
      </c>
      <c r="U85" t="n">
        <v>0.0016</v>
      </c>
      <c r="V85" t="inlineStr">
        <is>
          <t>.</t>
        </is>
      </c>
      <c r="W85" t="inlineStr">
        <is>
          <t>.</t>
        </is>
      </c>
      <c r="X85" t="inlineStr">
        <is>
          <t>B</t>
        </is>
      </c>
      <c r="Y85" t="inlineStr">
        <is>
          <t>off</t>
        </is>
      </c>
      <c r="Z85" t="inlineStr">
        <is>
          <t>.</t>
        </is>
      </c>
      <c r="AA85" t="inlineStr">
        <is>
          <t>.</t>
        </is>
      </c>
      <c r="AB85" t="inlineStr">
        <is>
          <t>.</t>
        </is>
      </c>
      <c r="AC85" t="inlineStr">
        <is>
          <t>0/1</t>
        </is>
      </c>
      <c r="AD85" t="inlineStr">
        <is>
          <t>1</t>
        </is>
      </c>
      <c r="AE85" t="inlineStr">
        <is>
          <t>1.22273626907589e-05</t>
        </is>
      </c>
      <c r="AF85" t="inlineStr">
        <is>
          <t>Fc fragment of IgG receptor IIIa</t>
        </is>
      </c>
      <c r="AG85" t="inlineStr">
        <is>
          <t xml:space="preserve">FUNCTION: Receptor for the Fc region of IgG. Binds complexed or aggregated IgG and also monomeric IgG. Mediates antibody-dependent cellular cytotoxicity (ADCC) and other antibody-dependent responses, such as phagocytosis. {ECO:0000269|PubMed:21768335, ECO:0000269|PubMed:22023369}.; </t>
        </is>
      </c>
      <c r="AH85" t="inlineStr">
        <is>
          <t xml:space="preserve">DISEASE: Immunodeficiency 20 (IMD20) [MIM:615707]: A rare autosomal recessive primary immunodeficiency characterized by functional deficiency of NK cells. Affected individuals typically present with severe herpes viral infections, particularly Epstein Barr virus (EBV), and human papillomavirus (HPV). {ECO:0000269|PubMed:23006327, ECO:0000269|PubMed:8608639, ECO:0000269|PubMed:8609432, ECO:0000269|PubMed:8874200}. Note=The disease is caused by mutations affecting the gene represented in this entry.; </t>
        </is>
      </c>
      <c r="AI85" t="inlineStr">
        <is>
          <t>.</t>
        </is>
      </c>
      <c r="AJ85" t="inlineStr">
        <is>
          <t>.</t>
        </is>
      </c>
      <c r="AK85" t="inlineStr">
        <is>
          <t>.</t>
        </is>
      </c>
      <c r="AL85" t="inlineStr">
        <is>
          <t>.</t>
        </is>
      </c>
    </row>
    <row r="86">
      <c r="A86" t="inlineStr"/>
      <c r="B86">
        <f>HYPERLINK("https://genome.ucsc.edu/cgi-bin/hgTracks?db=hg19&amp;position=chr1%3A161642661%2D161642661", "chr1:161642661")</f>
        <v/>
      </c>
      <c r="C86" t="inlineStr">
        <is>
          <t>chr1</t>
        </is>
      </c>
      <c r="D86" t="n">
        <v>161642661</v>
      </c>
      <c r="E86" t="n">
        <v>161642661</v>
      </c>
      <c r="F86" t="inlineStr">
        <is>
          <t>T</t>
        </is>
      </c>
      <c r="G86" t="inlineStr">
        <is>
          <t>G</t>
        </is>
      </c>
      <c r="H86" t="inlineStr">
        <is>
          <t>357.64</t>
        </is>
      </c>
      <c r="I86" t="inlineStr">
        <is>
          <t>25</t>
        </is>
      </c>
      <c r="J86" t="inlineStr">
        <is>
          <t>7,18</t>
        </is>
      </c>
      <c r="K86" t="inlineStr">
        <is>
          <t>.</t>
        </is>
      </c>
      <c r="L86">
        <f>HYPERLINK("https://www.ncbi.nlm.nih.gov/snp/rs190837656", "rs190837656")</f>
        <v/>
      </c>
      <c r="M86">
        <f>HYPERLINK("https://www.genecards.org/Search/Keyword?queryString=%5Baliases%5D(%20FCGR2B%20)&amp;keywords=FCGR2B", "FCGR2B")</f>
        <v/>
      </c>
      <c r="N86" t="inlineStr">
        <is>
          <t>intronic;ncRNA_intronic</t>
        </is>
      </c>
      <c r="O86" t="inlineStr">
        <is>
          <t>.</t>
        </is>
      </c>
      <c r="P86" t="inlineStr">
        <is>
          <t>.</t>
        </is>
      </c>
      <c r="Q86" t="n">
        <v>0.0256</v>
      </c>
      <c r="R86" t="n">
        <v>0.0034</v>
      </c>
      <c r="S86" t="n">
        <v>0.0043</v>
      </c>
      <c r="T86" t="n">
        <v>-1</v>
      </c>
      <c r="U86" t="n">
        <v>0.0018</v>
      </c>
      <c r="V86" t="inlineStr">
        <is>
          <t>.</t>
        </is>
      </c>
      <c r="W86" t="inlineStr">
        <is>
          <t>.</t>
        </is>
      </c>
      <c r="X86" t="inlineStr">
        <is>
          <t>B</t>
        </is>
      </c>
      <c r="Y86" t="inlineStr">
        <is>
          <t>off</t>
        </is>
      </c>
      <c r="Z86" t="inlineStr">
        <is>
          <t>.</t>
        </is>
      </c>
      <c r="AA86" t="inlineStr">
        <is>
          <t>.</t>
        </is>
      </c>
      <c r="AB86" t="inlineStr">
        <is>
          <t>.</t>
        </is>
      </c>
      <c r="AC86" t="inlineStr">
        <is>
          <t>0/1</t>
        </is>
      </c>
      <c r="AD86" t="inlineStr">
        <is>
          <t>1</t>
        </is>
      </c>
      <c r="AE86" t="inlineStr">
        <is>
          <t>0.0474026079439954</t>
        </is>
      </c>
      <c r="AF86" t="inlineStr">
        <is>
          <t>Fc fragment of IgG receptor IIb</t>
        </is>
      </c>
      <c r="AG86" t="inlineStr">
        <is>
          <t xml:space="preserve">FUNCTION: Receptor for the Fc region of complexed or aggregated immunoglobulins gamma. Low affinity receptor. Involved in a variety of effector and regulatory functions such as phagocytosis of immune complexes and modulation of antibody production by B- cells. Binding to this receptor results in down-modulation of previous state of cell activation triggered via antigen receptors on B-cells (BCR), T-cells (TCR) or via another Fc receptor. Isoform IIB1 fails to mediate endocytosis or phagocytosis. Isoform IIB2 does not trigger phagocytosis.; </t>
        </is>
      </c>
      <c r="AH86" t="inlineStr">
        <is>
          <t xml:space="preserve">DISEASE: Systemic lupus erythematosus (SLE) [MIM:152700]: A chronic, relapsing, inflammatory, and often febrile multisystemic disorder of connective tissue, characterized principally by involvement of the skin, joints, kidneys and serosal membranes. It is of unknown etiology, but is thought to represent a failure of the regulatory mechanisms of the autoimmune system. The disease is marked by a wide range of system dysfunctions, an elevated erythrocyte sedimentation rate, and the formation of LE cells in the blood or bone marrow. {ECO:0000269|PubMed:12115230, ECO:0000269|PubMed:20385827}. Note=Disease susceptibility is associated with variations affecting the gene represented in this entry.; </t>
        </is>
      </c>
      <c r="AI86" t="inlineStr">
        <is>
          <t>.</t>
        </is>
      </c>
      <c r="AJ86" t="inlineStr">
        <is>
          <t>.</t>
        </is>
      </c>
      <c r="AK86" t="inlineStr">
        <is>
          <t>.</t>
        </is>
      </c>
      <c r="AL86" t="inlineStr">
        <is>
          <t>.</t>
        </is>
      </c>
    </row>
    <row r="87">
      <c r="A87" t="inlineStr"/>
      <c r="B87">
        <f>HYPERLINK("https://genome.ucsc.edu/cgi-bin/hgTracks?db=hg19&amp;position=chr1%3A166926999%2D166926999", "chr1:166926999")</f>
        <v/>
      </c>
      <c r="C87" t="inlineStr">
        <is>
          <t>chr1</t>
        </is>
      </c>
      <c r="D87" t="n">
        <v>166926999</v>
      </c>
      <c r="E87" t="n">
        <v>166926999</v>
      </c>
      <c r="F87" t="inlineStr">
        <is>
          <t>T</t>
        </is>
      </c>
      <c r="G87" t="inlineStr">
        <is>
          <t>C</t>
        </is>
      </c>
      <c r="H87" t="inlineStr">
        <is>
          <t>1098.64</t>
        </is>
      </c>
      <c r="I87" t="inlineStr">
        <is>
          <t>58</t>
        </is>
      </c>
      <c r="J87" t="inlineStr">
        <is>
          <t>17,41</t>
        </is>
      </c>
      <c r="K87" t="inlineStr">
        <is>
          <t>.</t>
        </is>
      </c>
      <c r="L87">
        <f>HYPERLINK("https://www.ncbi.nlm.nih.gov/snp/rs34175991", "rs34175991")</f>
        <v/>
      </c>
      <c r="M87">
        <f>HYPERLINK("https://www.genecards.org/Search/Keyword?queryString=%5Baliases%5D(%20ILDR2%20)&amp;keywords=ILDR2", "ILDR2")</f>
        <v/>
      </c>
      <c r="N87" t="inlineStr">
        <is>
          <t>intronic</t>
        </is>
      </c>
      <c r="O87" t="inlineStr">
        <is>
          <t>.</t>
        </is>
      </c>
      <c r="P87" t="inlineStr">
        <is>
          <t>.</t>
        </is>
      </c>
      <c r="Q87" t="n">
        <v>0.0286067</v>
      </c>
      <c r="R87" t="n">
        <v>0.0223</v>
      </c>
      <c r="S87" t="n">
        <v>0.025</v>
      </c>
      <c r="T87" t="n">
        <v>-1</v>
      </c>
      <c r="U87" t="n">
        <v>0.0203</v>
      </c>
      <c r="V87" t="inlineStr">
        <is>
          <t>.</t>
        </is>
      </c>
      <c r="W87" t="inlineStr">
        <is>
          <t>T</t>
        </is>
      </c>
      <c r="X87" t="inlineStr">
        <is>
          <t>PD</t>
        </is>
      </c>
      <c r="Y87" t="inlineStr">
        <is>
          <t>on</t>
        </is>
      </c>
      <c r="Z87" t="inlineStr">
        <is>
          <t>.</t>
        </is>
      </c>
      <c r="AA87" t="inlineStr">
        <is>
          <t>.</t>
        </is>
      </c>
      <c r="AB87" t="inlineStr">
        <is>
          <t>.</t>
        </is>
      </c>
      <c r="AC87" t="inlineStr">
        <is>
          <t>0/1</t>
        </is>
      </c>
      <c r="AD87" t="inlineStr">
        <is>
          <t>1</t>
        </is>
      </c>
      <c r="AE87" t="inlineStr">
        <is>
          <t>0.398939847020927</t>
        </is>
      </c>
      <c r="AF87" t="inlineStr">
        <is>
          <t>immunoglobulin like domain containing receptor 2</t>
        </is>
      </c>
      <c r="AG87" t="inlineStr">
        <is>
          <t xml:space="preserve">FUNCTION: May be involved in lipid homeostasis and ER stress pathways. {ECO:0000250}.; </t>
        </is>
      </c>
      <c r="AH87" t="inlineStr">
        <is>
          <t>.</t>
        </is>
      </c>
      <c r="AI87" t="inlineStr">
        <is>
          <t>.</t>
        </is>
      </c>
      <c r="AJ87" t="inlineStr">
        <is>
          <t>.</t>
        </is>
      </c>
      <c r="AK87" t="inlineStr">
        <is>
          <t>.</t>
        </is>
      </c>
      <c r="AL87" t="inlineStr">
        <is>
          <t>.</t>
        </is>
      </c>
    </row>
    <row r="88">
      <c r="A88" t="inlineStr"/>
      <c r="B88">
        <f>HYPERLINK("https://genome.ucsc.edu/cgi-bin/hgTracks?db=hg19&amp;position=chr1%3A184672098%2D184672098", "chr1:184672098")</f>
        <v/>
      </c>
      <c r="C88" t="inlineStr">
        <is>
          <t>chr1</t>
        </is>
      </c>
      <c r="D88" t="n">
        <v>184672098</v>
      </c>
      <c r="E88" t="n">
        <v>184672098</v>
      </c>
      <c r="F88" t="inlineStr">
        <is>
          <t>G</t>
        </is>
      </c>
      <c r="G88" t="inlineStr">
        <is>
          <t>A</t>
        </is>
      </c>
      <c r="H88" t="inlineStr">
        <is>
          <t>2736.64</t>
        </is>
      </c>
      <c r="I88" t="inlineStr">
        <is>
          <t>127</t>
        </is>
      </c>
      <c r="J88" t="inlineStr">
        <is>
          <t>30,97</t>
        </is>
      </c>
      <c r="K88" t="inlineStr">
        <is>
          <t>.</t>
        </is>
      </c>
      <c r="L88">
        <f>HYPERLINK("https://www.ncbi.nlm.nih.gov/snp/rs78444298", "rs78444298")</f>
        <v/>
      </c>
      <c r="M88">
        <f>HYPERLINK("https://www.genecards.org/Search/Keyword?queryString=%5Baliases%5D(%20EDEM3%20)&amp;keywords=EDEM3", "EDEM3")</f>
        <v/>
      </c>
      <c r="N88" t="inlineStr">
        <is>
          <t>exonic</t>
        </is>
      </c>
      <c r="O88" t="inlineStr">
        <is>
          <t>nonsynonymous SNV</t>
        </is>
      </c>
      <c r="P88" t="inlineStr">
        <is>
          <t>EDEM3:NM_001319960:exon19:c.C2236T:p.P746S,EDEM3:NM_025191:exon19:c.C2236T:p.P746S;EDEM3:uc010pok.2:exon19:c.C2236T:p.P746S,EDEM3:uc010pom.2:exon19:c.C2236T:p.P746S;EDEM3:ENST00000686047.1_1:exon18:c.C2005T:p.P669S,EDEM3:ENST00000687113.1_1:exon18:c.C2005T:p.P669S,EDEM3:ENST00000692170.1_1:exon18:c.C2005T:p.P669S,EDEM3:ENST00000318130.13_7:exon19:c.C2236T:p.P746S,EDEM3:ENST00000367512.8_6:exon19:c.C2236T:p.P746S,EDEM3:ENST00000685596.1_3:exon19:c.C2050T:p.P684S,EDEM3:ENST00000686225.1_1:exon19:c.C2311T:p.P771S</t>
        </is>
      </c>
      <c r="Q88" t="n">
        <v>0.0207</v>
      </c>
      <c r="R88" t="n">
        <v>0.0214</v>
      </c>
      <c r="S88" t="n">
        <v>0.0198</v>
      </c>
      <c r="T88" t="n">
        <v>-1</v>
      </c>
      <c r="U88" t="n">
        <v>0.0256</v>
      </c>
      <c r="V88" t="inlineStr">
        <is>
          <t>5/10</t>
        </is>
      </c>
      <c r="W88" t="inlineStr">
        <is>
          <t>.</t>
        </is>
      </c>
      <c r="X88" t="inlineStr">
        <is>
          <t>.</t>
        </is>
      </c>
      <c r="Y88" t="inlineStr">
        <is>
          <t>.</t>
        </is>
      </c>
      <c r="Z88" t="inlineStr">
        <is>
          <t>7/7</t>
        </is>
      </c>
      <c r="AA88" t="inlineStr">
        <is>
          <t>Uncertain significance</t>
        </is>
      </c>
      <c r="AB88" t="inlineStr">
        <is>
          <t>.</t>
        </is>
      </c>
      <c r="AC88" t="inlineStr">
        <is>
          <t>0/1</t>
        </is>
      </c>
      <c r="AD88" t="inlineStr">
        <is>
          <t>1</t>
        </is>
      </c>
      <c r="AE88" t="inlineStr">
        <is>
          <t>0.122702493142942</t>
        </is>
      </c>
      <c r="AF88" t="inlineStr">
        <is>
          <t>ER degradation enhancer, mannosidase alpha-like 3</t>
        </is>
      </c>
      <c r="AG88" t="inlineStr">
        <is>
          <t xml:space="preserve">FUNCTION: Involved in endoplasmic reticulum-associated degradation (ERAD). Accelerates the glycoprotein ERAD by proteasomes, by catalyzing mannose trimming from Man8GlcNAc2 to Man7GlcNAc2 in the N-glycans. Seems to have alpha 1,2-mannosidase activity (By similarity). {ECO:0000250, ECO:0000269|PubMed:25092655}.; </t>
        </is>
      </c>
      <c r="AH88" t="inlineStr">
        <is>
          <t>.</t>
        </is>
      </c>
      <c r="AI88" t="inlineStr">
        <is>
          <t>.</t>
        </is>
      </c>
      <c r="AJ88" t="inlineStr">
        <is>
          <t>.</t>
        </is>
      </c>
      <c r="AK88" t="inlineStr">
        <is>
          <t>.</t>
        </is>
      </c>
      <c r="AL88" t="inlineStr">
        <is>
          <t>.</t>
        </is>
      </c>
    </row>
    <row r="89">
      <c r="A89" t="inlineStr"/>
      <c r="B89">
        <f>HYPERLINK("https://genome.ucsc.edu/cgi-bin/hgTracks?db=hg19&amp;position=chr1%3A186055432%2D186055432", "chr1:186055432")</f>
        <v/>
      </c>
      <c r="C89" t="inlineStr">
        <is>
          <t>chr1</t>
        </is>
      </c>
      <c r="D89" t="n">
        <v>186055432</v>
      </c>
      <c r="E89" t="n">
        <v>186055432</v>
      </c>
      <c r="F89" t="inlineStr">
        <is>
          <t>A</t>
        </is>
      </c>
      <c r="G89" t="inlineStr">
        <is>
          <t>C</t>
        </is>
      </c>
      <c r="H89" t="inlineStr">
        <is>
          <t>545.64</t>
        </is>
      </c>
      <c r="I89" t="inlineStr">
        <is>
          <t>121</t>
        </is>
      </c>
      <c r="J89" t="inlineStr">
        <is>
          <t>95,26</t>
        </is>
      </c>
      <c r="K89" t="inlineStr">
        <is>
          <t>.</t>
        </is>
      </c>
      <c r="L89">
        <f>HYPERLINK("https://www.ncbi.nlm.nih.gov/snp/rs150226500", "rs150226500")</f>
        <v/>
      </c>
      <c r="M89">
        <f>HYPERLINK("https://www.genecards.org/Search/Keyword?queryString=%5Baliases%5D(%20HMCN1%20)&amp;keywords=HMCN1", "HMCN1")</f>
        <v/>
      </c>
      <c r="N89" t="inlineStr">
        <is>
          <t>exonic</t>
        </is>
      </c>
      <c r="O89" t="inlineStr">
        <is>
          <t>nonsynonymous SNV</t>
        </is>
      </c>
      <c r="P89" t="inlineStr">
        <is>
          <t>HMCN1:NM_031935:exon58:c.A8939C:p.N2980T;HMCN1:uc001grq.1:exon58:c.A8939C:p.N2980T;HMCN1:ENST00000271588.9_3:exon58:c.A8939C:p.N2980T</t>
        </is>
      </c>
      <c r="Q89" t="n">
        <v>0.017241</v>
      </c>
      <c r="R89" t="n">
        <v>0.0003</v>
      </c>
      <c r="S89" t="n">
        <v>0.0004</v>
      </c>
      <c r="T89" t="n">
        <v>-1</v>
      </c>
      <c r="U89" t="n">
        <v>-1</v>
      </c>
      <c r="V89" t="inlineStr">
        <is>
          <t>4/11</t>
        </is>
      </c>
      <c r="W89" t="inlineStr">
        <is>
          <t>.</t>
        </is>
      </c>
      <c r="X89" t="inlineStr">
        <is>
          <t>.</t>
        </is>
      </c>
      <c r="Y89" t="inlineStr">
        <is>
          <t>.</t>
        </is>
      </c>
      <c r="Z89" t="inlineStr">
        <is>
          <t>2/7</t>
        </is>
      </c>
      <c r="AA89" t="inlineStr">
        <is>
          <t>Uncertain significance</t>
        </is>
      </c>
      <c r="AB89" t="inlineStr">
        <is>
          <t>Uncertain_significance</t>
        </is>
      </c>
      <c r="AC89" t="inlineStr">
        <is>
          <t>0/1</t>
        </is>
      </c>
      <c r="AD89" t="inlineStr">
        <is>
          <t>1</t>
        </is>
      </c>
      <c r="AE89" t="inlineStr">
        <is>
          <t>2.19206065668674e-18</t>
        </is>
      </c>
      <c r="AF89" t="inlineStr">
        <is>
          <t>hemicentin 1</t>
        </is>
      </c>
      <c r="AG89" t="inlineStr">
        <is>
          <t>.</t>
        </is>
      </c>
      <c r="AH89" t="inlineStr">
        <is>
          <t>.</t>
        </is>
      </c>
      <c r="AI89" t="inlineStr">
        <is>
          <t>.</t>
        </is>
      </c>
      <c r="AJ89" t="inlineStr">
        <is>
          <t>.</t>
        </is>
      </c>
      <c r="AK89" t="inlineStr">
        <is>
          <t>.</t>
        </is>
      </c>
      <c r="AL89" t="inlineStr">
        <is>
          <t>.</t>
        </is>
      </c>
    </row>
    <row r="90">
      <c r="A90" t="inlineStr"/>
      <c r="B90">
        <f>HYPERLINK("https://genome.ucsc.edu/cgi-bin/hgTracks?db=hg19&amp;position=chr1%3A186284375%2D186284375", "chr1:186284375")</f>
        <v/>
      </c>
      <c r="C90" t="inlineStr">
        <is>
          <t>chr1</t>
        </is>
      </c>
      <c r="D90" t="n">
        <v>186284375</v>
      </c>
      <c r="E90" t="n">
        <v>186284375</v>
      </c>
      <c r="F90" t="inlineStr">
        <is>
          <t>-</t>
        </is>
      </c>
      <c r="G90" t="inlineStr">
        <is>
          <t>A</t>
        </is>
      </c>
      <c r="H90" t="inlineStr">
        <is>
          <t>31.60</t>
        </is>
      </c>
      <c r="I90" t="inlineStr">
        <is>
          <t>6</t>
        </is>
      </c>
      <c r="J90" t="inlineStr">
        <is>
          <t>4,2</t>
        </is>
      </c>
      <c r="K90" t="inlineStr">
        <is>
          <t>.</t>
        </is>
      </c>
      <c r="L90">
        <f>HYPERLINK("https://www.ncbi.nlm.nih.gov/snp/rs941622934", "rs941622934")</f>
        <v/>
      </c>
      <c r="M90">
        <f>HYPERLINK("https://www.genecards.org/Search/Keyword?queryString=%5Baliases%5D(%20MIR548F1%20)%20OR%20%5Baliases%5D(%20TPR%20)&amp;keywords=MIR548F1,TPR", "MIR548F1;TPR")</f>
        <v/>
      </c>
      <c r="N90" t="inlineStr">
        <is>
          <t>intronic;ncRNA_intronic</t>
        </is>
      </c>
      <c r="O90" t="inlineStr">
        <is>
          <t>.</t>
        </is>
      </c>
      <c r="P90" t="inlineStr">
        <is>
          <t>.</t>
        </is>
      </c>
      <c r="Q90" t="n">
        <v>0.002</v>
      </c>
      <c r="R90" t="n">
        <v>0.002</v>
      </c>
      <c r="S90" t="n">
        <v>0.002</v>
      </c>
      <c r="T90" t="n">
        <v>-1</v>
      </c>
      <c r="U90" t="n">
        <v>0.0011</v>
      </c>
      <c r="V90" t="inlineStr">
        <is>
          <t>.</t>
        </is>
      </c>
      <c r="W90" t="inlineStr">
        <is>
          <t>.</t>
        </is>
      </c>
      <c r="X90" t="inlineStr">
        <is>
          <t>.</t>
        </is>
      </c>
      <c r="Y90" t="inlineStr">
        <is>
          <t>.</t>
        </is>
      </c>
      <c r="Z90" t="inlineStr">
        <is>
          <t>.</t>
        </is>
      </c>
      <c r="AA90" t="inlineStr">
        <is>
          <t>.</t>
        </is>
      </c>
      <c r="AB90" t="inlineStr">
        <is>
          <t>.</t>
        </is>
      </c>
      <c r="AC90" t="inlineStr">
        <is>
          <t>0/1</t>
        </is>
      </c>
      <c r="AD90" t="inlineStr">
        <is>
          <t>2;2</t>
        </is>
      </c>
      <c r="AE90" t="inlineStr">
        <is>
          <t>0.999999999996002</t>
        </is>
      </c>
      <c r="AF90" t="inlineStr">
        <is>
          <t>microRNA 548f-1;translocated promoter region, nuclear basket protein</t>
        </is>
      </c>
      <c r="AG90" t="inlineStr">
        <is>
          <t xml:space="preserve">FUNCTION: Component of the nuclear pore complex (NPC), a complex required for the trafficking across the nuclear envelope. Functions as a scaffolding element in the nuclear phase of the NPC essential for normal nucleocytoplasmic transport of proteins and mRNAs, plays a role in the establishment of nuclear-peripheral chromatin compartmentalization in interphase, and in the mitotic spindle checkpoint signaling during mitosis. Involved in the quality control and retention of unspliced mRNAs in the nucleus; in association with NUP153, regulates the nuclear export of unspliced mRNA species bearing constitutive transport element (CTE) in a NXF1- and KHDRBS1-independent manner. Negatively regulates both the association of CTE-containing mRNA with large polyribosomes and translation initiation. Does not play any role in Rev response element (RRE)-mediated export of unspliced mRNAs. Implicated in nuclear export of mRNAs transcribed from heat shock gene promoters; associates both with chromatin in the HSP70 promoter and with mRNAs transcribed from this promoter under stress-induced conditions. Modulates the nucleocytoplasmic transport of activated MAPK1/ERK2 and huntingtin/HTT and may serve as a docking site for the XPO1/CRM1-mediated nuclear export complex. According to some authors, plays a limited role in the regulation of nuclear protein export (PubMed:22253824 and PubMed:11952838). Plays also a role as a structural and functional element of the perinuclear chromatin distribution; involved in the formation and/or maintenance of NPC-associated perinuclear heterochromatin exclusion zones (HEZs). Finally, acts as a spatial regulator of the spindle-assembly checkpoint (SAC) response ensuring a timely and effective recruitment of spindle checkpoint proteins like MAD1L1 and MAD2L1 to unattached kinetochore during the metaphase-anaphase transition before chromosome congression. Its N-terminus is involved in activation of oncogenic kinases. {ECO:0000269|PubMed:11952838, ECO:0000269|PubMed:15654337, ECO:0000269|PubMed:17897941, ECO:0000269|PubMed:18794356, ECO:0000269|PubMed:18981471, ECO:0000269|PubMed:19273613, ECO:0000269|PubMed:20133940, ECO:0000269|PubMed:20407419, ECO:0000269|PubMed:21613532, ECO:0000269|PubMed:22253824, ECO:0000269|PubMed:9864356}.; </t>
        </is>
      </c>
      <c r="AH90" t="inlineStr">
        <is>
          <t xml:space="preserve">DISEASE: Note=A chromosomal aberration involving TPR has been found in papillary thyroid carcinomas (PTCs). Intrachromosomal rearrangement that links the 5'-end of the TPR gene to the protein kinase domain of NTRK1 forms the fusion protein TRK-T1. TRK-T1 is a 55 kDa protein reacting with antibodies against the carboxy terminus of the NTRK1 protein. {ECO:0000269|PubMed:1532241}.; DISEASE: Note=Involved in tumorigenic rearrangements with the MET. {ECO:0000269|PubMed:2300559}.; </t>
        </is>
      </c>
      <c r="AI90" t="inlineStr">
        <is>
          <t>.</t>
        </is>
      </c>
      <c r="AJ90" t="inlineStr">
        <is>
          <t>.</t>
        </is>
      </c>
      <c r="AK90" t="inlineStr">
        <is>
          <t>.</t>
        </is>
      </c>
      <c r="AL90" t="inlineStr">
        <is>
          <t>.</t>
        </is>
      </c>
    </row>
    <row r="91">
      <c r="A91" t="inlineStr"/>
      <c r="B91">
        <f>HYPERLINK("https://genome.ucsc.edu/cgi-bin/hgTracks?db=hg19&amp;position=chr1%3A186305468%2D186305468", "chr1:186305468")</f>
        <v/>
      </c>
      <c r="C91" t="inlineStr">
        <is>
          <t>chr1</t>
        </is>
      </c>
      <c r="D91" t="n">
        <v>186305468</v>
      </c>
      <c r="E91" t="n">
        <v>186305468</v>
      </c>
      <c r="F91" t="inlineStr">
        <is>
          <t>C</t>
        </is>
      </c>
      <c r="G91" t="inlineStr">
        <is>
          <t>G</t>
        </is>
      </c>
      <c r="H91" t="inlineStr">
        <is>
          <t>320.06</t>
        </is>
      </c>
      <c r="I91" t="inlineStr">
        <is>
          <t>10</t>
        </is>
      </c>
      <c r="J91" t="inlineStr">
        <is>
          <t>0,10</t>
        </is>
      </c>
      <c r="K91" t="inlineStr">
        <is>
          <t>.</t>
        </is>
      </c>
      <c r="L91" t="inlineStr">
        <is>
          <t>.</t>
        </is>
      </c>
      <c r="M91">
        <f>HYPERLINK("https://www.genecards.org/Search/Keyword?queryString=%5Baliases%5D(%20MIR548F1%20)%20OR%20%5Baliases%5D(%20TPR%20)&amp;keywords=MIR548F1,TPR", "MIR548F1;TPR")</f>
        <v/>
      </c>
      <c r="N91" t="inlineStr">
        <is>
          <t>intronic;ncRNA_intronic</t>
        </is>
      </c>
      <c r="O91" t="inlineStr">
        <is>
          <t>.</t>
        </is>
      </c>
      <c r="P91" t="inlineStr">
        <is>
          <t>.</t>
        </is>
      </c>
      <c r="Q91" t="n">
        <v>-1</v>
      </c>
      <c r="R91" t="n">
        <v>-1</v>
      </c>
      <c r="S91" t="n">
        <v>-1</v>
      </c>
      <c r="T91" t="n">
        <v>-1</v>
      </c>
      <c r="U91" t="n">
        <v>-1</v>
      </c>
      <c r="V91" t="inlineStr">
        <is>
          <t>.</t>
        </is>
      </c>
      <c r="W91" t="inlineStr">
        <is>
          <t>.</t>
        </is>
      </c>
      <c r="X91" t="inlineStr">
        <is>
          <t>B</t>
        </is>
      </c>
      <c r="Y91" t="inlineStr">
        <is>
          <t>off</t>
        </is>
      </c>
      <c r="Z91" t="inlineStr">
        <is>
          <t>.</t>
        </is>
      </c>
      <c r="AA91" t="inlineStr">
        <is>
          <t>.</t>
        </is>
      </c>
      <c r="AB91" t="inlineStr">
        <is>
          <t>.</t>
        </is>
      </c>
      <c r="AC91" t="inlineStr">
        <is>
          <t>HOMO</t>
        </is>
      </c>
      <c r="AD91" t="inlineStr">
        <is>
          <t>2;2</t>
        </is>
      </c>
      <c r="AE91" t="inlineStr">
        <is>
          <t>0.999999999996002</t>
        </is>
      </c>
      <c r="AF91" t="inlineStr">
        <is>
          <t>microRNA 548f-1;translocated promoter region, nuclear basket protein</t>
        </is>
      </c>
      <c r="AG91" t="inlineStr">
        <is>
          <t xml:space="preserve">FUNCTION: Component of the nuclear pore complex (NPC), a complex required for the trafficking across the nuclear envelope. Functions as a scaffolding element in the nuclear phase of the NPC essential for normal nucleocytoplasmic transport of proteins and mRNAs, plays a role in the establishment of nuclear-peripheral chromatin compartmentalization in interphase, and in the mitotic spindle checkpoint signaling during mitosis. Involved in the quality control and retention of unspliced mRNAs in the nucleus; in association with NUP153, regulates the nuclear export of unspliced mRNA species bearing constitutive transport element (CTE) in a NXF1- and KHDRBS1-independent manner. Negatively regulates both the association of CTE-containing mRNA with large polyribosomes and translation initiation. Does not play any role in Rev response element (RRE)-mediated export of unspliced mRNAs. Implicated in nuclear export of mRNAs transcribed from heat shock gene promoters; associates both with chromatin in the HSP70 promoter and with mRNAs transcribed from this promoter under stress-induced conditions. Modulates the nucleocytoplasmic transport of activated MAPK1/ERK2 and huntingtin/HTT and may serve as a docking site for the XPO1/CRM1-mediated nuclear export complex. According to some authors, plays a limited role in the regulation of nuclear protein export (PubMed:22253824 and PubMed:11952838). Plays also a role as a structural and functional element of the perinuclear chromatin distribution; involved in the formation and/or maintenance of NPC-associated perinuclear heterochromatin exclusion zones (HEZs). Finally, acts as a spatial regulator of the spindle-assembly checkpoint (SAC) response ensuring a timely and effective recruitment of spindle checkpoint proteins like MAD1L1 and MAD2L1 to unattached kinetochore during the metaphase-anaphase transition before chromosome congression. Its N-terminus is involved in activation of oncogenic kinases. {ECO:0000269|PubMed:11952838, ECO:0000269|PubMed:15654337, ECO:0000269|PubMed:17897941, ECO:0000269|PubMed:18794356, ECO:0000269|PubMed:18981471, ECO:0000269|PubMed:19273613, ECO:0000269|PubMed:20133940, ECO:0000269|PubMed:20407419, ECO:0000269|PubMed:21613532, ECO:0000269|PubMed:22253824, ECO:0000269|PubMed:9864356}.; </t>
        </is>
      </c>
      <c r="AH91" t="inlineStr">
        <is>
          <t xml:space="preserve">DISEASE: Note=A chromosomal aberration involving TPR has been found in papillary thyroid carcinomas (PTCs). Intrachromosomal rearrangement that links the 5'-end of the TPR gene to the protein kinase domain of NTRK1 forms the fusion protein TRK-T1. TRK-T1 is a 55 kDa protein reacting with antibodies against the carboxy terminus of the NTRK1 protein. {ECO:0000269|PubMed:1532241}.; DISEASE: Note=Involved in tumorigenic rearrangements with the MET. {ECO:0000269|PubMed:2300559}.; </t>
        </is>
      </c>
      <c r="AI91" t="inlineStr">
        <is>
          <t>.</t>
        </is>
      </c>
      <c r="AJ91" t="inlineStr">
        <is>
          <t>.</t>
        </is>
      </c>
      <c r="AK91" t="inlineStr">
        <is>
          <t>.</t>
        </is>
      </c>
      <c r="AL91" t="inlineStr">
        <is>
          <t>.</t>
        </is>
      </c>
    </row>
    <row r="92">
      <c r="A92" t="inlineStr"/>
      <c r="B92">
        <f>HYPERLINK("https://genome.ucsc.edu/cgi-bin/hgTracks?db=hg19&amp;position=chr1%3A197026289%2D197026289", "chr1:197026289")</f>
        <v/>
      </c>
      <c r="C92" t="inlineStr">
        <is>
          <t>chr1</t>
        </is>
      </c>
      <c r="D92" t="n">
        <v>197026289</v>
      </c>
      <c r="E92" t="n">
        <v>197026289</v>
      </c>
      <c r="F92" t="inlineStr">
        <is>
          <t>A</t>
        </is>
      </c>
      <c r="G92" t="inlineStr">
        <is>
          <t>G</t>
        </is>
      </c>
      <c r="H92" t="inlineStr">
        <is>
          <t>2966.64</t>
        </is>
      </c>
      <c r="I92" t="inlineStr">
        <is>
          <t>147</t>
        </is>
      </c>
      <c r="J92" t="inlineStr">
        <is>
          <t>36,111</t>
        </is>
      </c>
      <c r="K92" t="inlineStr">
        <is>
          <t>.</t>
        </is>
      </c>
      <c r="L92">
        <f>HYPERLINK("https://www.ncbi.nlm.nih.gov/snp/rs17514281", "rs17514281")</f>
        <v/>
      </c>
      <c r="M92">
        <f>HYPERLINK("https://www.genecards.org/Search/Keyword?queryString=%5Baliases%5D(%20F13B%20)&amp;keywords=F13B", "F13B")</f>
        <v/>
      </c>
      <c r="N92" t="inlineStr">
        <is>
          <t>exonic</t>
        </is>
      </c>
      <c r="O92" t="inlineStr">
        <is>
          <t>nonsynonymous SNV</t>
        </is>
      </c>
      <c r="P92" t="inlineStr">
        <is>
          <t>F13B:NM_001994:exon7:c.T1025C:p.I342T;F13B:uc001gtt.1:exon7:c.T1025C:p.I342T;F13B:ENST00000367412.2_5:exon7:c.T1025C:p.I342T</t>
        </is>
      </c>
      <c r="Q92" t="n">
        <v>0.011494</v>
      </c>
      <c r="R92" t="n">
        <v>0.0111</v>
      </c>
      <c r="S92" t="n">
        <v>0.0144</v>
      </c>
      <c r="T92" t="n">
        <v>-1</v>
      </c>
      <c r="U92" t="n">
        <v>0.0122</v>
      </c>
      <c r="V92" t="inlineStr">
        <is>
          <t>5/10</t>
        </is>
      </c>
      <c r="W92" t="inlineStr">
        <is>
          <t>.</t>
        </is>
      </c>
      <c r="X92" t="inlineStr">
        <is>
          <t>.</t>
        </is>
      </c>
      <c r="Y92" t="inlineStr">
        <is>
          <t>.</t>
        </is>
      </c>
      <c r="Z92" t="inlineStr">
        <is>
          <t>2/7</t>
        </is>
      </c>
      <c r="AA92" t="inlineStr">
        <is>
          <t>Uncertain significance</t>
        </is>
      </c>
      <c r="AB92" t="inlineStr">
        <is>
          <t>Conflicting_interpretations_of_pathogenicity</t>
        </is>
      </c>
      <c r="AC92" t="inlineStr">
        <is>
          <t>0/1</t>
        </is>
      </c>
      <c r="AD92" t="inlineStr">
        <is>
          <t>1</t>
        </is>
      </c>
      <c r="AE92" t="inlineStr">
        <is>
          <t>2.13259736615404e-05</t>
        </is>
      </c>
      <c r="AF92" t="inlineStr">
        <is>
          <t>coagulation factor XIII B chain</t>
        </is>
      </c>
      <c r="AG92" t="inlineStr">
        <is>
          <t xml:space="preserve">FUNCTION: The B chain of factor XIII is not catalytically active, but is thought to stabilize the A subunits and regulate the rate of transglutaminase formation by thrombin. {ECO:0000303|PubMed:21742792, ECO:0000303|PubMed:3021194}.; </t>
        </is>
      </c>
      <c r="AH92" t="inlineStr">
        <is>
          <t xml:space="preserve">DISEASE: Factor XIII subunit B deficiency (FA13BD) [MIM:613235]: An autosomal recessive hematologic disorder characterized by a life-long bleeding tendency, impaired wound healing and spontaneous abortion in affected women. {ECO:0000269|PubMed:11313256, ECO:0000269|PubMed:20331752, ECO:0000269|PubMed:26247044, ECO:0000269|PubMed:8324218}. Note=The disease is caused by mutations affecting the gene represented in this entry.; </t>
        </is>
      </c>
      <c r="AI92" t="inlineStr">
        <is>
          <t>.</t>
        </is>
      </c>
      <c r="AJ92" t="inlineStr">
        <is>
          <t>.</t>
        </is>
      </c>
      <c r="AK92" t="inlineStr">
        <is>
          <t>.</t>
        </is>
      </c>
      <c r="AL92" t="inlineStr">
        <is>
          <t>.</t>
        </is>
      </c>
    </row>
    <row r="93">
      <c r="A93" t="inlineStr"/>
      <c r="B93">
        <f>HYPERLINK("https://genome.ucsc.edu/cgi-bin/hgTracks?db=hg19&amp;position=chr1%3A197070711%2D197070711", "chr1:197070711")</f>
        <v/>
      </c>
      <c r="C93" t="inlineStr">
        <is>
          <t>chr1</t>
        </is>
      </c>
      <c r="D93" t="n">
        <v>197070711</v>
      </c>
      <c r="E93" t="n">
        <v>197070711</v>
      </c>
      <c r="F93" t="inlineStr">
        <is>
          <t>G</t>
        </is>
      </c>
      <c r="G93" t="inlineStr">
        <is>
          <t>C</t>
        </is>
      </c>
      <c r="H93" t="inlineStr">
        <is>
          <t>250.64</t>
        </is>
      </c>
      <c r="I93" t="inlineStr">
        <is>
          <t>114</t>
        </is>
      </c>
      <c r="J93" t="inlineStr">
        <is>
          <t>94,20</t>
        </is>
      </c>
      <c r="K93" t="inlineStr">
        <is>
          <t>.</t>
        </is>
      </c>
      <c r="L93">
        <f>HYPERLINK("https://www.ncbi.nlm.nih.gov/snp/rs78215018", "rs78215018")</f>
        <v/>
      </c>
      <c r="M93">
        <f>HYPERLINK("https://www.genecards.org/Search/Keyword?queryString=%5Baliases%5D(%20ASPM%20)&amp;keywords=ASPM", "ASPM")</f>
        <v/>
      </c>
      <c r="N93" t="inlineStr">
        <is>
          <t>exonic</t>
        </is>
      </c>
      <c r="O93" t="inlineStr">
        <is>
          <t>nonsynonymous SNV</t>
        </is>
      </c>
      <c r="P93" t="inlineStr">
        <is>
          <t>ASPM:NM_018136:exon18:c.C7670G:p.S2557C;ASPM:uc001gtw.4:exon4:c.C1214G:p.S405C,ASPM:uc001gtu.3:exon18:c.C7670G:p.S2557C;ASPM:ENST00000367409.9_7:exon18:c.C7670G:p.S2557C,ASPM:ENST00000680265.1_2:exon18:c.C7670G:p.S2557C,ASPM:ENST00000680710.1_2:exon18:c.C7670G:p.S2557C</t>
        </is>
      </c>
      <c r="Q93" t="n">
        <v>0.003</v>
      </c>
      <c r="R93" t="n">
        <v>0.0005</v>
      </c>
      <c r="S93" t="n">
        <v>0.0013</v>
      </c>
      <c r="T93" t="n">
        <v>-1</v>
      </c>
      <c r="U93" t="n">
        <v>0.0005</v>
      </c>
      <c r="V93" t="inlineStr">
        <is>
          <t>6/11</t>
        </is>
      </c>
      <c r="W93" t="inlineStr">
        <is>
          <t>.</t>
        </is>
      </c>
      <c r="X93" t="inlineStr">
        <is>
          <t>.</t>
        </is>
      </c>
      <c r="Y93" t="inlineStr">
        <is>
          <t>.</t>
        </is>
      </c>
      <c r="Z93" t="inlineStr">
        <is>
          <t>4/7</t>
        </is>
      </c>
      <c r="AA93" t="inlineStr">
        <is>
          <t>Uncertain significance</t>
        </is>
      </c>
      <c r="AB93" t="inlineStr">
        <is>
          <t>Uncertain_significance</t>
        </is>
      </c>
      <c r="AC93" t="inlineStr">
        <is>
          <t>0/1</t>
        </is>
      </c>
      <c r="AD93" t="inlineStr">
        <is>
          <t>2</t>
        </is>
      </c>
      <c r="AE93" t="inlineStr">
        <is>
          <t>6.16438991946625e-26</t>
        </is>
      </c>
      <c r="AF93" t="inlineStr">
        <is>
          <t>abnormal spindle microtubule assembly</t>
        </is>
      </c>
      <c r="AG93" t="inlineStr">
        <is>
          <t xml:space="preserve">FUNCTION: Probable role in mitotic spindle regulation and coordination of mitotic processes. May have a preferential role in regulating neurogenesis. {ECO:0000269|PubMed:12355089, ECO:0000269|PubMed:15972725}.; </t>
        </is>
      </c>
      <c r="AH93" t="inlineStr">
        <is>
          <t xml:space="preserve">DISEASE: Microcephaly 5, primary, autosomal recessive (MCPH5) [MIM:608716]: A disease defined as a head circumference more than 3 standard deviations below the age-related mean. Brain weight is markedly reduced and the cerebral cortex is disproportionately small. Despite this marked reduction in size, the gyral pattern is relatively well preserved, with no major abnormality in cortical architecture. Affected individuals are mentally retarded. Primary microcephaly is further defined by the absence of other syndromic features or significant neurological deficits due to degenerative brain disorder. {ECO:0000269|PubMed:12355089, ECO:0000269|PubMed:14574646, ECO:0000269|PubMed:16673149, ECO:0000269|PubMed:22989186}. Note=The disease is caused by mutations affecting the gene represented in this entry.; </t>
        </is>
      </c>
      <c r="AI93" t="inlineStr">
        <is>
          <t>.</t>
        </is>
      </c>
      <c r="AJ93" t="inlineStr">
        <is>
          <t>.</t>
        </is>
      </c>
      <c r="AK93" t="inlineStr">
        <is>
          <t>.</t>
        </is>
      </c>
      <c r="AL93" t="inlineStr">
        <is>
          <t>.</t>
        </is>
      </c>
    </row>
    <row r="94">
      <c r="A94" t="inlineStr"/>
      <c r="B94">
        <f>HYPERLINK("https://genome.ucsc.edu/cgi-bin/hgTracks?db=hg19&amp;position=chr1%3A197113082%2D197113082", "chr1:197113082")</f>
        <v/>
      </c>
      <c r="C94" t="inlineStr">
        <is>
          <t>chr1</t>
        </is>
      </c>
      <c r="D94" t="n">
        <v>197113082</v>
      </c>
      <c r="E94" t="n">
        <v>197113082</v>
      </c>
      <c r="F94" t="inlineStr">
        <is>
          <t>A</t>
        </is>
      </c>
      <c r="G94" t="inlineStr">
        <is>
          <t>C</t>
        </is>
      </c>
      <c r="H94" t="inlineStr">
        <is>
          <t>216.64</t>
        </is>
      </c>
      <c r="I94" t="inlineStr">
        <is>
          <t>59</t>
        </is>
      </c>
      <c r="J94" t="inlineStr">
        <is>
          <t>45,14</t>
        </is>
      </c>
      <c r="K94" t="inlineStr">
        <is>
          <t>.</t>
        </is>
      </c>
      <c r="L94" t="inlineStr">
        <is>
          <t>.</t>
        </is>
      </c>
      <c r="M94">
        <f>HYPERLINK("https://www.genecards.org/Search/Keyword?queryString=%5Baliases%5D(%20ASPM%20)&amp;keywords=ASPM", "ASPM")</f>
        <v/>
      </c>
      <c r="N94" t="inlineStr">
        <is>
          <t>intronic</t>
        </is>
      </c>
      <c r="O94" t="inlineStr">
        <is>
          <t>.</t>
        </is>
      </c>
      <c r="P94" t="inlineStr">
        <is>
          <t>.</t>
        </is>
      </c>
      <c r="Q94" t="n">
        <v>6.488e-05</v>
      </c>
      <c r="R94" t="n">
        <v>-1</v>
      </c>
      <c r="S94" t="n">
        <v>7.349e-05</v>
      </c>
      <c r="T94" t="n">
        <v>-1</v>
      </c>
      <c r="U94" t="n">
        <v>-1</v>
      </c>
      <c r="V94" t="inlineStr">
        <is>
          <t>.</t>
        </is>
      </c>
      <c r="W94" t="inlineStr">
        <is>
          <t>T</t>
        </is>
      </c>
      <c r="X94" t="inlineStr">
        <is>
          <t>D</t>
        </is>
      </c>
      <c r="Y94" t="inlineStr">
        <is>
          <t>on</t>
        </is>
      </c>
      <c r="Z94" t="inlineStr">
        <is>
          <t>.</t>
        </is>
      </c>
      <c r="AA94" t="inlineStr">
        <is>
          <t>.</t>
        </is>
      </c>
      <c r="AB94" t="inlineStr">
        <is>
          <t>.</t>
        </is>
      </c>
      <c r="AC94" t="inlineStr">
        <is>
          <t>.</t>
        </is>
      </c>
      <c r="AD94" t="inlineStr">
        <is>
          <t>2</t>
        </is>
      </c>
      <c r="AE94" t="inlineStr">
        <is>
          <t>6.16438991946625e-26</t>
        </is>
      </c>
      <c r="AF94" t="inlineStr">
        <is>
          <t>abnormal spindle microtubule assembly</t>
        </is>
      </c>
      <c r="AG94" t="inlineStr">
        <is>
          <t xml:space="preserve">FUNCTION: Probable role in mitotic spindle regulation and coordination of mitotic processes. May have a preferential role in regulating neurogenesis. {ECO:0000269|PubMed:12355089, ECO:0000269|PubMed:15972725}.; </t>
        </is>
      </c>
      <c r="AH94" t="inlineStr">
        <is>
          <t xml:space="preserve">DISEASE: Microcephaly 5, primary, autosomal recessive (MCPH5) [MIM:608716]: A disease defined as a head circumference more than 3 standard deviations below the age-related mean. Brain weight is markedly reduced and the cerebral cortex is disproportionately small. Despite this marked reduction in size, the gyral pattern is relatively well preserved, with no major abnormality in cortical architecture. Affected individuals are mentally retarded. Primary microcephaly is further defined by the absence of other syndromic features or significant neurological deficits due to degenerative brain disorder. {ECO:0000269|PubMed:12355089, ECO:0000269|PubMed:14574646, ECO:0000269|PubMed:16673149, ECO:0000269|PubMed:22989186}. Note=The disease is caused by mutations affecting the gene represented in this entry.; </t>
        </is>
      </c>
      <c r="AI94" t="inlineStr">
        <is>
          <t>.</t>
        </is>
      </c>
      <c r="AJ94" t="inlineStr">
        <is>
          <t>.</t>
        </is>
      </c>
      <c r="AK94" t="inlineStr">
        <is>
          <t>.</t>
        </is>
      </c>
      <c r="AL94" t="inlineStr">
        <is>
          <t>.</t>
        </is>
      </c>
    </row>
    <row r="95">
      <c r="A95" t="inlineStr"/>
      <c r="B95">
        <f>HYPERLINK("https://genome.ucsc.edu/cgi-bin/hgTracks?db=hg19&amp;position=chr1%3A202104836%2D202104836", "chr1:202104836")</f>
        <v/>
      </c>
      <c r="C95" t="inlineStr">
        <is>
          <t>chr1</t>
        </is>
      </c>
      <c r="D95" t="n">
        <v>202104836</v>
      </c>
      <c r="E95" t="n">
        <v>202104836</v>
      </c>
      <c r="F95" t="inlineStr">
        <is>
          <t>G</t>
        </is>
      </c>
      <c r="G95" t="inlineStr">
        <is>
          <t>T</t>
        </is>
      </c>
      <c r="H95" t="inlineStr">
        <is>
          <t>251.64</t>
        </is>
      </c>
      <c r="I95" t="inlineStr">
        <is>
          <t>84</t>
        </is>
      </c>
      <c r="J95" t="inlineStr">
        <is>
          <t>68,16</t>
        </is>
      </c>
      <c r="K95" t="inlineStr">
        <is>
          <t>.</t>
        </is>
      </c>
      <c r="L95">
        <f>HYPERLINK("https://www.ncbi.nlm.nih.gov/snp/rs777392194", "rs777392194")</f>
        <v/>
      </c>
      <c r="M95">
        <f>HYPERLINK("https://www.genecards.org/Search/Keyword?queryString=%5Baliases%5D(%20ARL8A%20)&amp;keywords=ARL8A", "ARL8A")</f>
        <v/>
      </c>
      <c r="N95" t="inlineStr">
        <is>
          <t>exonic</t>
        </is>
      </c>
      <c r="O95" t="inlineStr">
        <is>
          <t>nonsynonymous SNV</t>
        </is>
      </c>
      <c r="P95" t="inlineStr">
        <is>
          <t>ARL8A:NM_001256129:exon4:c.C371A:p.P124Q,ARL8A:NM_138795:exon4:c.C371A:p.P124Q;ARL8A:uc001gxk.2:exon4:c.C371A:p.P124Q,ARL8A:uc031pro.1:exon4:c.C371A:p.P124Q;ARL8A:ENST00000272217.7_5:exon4:c.C371A:p.P124Q,ARL8A:ENST00000614750.1_3:exon4:c.C371A:p.P124Q</t>
        </is>
      </c>
      <c r="Q95" t="n">
        <v>6.5e-06</v>
      </c>
      <c r="R95" t="n">
        <v>-1</v>
      </c>
      <c r="S95" t="n">
        <v>-1</v>
      </c>
      <c r="T95" t="n">
        <v>-1</v>
      </c>
      <c r="U95" t="n">
        <v>-1</v>
      </c>
      <c r="V95" t="inlineStr">
        <is>
          <t>10/12</t>
        </is>
      </c>
      <c r="W95" t="inlineStr">
        <is>
          <t>D</t>
        </is>
      </c>
      <c r="X95" t="inlineStr">
        <is>
          <t>.</t>
        </is>
      </c>
      <c r="Y95" t="inlineStr">
        <is>
          <t>.</t>
        </is>
      </c>
      <c r="Z95" t="inlineStr">
        <is>
          <t>5/7</t>
        </is>
      </c>
      <c r="AA95" t="inlineStr">
        <is>
          <t>Uncertain significance</t>
        </is>
      </c>
      <c r="AB95" t="inlineStr">
        <is>
          <t>.</t>
        </is>
      </c>
      <c r="AC95" t="inlineStr">
        <is>
          <t>0/1</t>
        </is>
      </c>
      <c r="AD95" t="inlineStr">
        <is>
          <t>1</t>
        </is>
      </c>
      <c r="AE95" t="inlineStr">
        <is>
          <t>0.630040288339089</t>
        </is>
      </c>
      <c r="AF95" t="inlineStr">
        <is>
          <t>ADP ribosylation factor like GTPase 8A</t>
        </is>
      </c>
      <c r="AG95" t="inlineStr">
        <is>
          <t xml:space="preserve">FUNCTION: May play a role in lysosomes motility. Alternatively, may play a role in chromosome segregation (By similarity). {ECO:0000250}.; </t>
        </is>
      </c>
      <c r="AH95" t="inlineStr">
        <is>
          <t>.</t>
        </is>
      </c>
      <c r="AI95" t="inlineStr">
        <is>
          <t>.</t>
        </is>
      </c>
      <c r="AJ95" t="inlineStr">
        <is>
          <t>.</t>
        </is>
      </c>
      <c r="AK95" t="inlineStr">
        <is>
          <t>.</t>
        </is>
      </c>
      <c r="AL95" t="inlineStr">
        <is>
          <t>.</t>
        </is>
      </c>
    </row>
    <row r="96">
      <c r="A96" t="inlineStr"/>
      <c r="B96">
        <f>HYPERLINK("https://genome.ucsc.edu/cgi-bin/hgTracks?db=hg19&amp;position=chr1%3A202566001%2D202566001", "chr1:202566001")</f>
        <v/>
      </c>
      <c r="C96" t="inlineStr">
        <is>
          <t>chr1</t>
        </is>
      </c>
      <c r="D96" t="n">
        <v>202566001</v>
      </c>
      <c r="E96" t="n">
        <v>202566001</v>
      </c>
      <c r="F96" t="inlineStr">
        <is>
          <t>C</t>
        </is>
      </c>
      <c r="G96" t="inlineStr">
        <is>
          <t>T</t>
        </is>
      </c>
      <c r="H96" t="inlineStr">
        <is>
          <t>806.64</t>
        </is>
      </c>
      <c r="I96" t="inlineStr">
        <is>
          <t>204</t>
        </is>
      </c>
      <c r="J96" t="inlineStr">
        <is>
          <t>161,43</t>
        </is>
      </c>
      <c r="K96" t="inlineStr">
        <is>
          <t>.</t>
        </is>
      </c>
      <c r="L96" t="inlineStr">
        <is>
          <t>.</t>
        </is>
      </c>
      <c r="M96">
        <f>HYPERLINK("https://www.genecards.org/Search/Keyword?queryString=%5Baliases%5D(%20SYT2%20)&amp;keywords=SYT2", "SYT2")</f>
        <v/>
      </c>
      <c r="N96" t="inlineStr">
        <is>
          <t>exonic</t>
        </is>
      </c>
      <c r="O96" t="inlineStr">
        <is>
          <t>nonsynonymous SNV</t>
        </is>
      </c>
      <c r="P96" t="inlineStr">
        <is>
          <t>SYT2:NM_001136504:exon9:c.G1144A:p.G382S,SYT2:NM_177402:exon9:c.G1144A:p.G382S;SYT2:uc009xaf.3:exon7:c.G634A:p.G212S,SYT2:uc001gye.3:exon9:c.G1144A:p.G382S,SYT2:uc010pqb.2:exon9:c.G1144A:p.G382S;SYT2:ENST00000367267.5_3:exon9:c.G1144A:p.G382S,SYT2:ENST00000367268.5_5:exon9:c.G1144A:p.G382S</t>
        </is>
      </c>
      <c r="Q96" t="n">
        <v>-1</v>
      </c>
      <c r="R96" t="n">
        <v>-1</v>
      </c>
      <c r="S96" t="n">
        <v>-1</v>
      </c>
      <c r="T96" t="n">
        <v>-1</v>
      </c>
      <c r="U96" t="n">
        <v>-1</v>
      </c>
      <c r="V96" t="inlineStr">
        <is>
          <t>9/12</t>
        </is>
      </c>
      <c r="W96" t="inlineStr">
        <is>
          <t>.</t>
        </is>
      </c>
      <c r="X96" t="inlineStr">
        <is>
          <t>.</t>
        </is>
      </c>
      <c r="Y96" t="inlineStr">
        <is>
          <t>.</t>
        </is>
      </c>
      <c r="Z96" t="inlineStr">
        <is>
          <t>4/7</t>
        </is>
      </c>
      <c r="AA96" t="inlineStr">
        <is>
          <t>Uncertain significance</t>
        </is>
      </c>
      <c r="AB96" t="inlineStr">
        <is>
          <t>.</t>
        </is>
      </c>
      <c r="AC96" t="inlineStr">
        <is>
          <t>0/1</t>
        </is>
      </c>
      <c r="AD96" t="inlineStr">
        <is>
          <t>1</t>
        </is>
      </c>
      <c r="AE96" t="inlineStr">
        <is>
          <t>0.88781098862506</t>
        </is>
      </c>
      <c r="AF96" t="inlineStr">
        <is>
          <t>synaptotagmin 2</t>
        </is>
      </c>
      <c r="AG96" t="inlineStr">
        <is>
          <t xml:space="preserve">FUNCTION: Exhibits calcium-dependent phospholipid and inositol polyphosphate binding properties (By similarity). May have a regulatory role in the membrane interactions during trafficking of synaptic vesicles at the active zone of the synapse (By similarity). Plays a role in dendrite formation by melanocytes (PubMed:23999003). {ECO:0000250|UniProtKB:P46097, ECO:0000269|PubMed:23999003}.; </t>
        </is>
      </c>
      <c r="AH96" t="inlineStr">
        <is>
          <t xml:space="preserve">DISEASE: Myasthenic syndrome, congenital, 7, presynaptic (CMS7) [MIM:616040]: A form of congenital myasthenic syndrome, a group of disorders characterized by failure of neuromuscular transmission, including pre-synaptic, synaptic, and post-synaptic disorders that are not of autoimmune origin. Clinical features are easy fatigability and muscle weakness. CMS7 is an autosomal dominant, presynaptic disorder resembling Lambert-Eaton myasthenic syndrome. Affected individuals have a variable degree of proximal and distal limb weakness, muscle fatigue that improves with rest, mild gait difficulties, and reduced or absent deep tendon reflexes. {ECO:0000269|PubMed:25192047}. Note=The disease is caused by mutations affecting the gene represented in this entry.; </t>
        </is>
      </c>
      <c r="AI96" t="inlineStr">
        <is>
          <t>.</t>
        </is>
      </c>
      <c r="AJ96" t="inlineStr">
        <is>
          <t>.</t>
        </is>
      </c>
      <c r="AK96" t="inlineStr">
        <is>
          <t>.</t>
        </is>
      </c>
      <c r="AL96" t="inlineStr">
        <is>
          <t>.</t>
        </is>
      </c>
    </row>
    <row r="97">
      <c r="A97" t="inlineStr"/>
      <c r="B97">
        <f>HYPERLINK("https://genome.ucsc.edu/cgi-bin/hgTracks?db=hg19&amp;position=chr1%3A204093772%2D204093772", "chr1:204093772")</f>
        <v/>
      </c>
      <c r="C97" t="inlineStr">
        <is>
          <t>chr1</t>
        </is>
      </c>
      <c r="D97" t="n">
        <v>204093772</v>
      </c>
      <c r="E97" t="n">
        <v>204093772</v>
      </c>
      <c r="F97" t="inlineStr">
        <is>
          <t>C</t>
        </is>
      </c>
      <c r="G97" t="inlineStr">
        <is>
          <t>A</t>
        </is>
      </c>
      <c r="H97" t="inlineStr">
        <is>
          <t>448.64</t>
        </is>
      </c>
      <c r="I97" t="inlineStr">
        <is>
          <t>86</t>
        </is>
      </c>
      <c r="J97" t="inlineStr">
        <is>
          <t>63,23</t>
        </is>
      </c>
      <c r="K97" t="inlineStr">
        <is>
          <t>.</t>
        </is>
      </c>
      <c r="L97" t="inlineStr">
        <is>
          <t>.</t>
        </is>
      </c>
      <c r="M97">
        <f>HYPERLINK("https://www.genecards.org/Search/Keyword?queryString=%5Baliases%5D(%20SOX13%20)&amp;keywords=SOX13", "SOX13")</f>
        <v/>
      </c>
      <c r="N97" t="inlineStr">
        <is>
          <t>exonic</t>
        </is>
      </c>
      <c r="O97" t="inlineStr">
        <is>
          <t>nonsynonymous SNV</t>
        </is>
      </c>
      <c r="P97" t="inlineStr">
        <is>
          <t>SOX13:NM_005686:exon13:c.C1379A:p.S460Y;SOX13:uc010pqq.2:exon10:c.C980A:p.S327Y,SOX13:uc010pqp.2:exon12:c.C1376A:p.S459Y,SOX13:uc001ham.3:exon13:c.C1379A:p.S460Y;SOX13:ENST00000618875.4_1:exon12:c.C1379A:p.S460Y,SOX13:ENST00000367204.6_3:exon13:c.C1379A:p.S460Y</t>
        </is>
      </c>
      <c r="Q97" t="n">
        <v>-1</v>
      </c>
      <c r="R97" t="n">
        <v>-1</v>
      </c>
      <c r="S97" t="n">
        <v>-1</v>
      </c>
      <c r="T97" t="n">
        <v>-1</v>
      </c>
      <c r="U97" t="n">
        <v>-1</v>
      </c>
      <c r="V97" t="inlineStr">
        <is>
          <t>9/12</t>
        </is>
      </c>
      <c r="W97" t="inlineStr">
        <is>
          <t>.</t>
        </is>
      </c>
      <c r="X97" t="inlineStr">
        <is>
          <t>.</t>
        </is>
      </c>
      <c r="Y97" t="inlineStr">
        <is>
          <t>.</t>
        </is>
      </c>
      <c r="Z97" t="inlineStr">
        <is>
          <t>3/7</t>
        </is>
      </c>
      <c r="AA97" t="inlineStr">
        <is>
          <t>Uncertain significance</t>
        </is>
      </c>
      <c r="AB97" t="inlineStr">
        <is>
          <t>.</t>
        </is>
      </c>
      <c r="AC97" t="inlineStr">
        <is>
          <t>0/1</t>
        </is>
      </c>
      <c r="AD97" t="inlineStr">
        <is>
          <t>1</t>
        </is>
      </c>
      <c r="AE97" t="inlineStr">
        <is>
          <t>0.964099530137052</t>
        </is>
      </c>
      <c r="AF97" t="inlineStr">
        <is>
          <t>SRY-box 13</t>
        </is>
      </c>
      <c r="AG97" t="inlineStr">
        <is>
          <t xml:space="preserve">FUNCTION: Binds to the sequence 5'-AACAAT-3'. {ECO:0000250}.; </t>
        </is>
      </c>
      <c r="AH97" t="inlineStr">
        <is>
          <t>.</t>
        </is>
      </c>
      <c r="AI97" t="inlineStr">
        <is>
          <t>.</t>
        </is>
      </c>
      <c r="AJ97" t="inlineStr">
        <is>
          <t>.</t>
        </is>
      </c>
      <c r="AK97" t="inlineStr">
        <is>
          <t>.</t>
        </is>
      </c>
      <c r="AL97" t="inlineStr">
        <is>
          <t>.</t>
        </is>
      </c>
    </row>
    <row r="98">
      <c r="A98" t="inlineStr"/>
      <c r="B98">
        <f>HYPERLINK("https://genome.ucsc.edu/cgi-bin/hgTracks?db=hg19&amp;position=chr1%3A207785532%2D207785532", "chr1:207785532")</f>
        <v/>
      </c>
      <c r="C98" t="inlineStr">
        <is>
          <t>chr1</t>
        </is>
      </c>
      <c r="D98" t="n">
        <v>207785532</v>
      </c>
      <c r="E98" t="n">
        <v>207785532</v>
      </c>
      <c r="F98" t="inlineStr">
        <is>
          <t>G</t>
        </is>
      </c>
      <c r="G98" t="inlineStr">
        <is>
          <t>A</t>
        </is>
      </c>
      <c r="H98" t="inlineStr">
        <is>
          <t>68.64</t>
        </is>
      </c>
      <c r="I98" t="inlineStr">
        <is>
          <t>14</t>
        </is>
      </c>
      <c r="J98" t="inlineStr">
        <is>
          <t>11,3</t>
        </is>
      </c>
      <c r="K98" t="inlineStr">
        <is>
          <t>.</t>
        </is>
      </c>
      <c r="L98">
        <f>HYPERLINK("https://www.ncbi.nlm.nih.gov/snp/rs559052935", "rs559052935")</f>
        <v/>
      </c>
      <c r="M98">
        <f>HYPERLINK("https://www.genecards.org/Search/Keyword?queryString=%5Baliases%5D(%20CR1%20)&amp;keywords=CR1", "CR1")</f>
        <v/>
      </c>
      <c r="N98" t="inlineStr">
        <is>
          <t>intronic</t>
        </is>
      </c>
      <c r="O98" t="inlineStr">
        <is>
          <t>.</t>
        </is>
      </c>
      <c r="P98" t="inlineStr">
        <is>
          <t>.</t>
        </is>
      </c>
      <c r="Q98" t="n">
        <v>0.0046</v>
      </c>
      <c r="R98" t="n">
        <v>0.0017</v>
      </c>
      <c r="S98" t="n">
        <v>0.0036</v>
      </c>
      <c r="T98" t="n">
        <v>-1</v>
      </c>
      <c r="U98" t="n">
        <v>0.0022</v>
      </c>
      <c r="V98" t="inlineStr">
        <is>
          <t>.</t>
        </is>
      </c>
      <c r="W98" t="inlineStr">
        <is>
          <t>.</t>
        </is>
      </c>
      <c r="X98" t="inlineStr">
        <is>
          <t>D</t>
        </is>
      </c>
      <c r="Y98" t="inlineStr">
        <is>
          <t>off</t>
        </is>
      </c>
      <c r="Z98" t="inlineStr">
        <is>
          <t>.</t>
        </is>
      </c>
      <c r="AA98" t="inlineStr">
        <is>
          <t>.</t>
        </is>
      </c>
      <c r="AB98" t="inlineStr">
        <is>
          <t>.</t>
        </is>
      </c>
      <c r="AC98" t="inlineStr">
        <is>
          <t>0/1</t>
        </is>
      </c>
      <c r="AD98" t="inlineStr">
        <is>
          <t>1</t>
        </is>
      </c>
      <c r="AE98" t="inlineStr">
        <is>
          <t>9.34032929712518e-08</t>
        </is>
      </c>
      <c r="AF98" t="inlineStr">
        <is>
          <t>complement component 3b/4b receptor 1 (Knops blood group)</t>
        </is>
      </c>
      <c r="AG98" t="inlineStr">
        <is>
          <t xml:space="preserve">FUNCTION: Mediates cellular binding of particles and immune complexes that have activated complement.; </t>
        </is>
      </c>
      <c r="AH98" t="inlineStr">
        <is>
          <t>.</t>
        </is>
      </c>
      <c r="AI98" t="inlineStr">
        <is>
          <t>.</t>
        </is>
      </c>
      <c r="AJ98" t="inlineStr">
        <is>
          <t>.</t>
        </is>
      </c>
      <c r="AK98" t="inlineStr">
        <is>
          <t>.</t>
        </is>
      </c>
      <c r="AL98" t="inlineStr">
        <is>
          <t>.</t>
        </is>
      </c>
    </row>
    <row r="99">
      <c r="A99" t="inlineStr"/>
      <c r="B99">
        <f>HYPERLINK("https://genome.ucsc.edu/cgi-bin/hgTracks?db=hg19&amp;position=chr1%3A210010524%2D210010524", "chr1:210010524")</f>
        <v/>
      </c>
      <c r="C99" t="inlineStr">
        <is>
          <t>chr1</t>
        </is>
      </c>
      <c r="D99" t="n">
        <v>210010524</v>
      </c>
      <c r="E99" t="n">
        <v>210010524</v>
      </c>
      <c r="F99" t="inlineStr">
        <is>
          <t>G</t>
        </is>
      </c>
      <c r="G99" t="inlineStr">
        <is>
          <t>A</t>
        </is>
      </c>
      <c r="H99" t="inlineStr">
        <is>
          <t>1823.64</t>
        </is>
      </c>
      <c r="I99" t="inlineStr">
        <is>
          <t>108</t>
        </is>
      </c>
      <c r="J99" t="inlineStr">
        <is>
          <t>35,73</t>
        </is>
      </c>
      <c r="K99" t="inlineStr">
        <is>
          <t>.</t>
        </is>
      </c>
      <c r="L99">
        <f>HYPERLINK("https://www.ncbi.nlm.nih.gov/snp/rs41274840", "rs41274840")</f>
        <v/>
      </c>
      <c r="M99">
        <f>HYPERLINK("https://www.genecards.org/Search/Keyword?queryString=%5Baliases%5D(%20DIEXF%20)%20OR%20%5Baliases%5D(%20UTP25%20)&amp;keywords=DIEXF,UTP25", "DIEXF;UTP25")</f>
        <v/>
      </c>
      <c r="N99" t="inlineStr">
        <is>
          <t>exonic</t>
        </is>
      </c>
      <c r="O99" t="inlineStr">
        <is>
          <t>nonsynonymous SNV</t>
        </is>
      </c>
      <c r="P99" t="inlineStr">
        <is>
          <t>UTP25:NM_014388:exon6:c.G1030A:p.D344N;DIEXF:uc001hhr.2:exon6:c.G1030A:p.D344N,DIEXF:uc009xcu.2:exon6:c.G175A:p.D59N;UTP25:ENST00000491415.7_3:exon6:c.G1030A:p.D344N</t>
        </is>
      </c>
      <c r="Q99" t="n">
        <v>0.0274</v>
      </c>
      <c r="R99" t="n">
        <v>0.0162</v>
      </c>
      <c r="S99" t="n">
        <v>0.0179</v>
      </c>
      <c r="T99" t="n">
        <v>-1</v>
      </c>
      <c r="U99" t="n">
        <v>0.0094</v>
      </c>
      <c r="V99" t="inlineStr">
        <is>
          <t>5/10</t>
        </is>
      </c>
      <c r="W99" t="inlineStr">
        <is>
          <t>.</t>
        </is>
      </c>
      <c r="X99" t="inlineStr">
        <is>
          <t>.</t>
        </is>
      </c>
      <c r="Y99" t="inlineStr">
        <is>
          <t>.</t>
        </is>
      </c>
      <c r="Z99" t="inlineStr">
        <is>
          <t>5/7</t>
        </is>
      </c>
      <c r="AA99" t="inlineStr">
        <is>
          <t>Uncertain significance</t>
        </is>
      </c>
      <c r="AB99" t="inlineStr">
        <is>
          <t>.</t>
        </is>
      </c>
      <c r="AC99" t="inlineStr">
        <is>
          <t>0/1</t>
        </is>
      </c>
      <c r="AD99" t="inlineStr">
        <is>
          <t>1;1</t>
        </is>
      </c>
      <c r="AE99" t="inlineStr">
        <is>
          <t>0.0492348597469146</t>
        </is>
      </c>
      <c r="AF99" t="inlineStr">
        <is>
          <t>digestive organ expansion factor homolog (zebrafish)</t>
        </is>
      </c>
      <c r="AG99" t="inlineStr">
        <is>
          <t xml:space="preserve">FUNCTION: Regulates the p53 pathway to control the expansion growth of digestive organs. {ECO:0000250}.; </t>
        </is>
      </c>
      <c r="AH99" t="inlineStr">
        <is>
          <t>.</t>
        </is>
      </c>
      <c r="AI99" t="inlineStr">
        <is>
          <t>.</t>
        </is>
      </c>
      <c r="AJ99" t="inlineStr">
        <is>
          <t>.</t>
        </is>
      </c>
      <c r="AK99" t="inlineStr">
        <is>
          <t>.</t>
        </is>
      </c>
      <c r="AL99" t="inlineStr">
        <is>
          <t>.</t>
        </is>
      </c>
    </row>
    <row r="100">
      <c r="A100" t="inlineStr"/>
      <c r="B100">
        <f>HYPERLINK("https://genome.ucsc.edu/cgi-bin/hgTracks?db=hg19&amp;position=chr1%3A212792903%2D212792903", "chr1:212792903")</f>
        <v/>
      </c>
      <c r="C100" t="inlineStr">
        <is>
          <t>chr1</t>
        </is>
      </c>
      <c r="D100" t="n">
        <v>212792903</v>
      </c>
      <c r="E100" t="n">
        <v>212792903</v>
      </c>
      <c r="F100" t="inlineStr">
        <is>
          <t>C</t>
        </is>
      </c>
      <c r="G100" t="inlineStr">
        <is>
          <t>T</t>
        </is>
      </c>
      <c r="H100" t="inlineStr">
        <is>
          <t>1184.64</t>
        </is>
      </c>
      <c r="I100" t="inlineStr">
        <is>
          <t>55</t>
        </is>
      </c>
      <c r="J100" t="inlineStr">
        <is>
          <t>13,42</t>
        </is>
      </c>
      <c r="K100" t="inlineStr">
        <is>
          <t>CR087906</t>
        </is>
      </c>
      <c r="L100">
        <f>HYPERLINK("https://www.ncbi.nlm.nih.gov/snp/rs45627140", "rs45627140")</f>
        <v/>
      </c>
      <c r="M100">
        <f>HYPERLINK("https://www.genecards.org/Search/Keyword?queryString=%5Baliases%5D(%20ATF3%20)&amp;keywords=ATF3", "ATF3")</f>
        <v/>
      </c>
      <c r="N100" t="inlineStr">
        <is>
          <t>UTR3</t>
        </is>
      </c>
      <c r="O100" t="inlineStr">
        <is>
          <t>.</t>
        </is>
      </c>
      <c r="P100" t="inlineStr">
        <is>
          <t>NM_001030287:c.*6C&gt;T;NM_001040619:c.*456C&gt;T;NM_001206488:c.*6C&gt;T;NM_001206484:c.*6C&gt;T;NM_001674:c.*6C&gt;T;NM_001206486:c.*456C&gt;T;uc001hjf.3:c.*6C&gt;T;uc021pit.1:c.*6C&gt;T;uc001hjh.3:c.*6C&gt;T;uc021piu.1:c.*6C&gt;T;uc001hji.3:c.*456C&gt;T;uc021piv.1:c.*456C&gt;T;ENST00000366987.6_2:c.*6C&gt;T;ENST00000613954.4_1:c.*6C&gt;T;ENST00000341491.9_4:c.*6C&gt;T;ENST00000613104.1_1:c.*6C&gt;T</t>
        </is>
      </c>
      <c r="Q100" t="n">
        <v>0.0095</v>
      </c>
      <c r="R100" t="n">
        <v>0.0094</v>
      </c>
      <c r="S100" t="n">
        <v>0.0092</v>
      </c>
      <c r="T100" t="n">
        <v>-1</v>
      </c>
      <c r="U100" t="n">
        <v>0.01</v>
      </c>
      <c r="V100" t="inlineStr">
        <is>
          <t>.</t>
        </is>
      </c>
      <c r="W100" t="inlineStr">
        <is>
          <t>.</t>
        </is>
      </c>
      <c r="X100" t="inlineStr">
        <is>
          <t>.</t>
        </is>
      </c>
      <c r="Y100" t="inlineStr">
        <is>
          <t>.</t>
        </is>
      </c>
      <c r="Z100" t="inlineStr">
        <is>
          <t>.</t>
        </is>
      </c>
      <c r="AA100" t="inlineStr">
        <is>
          <t>.</t>
        </is>
      </c>
      <c r="AB100" t="inlineStr">
        <is>
          <t>.</t>
        </is>
      </c>
      <c r="AC100" t="inlineStr">
        <is>
          <t>0/1</t>
        </is>
      </c>
      <c r="AD100" t="inlineStr">
        <is>
          <t>1</t>
        </is>
      </c>
      <c r="AE100" t="inlineStr">
        <is>
          <t>0.276113481429884</t>
        </is>
      </c>
      <c r="AF100" t="inlineStr">
        <is>
          <t>activating transcription factor 3</t>
        </is>
      </c>
      <c r="AG100" t="inlineStr">
        <is>
          <t xml:space="preserve">FUNCTION: This protein binds the cAMP response element (CRE) (consensus: 5'-GTGACGT[AC][AG]-3'), a sequence present in many viral and cellular promoters. Represses transcription from promoters with ATF sites. It may repress transcription by stabilizing the binding of inhibitory cofactors at the promoter. Isoform 2 activates transcription presumably by sequestering inhibitory cofactors away from the promoters.; </t>
        </is>
      </c>
      <c r="AH100" t="inlineStr">
        <is>
          <t>.</t>
        </is>
      </c>
      <c r="AI100" t="inlineStr">
        <is>
          <t>.</t>
        </is>
      </c>
      <c r="AJ100" t="inlineStr">
        <is>
          <t>.</t>
        </is>
      </c>
      <c r="AK100" t="inlineStr">
        <is>
          <t>.</t>
        </is>
      </c>
      <c r="AL100" t="inlineStr">
        <is>
          <t>.</t>
        </is>
      </c>
    </row>
    <row r="101">
      <c r="A101" t="inlineStr"/>
      <c r="B101">
        <f>HYPERLINK("https://genome.ucsc.edu/cgi-bin/hgTracks?db=hg19&amp;position=chr1%3A220284112%2D220284112", "chr1:220284112")</f>
        <v/>
      </c>
      <c r="C101" t="inlineStr">
        <is>
          <t>chr1</t>
        </is>
      </c>
      <c r="D101" t="n">
        <v>220284112</v>
      </c>
      <c r="E101" t="n">
        <v>220284112</v>
      </c>
      <c r="F101" t="inlineStr">
        <is>
          <t>-</t>
        </is>
      </c>
      <c r="G101" t="inlineStr">
        <is>
          <t>T</t>
        </is>
      </c>
      <c r="H101" t="inlineStr">
        <is>
          <t>70.60</t>
        </is>
      </c>
      <c r="I101" t="inlineStr">
        <is>
          <t>99</t>
        </is>
      </c>
      <c r="J101" t="inlineStr">
        <is>
          <t>79,14</t>
        </is>
      </c>
      <c r="K101" t="inlineStr">
        <is>
          <t>.</t>
        </is>
      </c>
      <c r="L101">
        <f>HYPERLINK("https://www.ncbi.nlm.nih.gov/snp/rs769552616", "rs769552616")</f>
        <v/>
      </c>
      <c r="M101">
        <f>HYPERLINK("https://www.genecards.org/Search/Keyword?queryString=%5Baliases%5D(%20IARS2%20)%20OR%20%5Baliases%5D(%20RNU5F-1%20)&amp;keywords=IARS2,RNU5F-1", "IARS2;RNU5F-1")</f>
        <v/>
      </c>
      <c r="N101" t="inlineStr">
        <is>
          <t>intronic;ncRNA_intronic</t>
        </is>
      </c>
      <c r="O101" t="inlineStr">
        <is>
          <t>.</t>
        </is>
      </c>
      <c r="P101" t="inlineStr">
        <is>
          <t>.</t>
        </is>
      </c>
      <c r="Q101" t="n">
        <v>0.0073</v>
      </c>
      <c r="R101" t="n">
        <v>0.0034</v>
      </c>
      <c r="S101" t="n">
        <v>0.0022</v>
      </c>
      <c r="T101" t="n">
        <v>-1</v>
      </c>
      <c r="U101" t="n">
        <v>0.0068</v>
      </c>
      <c r="V101" t="inlineStr">
        <is>
          <t>.</t>
        </is>
      </c>
      <c r="W101" t="inlineStr">
        <is>
          <t>.</t>
        </is>
      </c>
      <c r="X101" t="inlineStr">
        <is>
          <t>.</t>
        </is>
      </c>
      <c r="Y101" t="inlineStr">
        <is>
          <t>.</t>
        </is>
      </c>
      <c r="Z101" t="inlineStr">
        <is>
          <t>.</t>
        </is>
      </c>
      <c r="AA101" t="inlineStr">
        <is>
          <t>.</t>
        </is>
      </c>
      <c r="AB101" t="inlineStr">
        <is>
          <t>.</t>
        </is>
      </c>
      <c r="AC101" t="inlineStr">
        <is>
          <t>0/1</t>
        </is>
      </c>
      <c r="AD101" t="inlineStr">
        <is>
          <t>1;1</t>
        </is>
      </c>
      <c r="AE101" t="inlineStr">
        <is>
          <t>0.472741795319536</t>
        </is>
      </c>
      <c r="AF101" t="inlineStr">
        <is>
          <t>RNA, U5F small nuclear 1;isoleucyl-tRNA synthetase 2, mitochondrial</t>
        </is>
      </c>
      <c r="AG101" t="inlineStr">
        <is>
          <t>.</t>
        </is>
      </c>
      <c r="AH101" t="inlineStr">
        <is>
          <t xml:space="preserve">DISEASE: Cataracts, growth hormone deficiency, sensory neuropathy, sensorineural hearing loss, and skeletal dysplasia (CAGSSS) [MIM:616007]: An autosomal recessive disorder characterized by cataracts, short-stature secondary to growth hormone deficiency, sensorineural hearing deficit, peripheral sensory neuropathy, skeletal dysplasia, scoliosis, and facial dysmorphism. {ECO:0000269|PubMed:25130867}. Note=The disease is caused by mutations affecting the gene represented in this entry.; </t>
        </is>
      </c>
      <c r="AI101" t="inlineStr">
        <is>
          <t>.</t>
        </is>
      </c>
      <c r="AJ101" t="inlineStr">
        <is>
          <t>.</t>
        </is>
      </c>
      <c r="AK101" t="inlineStr">
        <is>
          <t>.</t>
        </is>
      </c>
      <c r="AL101" t="inlineStr">
        <is>
          <t>.</t>
        </is>
      </c>
    </row>
    <row r="102">
      <c r="A102" t="inlineStr"/>
      <c r="B102">
        <f>HYPERLINK("https://genome.ucsc.edu/cgi-bin/hgTracks?db=hg19&amp;position=chr1%3A226485418%2D226485418", "chr1:226485418")</f>
        <v/>
      </c>
      <c r="C102" t="inlineStr">
        <is>
          <t>chr1</t>
        </is>
      </c>
      <c r="D102" t="n">
        <v>226485418</v>
      </c>
      <c r="E102" t="n">
        <v>226485418</v>
      </c>
      <c r="F102" t="inlineStr">
        <is>
          <t>A</t>
        </is>
      </c>
      <c r="G102" t="inlineStr">
        <is>
          <t>C</t>
        </is>
      </c>
      <c r="H102" t="inlineStr">
        <is>
          <t>198.64</t>
        </is>
      </c>
      <c r="I102" t="inlineStr">
        <is>
          <t>129</t>
        </is>
      </c>
      <c r="J102" t="inlineStr">
        <is>
          <t>109,20</t>
        </is>
      </c>
      <c r="K102" t="inlineStr">
        <is>
          <t>.</t>
        </is>
      </c>
      <c r="L102" t="inlineStr">
        <is>
          <t>.</t>
        </is>
      </c>
      <c r="M102">
        <f>HYPERLINK("https://www.genecards.org/Search/Keyword?queryString=%5Baliases%5D(%20LIN9%20)&amp;keywords=LIN9", "LIN9")</f>
        <v/>
      </c>
      <c r="N102" t="inlineStr">
        <is>
          <t>splicing</t>
        </is>
      </c>
      <c r="O102" t="inlineStr">
        <is>
          <t>.</t>
        </is>
      </c>
      <c r="P102" t="inlineStr">
        <is>
          <t>NM_001270409:exon3:c.207+2T&gt;G;NM_173083:exon3:c.207+2T&gt;G;NM_001366239:exon3:c.207+2T&gt;G;NM_001366238:exon3:c.204+2T&gt;G;NM_001366237:exon3:c.207+2T&gt;G;NM_001366241:exon3:c.3+2T&gt;G;NM_001270410:exon3:c.3+2T&gt;G;NM_001366245:exon3:c.159+2T&gt;G;uc001hqa.3:exon3:c.207+2T&gt;G;uc001hqb.3:exon3:c.207+2T&gt;G;uc001hqc.4:exon3:c.3+2T&gt;G;uc009xel.2:exon3:c.207+2T&gt;G;ENST00000681046.1_2:exon3:c.159+2T&gt;G;ENST00000328205.9_6:exon3:c.207+2T&gt;G;ENST00000366808.6_6:exon3:c.3+2T&gt;G;ENST00000481685.1_4:exon3:c.207+2T&gt;G</t>
        </is>
      </c>
      <c r="Q102" t="n">
        <v>-1</v>
      </c>
      <c r="R102" t="n">
        <v>-1</v>
      </c>
      <c r="S102" t="n">
        <v>-1</v>
      </c>
      <c r="T102" t="n">
        <v>-1</v>
      </c>
      <c r="U102" t="n">
        <v>-1</v>
      </c>
      <c r="V102" t="inlineStr">
        <is>
          <t>2/2</t>
        </is>
      </c>
      <c r="W102" t="inlineStr">
        <is>
          <t>D</t>
        </is>
      </c>
      <c r="X102" t="inlineStr">
        <is>
          <t>D</t>
        </is>
      </c>
      <c r="Y102" t="inlineStr">
        <is>
          <t>on</t>
        </is>
      </c>
      <c r="Z102" t="inlineStr">
        <is>
          <t>3/7</t>
        </is>
      </c>
      <c r="AA102" t="inlineStr">
        <is>
          <t>.</t>
        </is>
      </c>
      <c r="AB102" t="inlineStr">
        <is>
          <t>.</t>
        </is>
      </c>
      <c r="AC102" t="inlineStr">
        <is>
          <t>0/1</t>
        </is>
      </c>
      <c r="AD102" t="inlineStr">
        <is>
          <t>1</t>
        </is>
      </c>
      <c r="AE102" t="inlineStr">
        <is>
          <t>0.999926500458297</t>
        </is>
      </c>
      <c r="AF102" t="inlineStr">
        <is>
          <t>lin-9 DREAM MuvB core complex component</t>
        </is>
      </c>
      <c r="AG102" t="inlineStr">
        <is>
          <t xml:space="preserve">FUNCTION: Acts as a tumor suppressor. Inhibits DNA synthesis. Its ability to inhibit oncogenic transformation is mediated through its association with RB1. Plays a role in the expression of genes required for the G1/S transition. {ECO:0000269|PubMed:15538385, ECO:0000269|PubMed:16730350}.; </t>
        </is>
      </c>
      <c r="AH102" t="inlineStr">
        <is>
          <t>.</t>
        </is>
      </c>
      <c r="AI102" t="inlineStr">
        <is>
          <t>.</t>
        </is>
      </c>
      <c r="AJ102" t="inlineStr">
        <is>
          <t>.</t>
        </is>
      </c>
      <c r="AK102" t="inlineStr">
        <is>
          <t>.</t>
        </is>
      </c>
      <c r="AL102" t="inlineStr">
        <is>
          <t>.</t>
        </is>
      </c>
    </row>
    <row r="103">
      <c r="A103" t="inlineStr"/>
      <c r="B103">
        <f>HYPERLINK("https://genome.ucsc.edu/cgi-bin/hgTracks?db=hg19&amp;position=chr1%3A228446477%2D228446477", "chr1:228446477")</f>
        <v/>
      </c>
      <c r="C103" t="inlineStr">
        <is>
          <t>chr1</t>
        </is>
      </c>
      <c r="D103" t="n">
        <v>228446477</v>
      </c>
      <c r="E103" t="n">
        <v>228446477</v>
      </c>
      <c r="F103" t="inlineStr">
        <is>
          <t>T</t>
        </is>
      </c>
      <c r="G103" t="inlineStr">
        <is>
          <t>C</t>
        </is>
      </c>
      <c r="H103" t="inlineStr">
        <is>
          <t>55.64</t>
        </is>
      </c>
      <c r="I103" t="inlineStr">
        <is>
          <t>6</t>
        </is>
      </c>
      <c r="J103" t="inlineStr">
        <is>
          <t>4,2</t>
        </is>
      </c>
      <c r="K103" t="inlineStr">
        <is>
          <t>.</t>
        </is>
      </c>
      <c r="L103" t="inlineStr">
        <is>
          <t>.</t>
        </is>
      </c>
      <c r="M103">
        <f>HYPERLINK("https://www.genecards.org/Search/Keyword?queryString=%5Baliases%5D(%20OBSCN%20)&amp;keywords=OBSCN", "OBSCN")</f>
        <v/>
      </c>
      <c r="N103" t="inlineStr">
        <is>
          <t>intronic;ncRNA_intronic</t>
        </is>
      </c>
      <c r="O103" t="inlineStr">
        <is>
          <t>.</t>
        </is>
      </c>
      <c r="P103" t="inlineStr">
        <is>
          <t>.</t>
        </is>
      </c>
      <c r="Q103" t="n">
        <v>-1</v>
      </c>
      <c r="R103" t="n">
        <v>-1</v>
      </c>
      <c r="S103" t="n">
        <v>-1</v>
      </c>
      <c r="T103" t="n">
        <v>-1</v>
      </c>
      <c r="U103" t="n">
        <v>-1</v>
      </c>
      <c r="V103" t="inlineStr">
        <is>
          <t>.</t>
        </is>
      </c>
      <c r="W103" t="inlineStr">
        <is>
          <t>.</t>
        </is>
      </c>
      <c r="X103" t="inlineStr">
        <is>
          <t>.</t>
        </is>
      </c>
      <c r="Y103" t="inlineStr">
        <is>
          <t>.</t>
        </is>
      </c>
      <c r="Z103" t="inlineStr">
        <is>
          <t>.</t>
        </is>
      </c>
      <c r="AA103" t="inlineStr">
        <is>
          <t>.</t>
        </is>
      </c>
      <c r="AB103" t="inlineStr">
        <is>
          <t>.</t>
        </is>
      </c>
      <c r="AC103" t="inlineStr">
        <is>
          <t>0/1</t>
        </is>
      </c>
      <c r="AD103" t="inlineStr">
        <is>
          <t>5</t>
        </is>
      </c>
      <c r="AE103" t="inlineStr">
        <is>
          <t>5.35738960908037e-91</t>
        </is>
      </c>
      <c r="AF103" t="inlineStr">
        <is>
          <t>obscurin, cytoskeletal calmodulin and titin-interacting RhoGEF</t>
        </is>
      </c>
      <c r="AG103" t="inlineStr">
        <is>
          <t xml:space="preserve">FUNCTION: Involved in myofibrillogenesis. Seems to be involved in assembly of myosin into sarcomeric A bands in striated muscle. Isoform 3 together with ANK1 isoform Mu17/Ank1.5 may provide a molecular link between the sarcoplasmic reticulum and myofibrils. {ECO:0000269|PubMed:11448995, ECO:0000269|PubMed:16205939}.; </t>
        </is>
      </c>
      <c r="AH103" t="inlineStr">
        <is>
          <t xml:space="preserve">DISEASE: Note=A chromosomal aberration involving OBSCN has been found in Wilms tumor. Translocation t(1;7)(q42;p15) with PTHB1. {ECO:0000269|PubMed:12618763}.; </t>
        </is>
      </c>
      <c r="AI103" t="inlineStr">
        <is>
          <t>.</t>
        </is>
      </c>
      <c r="AJ103" t="inlineStr">
        <is>
          <t>.</t>
        </is>
      </c>
      <c r="AK103" t="inlineStr">
        <is>
          <t>.</t>
        </is>
      </c>
      <c r="AL103" t="inlineStr">
        <is>
          <t>.</t>
        </is>
      </c>
    </row>
    <row r="104">
      <c r="A104" t="inlineStr"/>
      <c r="B104">
        <f>HYPERLINK("https://genome.ucsc.edu/cgi-bin/hgTracks?db=hg19&amp;position=chr1%3A228483269%2D228483269", "chr1:228483269")</f>
        <v/>
      </c>
      <c r="C104" t="inlineStr">
        <is>
          <t>chr1</t>
        </is>
      </c>
      <c r="D104" t="n">
        <v>228483269</v>
      </c>
      <c r="E104" t="n">
        <v>228483269</v>
      </c>
      <c r="F104" t="inlineStr">
        <is>
          <t>T</t>
        </is>
      </c>
      <c r="G104" t="inlineStr">
        <is>
          <t>C</t>
        </is>
      </c>
      <c r="H104" t="inlineStr">
        <is>
          <t>46.64</t>
        </is>
      </c>
      <c r="I104" t="inlineStr">
        <is>
          <t>7</t>
        </is>
      </c>
      <c r="J104" t="inlineStr">
        <is>
          <t>5,2</t>
        </is>
      </c>
      <c r="K104" t="inlineStr">
        <is>
          <t>.</t>
        </is>
      </c>
      <c r="L104" t="inlineStr">
        <is>
          <t>.</t>
        </is>
      </c>
      <c r="M104">
        <f>HYPERLINK("https://www.genecards.org/Search/Keyword?queryString=%5Baliases%5D(%20OBSCN%20)&amp;keywords=OBSCN", "OBSCN")</f>
        <v/>
      </c>
      <c r="N104" t="inlineStr">
        <is>
          <t>intronic;ncRNA_exonic</t>
        </is>
      </c>
      <c r="O104" t="inlineStr">
        <is>
          <t>.</t>
        </is>
      </c>
      <c r="P104" t="inlineStr">
        <is>
          <t>.</t>
        </is>
      </c>
      <c r="Q104" t="n">
        <v>-1</v>
      </c>
      <c r="R104" t="n">
        <v>-1</v>
      </c>
      <c r="S104" t="n">
        <v>-1</v>
      </c>
      <c r="T104" t="n">
        <v>-1</v>
      </c>
      <c r="U104" t="n">
        <v>-1</v>
      </c>
      <c r="V104" t="inlineStr">
        <is>
          <t>.</t>
        </is>
      </c>
      <c r="W104" t="inlineStr">
        <is>
          <t>.</t>
        </is>
      </c>
      <c r="X104" t="inlineStr">
        <is>
          <t>.</t>
        </is>
      </c>
      <c r="Y104" t="inlineStr">
        <is>
          <t>.</t>
        </is>
      </c>
      <c r="Z104" t="inlineStr">
        <is>
          <t>.</t>
        </is>
      </c>
      <c r="AA104" t="inlineStr">
        <is>
          <t>.</t>
        </is>
      </c>
      <c r="AB104" t="inlineStr">
        <is>
          <t>.</t>
        </is>
      </c>
      <c r="AC104" t="inlineStr">
        <is>
          <t>0/1</t>
        </is>
      </c>
      <c r="AD104" t="inlineStr">
        <is>
          <t>5</t>
        </is>
      </c>
      <c r="AE104" t="inlineStr">
        <is>
          <t>5.35738960908037e-91</t>
        </is>
      </c>
      <c r="AF104" t="inlineStr">
        <is>
          <t>obscurin, cytoskeletal calmodulin and titin-interacting RhoGEF</t>
        </is>
      </c>
      <c r="AG104" t="inlineStr">
        <is>
          <t xml:space="preserve">FUNCTION: Involved in myofibrillogenesis. Seems to be involved in assembly of myosin into sarcomeric A bands in striated muscle. Isoform 3 together with ANK1 isoform Mu17/Ank1.5 may provide a molecular link between the sarcoplasmic reticulum and myofibrils. {ECO:0000269|PubMed:11448995, ECO:0000269|PubMed:16205939}.; </t>
        </is>
      </c>
      <c r="AH104" t="inlineStr">
        <is>
          <t xml:space="preserve">DISEASE: Note=A chromosomal aberration involving OBSCN has been found in Wilms tumor. Translocation t(1;7)(q42;p15) with PTHB1. {ECO:0000269|PubMed:12618763}.; </t>
        </is>
      </c>
      <c r="AI104" t="inlineStr">
        <is>
          <t>.</t>
        </is>
      </c>
      <c r="AJ104" t="inlineStr">
        <is>
          <t>.</t>
        </is>
      </c>
      <c r="AK104" t="inlineStr">
        <is>
          <t>.</t>
        </is>
      </c>
      <c r="AL104" t="inlineStr">
        <is>
          <t>.</t>
        </is>
      </c>
    </row>
    <row r="105">
      <c r="A105" t="inlineStr"/>
      <c r="B105">
        <f>HYPERLINK("https://genome.ucsc.edu/cgi-bin/hgTracks?db=hg19&amp;position=chr1%3A228486099%2D228486099", "chr1:228486099")</f>
        <v/>
      </c>
      <c r="C105" t="inlineStr">
        <is>
          <t>chr1</t>
        </is>
      </c>
      <c r="D105" t="n">
        <v>228486099</v>
      </c>
      <c r="E105" t="n">
        <v>228486099</v>
      </c>
      <c r="F105" t="inlineStr">
        <is>
          <t>C</t>
        </is>
      </c>
      <c r="G105" t="inlineStr">
        <is>
          <t>T</t>
        </is>
      </c>
      <c r="H105" t="inlineStr">
        <is>
          <t>1338.64</t>
        </is>
      </c>
      <c r="I105" t="inlineStr">
        <is>
          <t>82</t>
        </is>
      </c>
      <c r="J105" t="inlineStr">
        <is>
          <t>32,50</t>
        </is>
      </c>
      <c r="K105" t="inlineStr">
        <is>
          <t>.</t>
        </is>
      </c>
      <c r="L105">
        <f>HYPERLINK("https://www.ncbi.nlm.nih.gov/snp/rs114775166", "rs114775166")</f>
        <v/>
      </c>
      <c r="M105">
        <f>HYPERLINK("https://www.genecards.org/Search/Keyword?queryString=%5Baliases%5D(%20OBSCN%20)&amp;keywords=OBSCN", "OBSCN")</f>
        <v/>
      </c>
      <c r="N105" t="inlineStr">
        <is>
          <t>intronic;ncRNA_intronic</t>
        </is>
      </c>
      <c r="O105" t="inlineStr">
        <is>
          <t>.</t>
        </is>
      </c>
      <c r="P105" t="inlineStr">
        <is>
          <t>.</t>
        </is>
      </c>
      <c r="Q105" t="n">
        <v>0.018</v>
      </c>
      <c r="R105" t="n">
        <v>0.0162</v>
      </c>
      <c r="S105" t="n">
        <v>0.0184</v>
      </c>
      <c r="T105" t="n">
        <v>-1</v>
      </c>
      <c r="U105" t="n">
        <v>0.0163</v>
      </c>
      <c r="V105" t="inlineStr">
        <is>
          <t>.</t>
        </is>
      </c>
      <c r="W105" t="inlineStr">
        <is>
          <t>.</t>
        </is>
      </c>
      <c r="X105" t="inlineStr">
        <is>
          <t>B</t>
        </is>
      </c>
      <c r="Y105" t="inlineStr">
        <is>
          <t>off</t>
        </is>
      </c>
      <c r="Z105" t="inlineStr">
        <is>
          <t>.</t>
        </is>
      </c>
      <c r="AA105" t="inlineStr">
        <is>
          <t>.</t>
        </is>
      </c>
      <c r="AB105" t="inlineStr">
        <is>
          <t>.</t>
        </is>
      </c>
      <c r="AC105" t="inlineStr">
        <is>
          <t>0/1</t>
        </is>
      </c>
      <c r="AD105" t="inlineStr">
        <is>
          <t>5</t>
        </is>
      </c>
      <c r="AE105" t="inlineStr">
        <is>
          <t>5.35738960908037e-91</t>
        </is>
      </c>
      <c r="AF105" t="inlineStr">
        <is>
          <t>obscurin, cytoskeletal calmodulin and titin-interacting RhoGEF</t>
        </is>
      </c>
      <c r="AG105" t="inlineStr">
        <is>
          <t xml:space="preserve">FUNCTION: Involved in myofibrillogenesis. Seems to be involved in assembly of myosin into sarcomeric A bands in striated muscle. Isoform 3 together with ANK1 isoform Mu17/Ank1.5 may provide a molecular link between the sarcoplasmic reticulum and myofibrils. {ECO:0000269|PubMed:11448995, ECO:0000269|PubMed:16205939}.; </t>
        </is>
      </c>
      <c r="AH105" t="inlineStr">
        <is>
          <t xml:space="preserve">DISEASE: Note=A chromosomal aberration involving OBSCN has been found in Wilms tumor. Translocation t(1;7)(q42;p15) with PTHB1. {ECO:0000269|PubMed:12618763}.; </t>
        </is>
      </c>
      <c r="AI105" t="inlineStr">
        <is>
          <t>.</t>
        </is>
      </c>
      <c r="AJ105" t="inlineStr">
        <is>
          <t>.</t>
        </is>
      </c>
      <c r="AK105" t="inlineStr">
        <is>
          <t>.</t>
        </is>
      </c>
      <c r="AL105" t="inlineStr">
        <is>
          <t>.</t>
        </is>
      </c>
    </row>
    <row r="106">
      <c r="A106" t="inlineStr"/>
      <c r="B106">
        <f>HYPERLINK("https://genome.ucsc.edu/cgi-bin/hgTracks?db=hg19&amp;position=chr1%3A228488833%2D228488833", "chr1:228488833")</f>
        <v/>
      </c>
      <c r="C106" t="inlineStr">
        <is>
          <t>chr1</t>
        </is>
      </c>
      <c r="D106" t="n">
        <v>228488833</v>
      </c>
      <c r="E106" t="n">
        <v>228488833</v>
      </c>
      <c r="F106" t="inlineStr">
        <is>
          <t>T</t>
        </is>
      </c>
      <c r="G106" t="inlineStr">
        <is>
          <t>-</t>
        </is>
      </c>
      <c r="H106" t="inlineStr">
        <is>
          <t>37.60</t>
        </is>
      </c>
      <c r="I106" t="inlineStr">
        <is>
          <t>12</t>
        </is>
      </c>
      <c r="J106" t="inlineStr">
        <is>
          <t>10,2</t>
        </is>
      </c>
      <c r="K106" t="inlineStr">
        <is>
          <t>.</t>
        </is>
      </c>
      <c r="L106" t="inlineStr">
        <is>
          <t>.</t>
        </is>
      </c>
      <c r="M106">
        <f>HYPERLINK("https://www.genecards.org/Search/Keyword?queryString=%5Baliases%5D(%20OBSCN%20)&amp;keywords=OBSCN", "OBSCN")</f>
        <v/>
      </c>
      <c r="N106" t="inlineStr">
        <is>
          <t>intronic;ncRNA_intronic</t>
        </is>
      </c>
      <c r="O106" t="inlineStr">
        <is>
          <t>.</t>
        </is>
      </c>
      <c r="P106" t="inlineStr">
        <is>
          <t>.</t>
        </is>
      </c>
      <c r="Q106" t="n">
        <v>-1</v>
      </c>
      <c r="R106" t="n">
        <v>-1</v>
      </c>
      <c r="S106" t="n">
        <v>-1</v>
      </c>
      <c r="T106" t="n">
        <v>-1</v>
      </c>
      <c r="U106" t="n">
        <v>-1</v>
      </c>
      <c r="V106" t="inlineStr">
        <is>
          <t>.</t>
        </is>
      </c>
      <c r="W106" t="inlineStr">
        <is>
          <t>.</t>
        </is>
      </c>
      <c r="X106" t="inlineStr">
        <is>
          <t>.</t>
        </is>
      </c>
      <c r="Y106" t="inlineStr">
        <is>
          <t>.</t>
        </is>
      </c>
      <c r="Z106" t="inlineStr">
        <is>
          <t>.</t>
        </is>
      </c>
      <c r="AA106" t="inlineStr">
        <is>
          <t>.</t>
        </is>
      </c>
      <c r="AB106" t="inlineStr">
        <is>
          <t>.</t>
        </is>
      </c>
      <c r="AC106" t="inlineStr">
        <is>
          <t>0/1</t>
        </is>
      </c>
      <c r="AD106" t="inlineStr">
        <is>
          <t>5</t>
        </is>
      </c>
      <c r="AE106" t="inlineStr">
        <is>
          <t>5.35738960908037e-91</t>
        </is>
      </c>
      <c r="AF106" t="inlineStr">
        <is>
          <t>obscurin, cytoskeletal calmodulin and titin-interacting RhoGEF</t>
        </is>
      </c>
      <c r="AG106" t="inlineStr">
        <is>
          <t xml:space="preserve">FUNCTION: Involved in myofibrillogenesis. Seems to be involved in assembly of myosin into sarcomeric A bands in striated muscle. Isoform 3 together with ANK1 isoform Mu17/Ank1.5 may provide a molecular link between the sarcoplasmic reticulum and myofibrils. {ECO:0000269|PubMed:11448995, ECO:0000269|PubMed:16205939}.; </t>
        </is>
      </c>
      <c r="AH106" t="inlineStr">
        <is>
          <t xml:space="preserve">DISEASE: Note=A chromosomal aberration involving OBSCN has been found in Wilms tumor. Translocation t(1;7)(q42;p15) with PTHB1. {ECO:0000269|PubMed:12618763}.; </t>
        </is>
      </c>
      <c r="AI106" t="inlineStr">
        <is>
          <t>.</t>
        </is>
      </c>
      <c r="AJ106" t="inlineStr">
        <is>
          <t>.</t>
        </is>
      </c>
      <c r="AK106" t="inlineStr">
        <is>
          <t>.</t>
        </is>
      </c>
      <c r="AL106" t="inlineStr">
        <is>
          <t>.</t>
        </is>
      </c>
    </row>
    <row r="107">
      <c r="A107" t="inlineStr"/>
      <c r="B107">
        <f>HYPERLINK("https://genome.ucsc.edu/cgi-bin/hgTracks?db=hg19&amp;position=chr1%3A228511278%2D228511278", "chr1:228511278")</f>
        <v/>
      </c>
      <c r="C107" t="inlineStr">
        <is>
          <t>chr1</t>
        </is>
      </c>
      <c r="D107" t="n">
        <v>228511278</v>
      </c>
      <c r="E107" t="n">
        <v>228511278</v>
      </c>
      <c r="F107" t="inlineStr">
        <is>
          <t>C</t>
        </is>
      </c>
      <c r="G107" t="inlineStr">
        <is>
          <t>T</t>
        </is>
      </c>
      <c r="H107" t="inlineStr">
        <is>
          <t>919.64</t>
        </is>
      </c>
      <c r="I107" t="inlineStr">
        <is>
          <t>144</t>
        </is>
      </c>
      <c r="J107" t="inlineStr">
        <is>
          <t>101,43</t>
        </is>
      </c>
      <c r="K107" t="inlineStr">
        <is>
          <t>.</t>
        </is>
      </c>
      <c r="L107">
        <f>HYPERLINK("https://www.ncbi.nlm.nih.gov/snp/rs1051415555", "rs1051415555")</f>
        <v/>
      </c>
      <c r="M107">
        <f>HYPERLINK("https://www.genecards.org/Search/Keyword?queryString=%5Baliases%5D(%20OBSCN%20)&amp;keywords=OBSCN", "OBSCN")</f>
        <v/>
      </c>
      <c r="N107" t="inlineStr">
        <is>
          <t>exonic</t>
        </is>
      </c>
      <c r="O107" t="inlineStr">
        <is>
          <t>nonsynonymous SNV</t>
        </is>
      </c>
      <c r="P107" t="inlineStr">
        <is>
          <t>OBSCN:NM_001098623:exon56:c.C15623T:p.S5208F,OBSCN:NM_052843:exon56:c.C15623T:p.S5208F,OBSCN:NM_001271223:exon67:c.C18494T:p.S6165F;OBSCN:uc001hsn.4:exon56:c.C15623T:p.S5208F,OBSCN:uc009xez.2:exon56:c.C15623T:p.S5208F,OBSCN:uc001hsq.2:exon67:c.C18494T:p.S6165F;OBSCN:ENST00000636476.2_2:exon55:c.C15623T:p.S5208F,OBSCN:ENST00000284548.16_2:exon56:c.C15623T:p.S5208F,OBSCN:ENST00000422127.5_2:exon56:c.C15623T:p.S5208F,OBSCN:ENST00000662438.1_2:exon61:c.C17168T:p.S5723F,OBSCN:ENST00000570156.7_7:exon67:c.C18494T:p.S6165F,OBSCN:ENST00000680850.1_2:exon67:c.C18494T:p.S6165F</t>
        </is>
      </c>
      <c r="Q107" t="n">
        <v>-1</v>
      </c>
      <c r="R107" t="n">
        <v>-1</v>
      </c>
      <c r="S107" t="n">
        <v>-1</v>
      </c>
      <c r="T107" t="n">
        <v>-1</v>
      </c>
      <c r="U107" t="n">
        <v>-1</v>
      </c>
      <c r="V107" t="inlineStr">
        <is>
          <t>8/11</t>
        </is>
      </c>
      <c r="W107" t="inlineStr">
        <is>
          <t>.</t>
        </is>
      </c>
      <c r="X107" t="inlineStr">
        <is>
          <t>.</t>
        </is>
      </c>
      <c r="Y107" t="inlineStr">
        <is>
          <t>.</t>
        </is>
      </c>
      <c r="Z107" t="inlineStr">
        <is>
          <t>3/7</t>
        </is>
      </c>
      <c r="AA107" t="inlineStr">
        <is>
          <t>Uncertain significance</t>
        </is>
      </c>
      <c r="AB107" t="inlineStr">
        <is>
          <t>.</t>
        </is>
      </c>
      <c r="AC107" t="inlineStr">
        <is>
          <t>0/1</t>
        </is>
      </c>
      <c r="AD107" t="inlineStr">
        <is>
          <t>5</t>
        </is>
      </c>
      <c r="AE107" t="inlineStr">
        <is>
          <t>5.35738960908037e-91</t>
        </is>
      </c>
      <c r="AF107" t="inlineStr">
        <is>
          <t>obscurin, cytoskeletal calmodulin and titin-interacting RhoGEF</t>
        </is>
      </c>
      <c r="AG107" t="inlineStr">
        <is>
          <t xml:space="preserve">FUNCTION: Involved in myofibrillogenesis. Seems to be involved in assembly of myosin into sarcomeric A bands in striated muscle. Isoform 3 together with ANK1 isoform Mu17/Ank1.5 may provide a molecular link between the sarcoplasmic reticulum and myofibrils. {ECO:0000269|PubMed:11448995, ECO:0000269|PubMed:16205939}.; </t>
        </is>
      </c>
      <c r="AH107" t="inlineStr">
        <is>
          <t xml:space="preserve">DISEASE: Note=A chromosomal aberration involving OBSCN has been found in Wilms tumor. Translocation t(1;7)(q42;p15) with PTHB1. {ECO:0000269|PubMed:12618763}.; </t>
        </is>
      </c>
      <c r="AI107" t="inlineStr">
        <is>
          <t>.</t>
        </is>
      </c>
      <c r="AJ107" t="inlineStr">
        <is>
          <t>.</t>
        </is>
      </c>
      <c r="AK107" t="inlineStr">
        <is>
          <t>.</t>
        </is>
      </c>
      <c r="AL107" t="inlineStr">
        <is>
          <t>.</t>
        </is>
      </c>
    </row>
    <row r="108">
      <c r="A108" t="inlineStr"/>
      <c r="B108">
        <f>HYPERLINK("https://genome.ucsc.edu/cgi-bin/hgTracks?db=hg19&amp;position=chr1%3A228596421%2D228596421", "chr1:228596421")</f>
        <v/>
      </c>
      <c r="C108" t="inlineStr">
        <is>
          <t>chr1</t>
        </is>
      </c>
      <c r="D108" t="n">
        <v>228596421</v>
      </c>
      <c r="E108" t="n">
        <v>228596421</v>
      </c>
      <c r="F108" t="inlineStr">
        <is>
          <t>G</t>
        </is>
      </c>
      <c r="G108" t="inlineStr">
        <is>
          <t>C</t>
        </is>
      </c>
      <c r="H108" t="inlineStr">
        <is>
          <t>2360.64</t>
        </is>
      </c>
      <c r="I108" t="inlineStr">
        <is>
          <t>116</t>
        </is>
      </c>
      <c r="J108" t="inlineStr">
        <is>
          <t>30,86</t>
        </is>
      </c>
      <c r="K108" t="inlineStr">
        <is>
          <t>.</t>
        </is>
      </c>
      <c r="L108">
        <f>HYPERLINK("https://www.ncbi.nlm.nih.gov/snp/rs775807631", "rs775807631")</f>
        <v/>
      </c>
      <c r="M108">
        <f>HYPERLINK("https://www.genecards.org/Search/Keyword?queryString=%5Baliases%5D(%20TRIM17%20)&amp;keywords=TRIM17", "TRIM17")</f>
        <v/>
      </c>
      <c r="N108" t="inlineStr">
        <is>
          <t>exonic</t>
        </is>
      </c>
      <c r="O108" t="inlineStr">
        <is>
          <t>stopgain</t>
        </is>
      </c>
      <c r="P108" t="inlineStr">
        <is>
          <t>TRIM17:NM_001024940:exon7:c.C915G:p.Y305X,TRIM17:NM_016102:exon7:c.C915G:p.Y305X;TRIM17:uc001hsu.3:exon7:c.C915G:p.Y305X,TRIM17:uc001hsv.3:exon7:c.C915G:p.Y305X;TRIM17:ENST00000366697.6_3:exon6:c.C915G:p.Y305X,TRIM17:ENST00000295033.7_3:exon7:c.C915G:p.Y305X,TRIM17:ENST00000366698.7_5:exon7:c.C915G:p.Y305X</t>
        </is>
      </c>
      <c r="Q108" t="n">
        <v>0.0003</v>
      </c>
      <c r="R108" t="n">
        <v>0.0001</v>
      </c>
      <c r="S108" t="n">
        <v>0.0002</v>
      </c>
      <c r="T108" t="n">
        <v>-1</v>
      </c>
      <c r="U108" t="n">
        <v>-1</v>
      </c>
      <c r="V108" t="inlineStr">
        <is>
          <t>2/3</t>
        </is>
      </c>
      <c r="W108" t="inlineStr">
        <is>
          <t>.</t>
        </is>
      </c>
      <c r="X108" t="inlineStr">
        <is>
          <t>.</t>
        </is>
      </c>
      <c r="Y108" t="inlineStr">
        <is>
          <t>.</t>
        </is>
      </c>
      <c r="Z108" t="inlineStr">
        <is>
          <t>0/7</t>
        </is>
      </c>
      <c r="AA108" t="inlineStr">
        <is>
          <t>Uncertain significance</t>
        </is>
      </c>
      <c r="AB108" t="inlineStr">
        <is>
          <t>.</t>
        </is>
      </c>
      <c r="AC108" t="inlineStr">
        <is>
          <t>0/1</t>
        </is>
      </c>
      <c r="AD108" t="inlineStr">
        <is>
          <t>1</t>
        </is>
      </c>
      <c r="AE108" t="inlineStr">
        <is>
          <t>2.40298559120734e-05</t>
        </is>
      </c>
      <c r="AF108" t="inlineStr">
        <is>
          <t>tripartite motif containing 17</t>
        </is>
      </c>
      <c r="AG108" t="inlineStr">
        <is>
          <t xml:space="preserve">FUNCTION: May function as a ubiquitin E3 ligase. {ECO:0000269|PubMed:19358823}.; </t>
        </is>
      </c>
      <c r="AH108" t="inlineStr">
        <is>
          <t>.</t>
        </is>
      </c>
      <c r="AI108" t="inlineStr">
        <is>
          <t>.</t>
        </is>
      </c>
      <c r="AJ108" t="inlineStr">
        <is>
          <t>.</t>
        </is>
      </c>
      <c r="AK108" t="inlineStr">
        <is>
          <t>.</t>
        </is>
      </c>
      <c r="AL108" t="inlineStr">
        <is>
          <t>.</t>
        </is>
      </c>
    </row>
    <row r="109">
      <c r="A109" t="inlineStr"/>
      <c r="B109">
        <f>HYPERLINK("https://genome.ucsc.edu/cgi-bin/hgTracks?db=hg19&amp;position=chr1%3A230840052%2D230840052", "chr1:230840052")</f>
        <v/>
      </c>
      <c r="C109" t="inlineStr">
        <is>
          <t>chr1</t>
        </is>
      </c>
      <c r="D109" t="n">
        <v>230840052</v>
      </c>
      <c r="E109" t="n">
        <v>230840052</v>
      </c>
      <c r="F109" t="inlineStr">
        <is>
          <t>G</t>
        </is>
      </c>
      <c r="G109" t="inlineStr">
        <is>
          <t>T</t>
        </is>
      </c>
      <c r="H109" t="inlineStr">
        <is>
          <t>1204.64</t>
        </is>
      </c>
      <c r="I109" t="inlineStr">
        <is>
          <t>190</t>
        </is>
      </c>
      <c r="J109" t="inlineStr">
        <is>
          <t>131,59</t>
        </is>
      </c>
      <c r="K109" t="inlineStr">
        <is>
          <t>.</t>
        </is>
      </c>
      <c r="L109" t="inlineStr">
        <is>
          <t>.</t>
        </is>
      </c>
      <c r="M109">
        <f>HYPERLINK("https://www.genecards.org/Search/Keyword?queryString=%5Baliases%5D(%20AGT%20)&amp;keywords=AGT", "AGT")</f>
        <v/>
      </c>
      <c r="N109" t="inlineStr">
        <is>
          <t>exonic</t>
        </is>
      </c>
      <c r="O109" t="inlineStr">
        <is>
          <t>nonsynonymous SNV</t>
        </is>
      </c>
      <c r="P109" t="inlineStr">
        <is>
          <t>AGT:NM_001382817:exon4:c.C1129A:p.L377M,AGT:NM_001384479:exon4:c.C1129A:p.L377M;AGT:uc001hty.4:exon4:c.C1156A:p.L386M,AGT:uc009xff.3:exon5:c.C1072A:p.L358M;AGT:ENST00000366667.6_9:exon4:c.C1129A:p.L377M,AGT:ENST00000679684.1_1:exon4:c.C1129A:p.L377M,AGT:ENST00000679957.1_4:exon4:c.C1129A:p.L377M,AGT:ENST00000680041.1_4:exon4:c.C1129A:p.L377M,AGT:ENST00000681269.1_4:exon4:c.C1129A:p.L377M,AGT:ENST00000681514.1_5:exon5:c.C1129A:p.L377M</t>
        </is>
      </c>
      <c r="Q109" t="n">
        <v>-1</v>
      </c>
      <c r="R109" t="n">
        <v>-1</v>
      </c>
      <c r="S109" t="n">
        <v>-1</v>
      </c>
      <c r="T109" t="n">
        <v>-1</v>
      </c>
      <c r="U109" t="n">
        <v>-1</v>
      </c>
      <c r="V109" t="inlineStr">
        <is>
          <t>4/12</t>
        </is>
      </c>
      <c r="W109" t="inlineStr">
        <is>
          <t>.</t>
        </is>
      </c>
      <c r="X109" t="inlineStr">
        <is>
          <t>.</t>
        </is>
      </c>
      <c r="Y109" t="inlineStr">
        <is>
          <t>.</t>
        </is>
      </c>
      <c r="Z109" t="inlineStr">
        <is>
          <t>0/7</t>
        </is>
      </c>
      <c r="AA109" t="inlineStr">
        <is>
          <t>Uncertain significance</t>
        </is>
      </c>
      <c r="AB109" t="inlineStr">
        <is>
          <t>.</t>
        </is>
      </c>
      <c r="AC109" t="inlineStr">
        <is>
          <t>0/1</t>
        </is>
      </c>
      <c r="AD109" t="inlineStr">
        <is>
          <t>1</t>
        </is>
      </c>
      <c r="AE109" t="inlineStr">
        <is>
          <t>1.57429487936421e-09</t>
        </is>
      </c>
      <c r="AF109" t="inlineStr">
        <is>
          <t>angiotensinogen</t>
        </is>
      </c>
      <c r="AG109" t="inlineStr">
        <is>
          <t xml:space="preserve">FUNCTION: Essential component of the renin-angiotensin system (RAS), a potent regulator of blood pressure, body fluid and electrolyte homeostasis.; FUNCTION: Angiotensin-3: stimulates aldosterone release.; </t>
        </is>
      </c>
      <c r="AH109" t="inlineStr">
        <is>
          <t xml:space="preserve">DISEASE: Essential hypertension (EHT) [MIM:145500]: A condition in which blood pressure is consistently higher than normal with no identifiable cause. {ECO:0000269|PubMed:1394429, ECO:0000269|PubMed:8513325}. Note=Disease susceptibility is associated with variations affecting the gene represented in this entry.; DISEASE: Renal tubular dysgenesis (RTD) [MIM:267430]: Autosomal recessive severe disorder of renal tubular development characterized by persistent fetal anuria and perinatal death, probably due to pulmonary hypoplasia from early-onset oligohydramnios (the Potter phenotype). {ECO:0000269|PubMed:16116425}. Note=The disease is caused by mutations affecting the gene represented in this entry.; </t>
        </is>
      </c>
      <c r="AI109" t="inlineStr">
        <is>
          <t>.</t>
        </is>
      </c>
      <c r="AJ109" t="inlineStr">
        <is>
          <t>.</t>
        </is>
      </c>
      <c r="AK109" t="inlineStr">
        <is>
          <t>.</t>
        </is>
      </c>
      <c r="AL109" t="inlineStr">
        <is>
          <t>.</t>
        </is>
      </c>
    </row>
    <row r="110">
      <c r="A110" t="inlineStr"/>
      <c r="B110">
        <f>HYPERLINK("https://genome.ucsc.edu/cgi-bin/hgTracks?db=hg19&amp;position=chr1%3A235860410%2D235860410", "chr1:235860410")</f>
        <v/>
      </c>
      <c r="C110" t="inlineStr">
        <is>
          <t>chr1</t>
        </is>
      </c>
      <c r="D110" t="n">
        <v>235860410</v>
      </c>
      <c r="E110" t="n">
        <v>235860410</v>
      </c>
      <c r="F110" t="inlineStr">
        <is>
          <t>G</t>
        </is>
      </c>
      <c r="G110" t="inlineStr">
        <is>
          <t>T</t>
        </is>
      </c>
      <c r="H110" t="inlineStr">
        <is>
          <t>530.64</t>
        </is>
      </c>
      <c r="I110" t="inlineStr">
        <is>
          <t>141</t>
        </is>
      </c>
      <c r="J110" t="inlineStr">
        <is>
          <t>110,31</t>
        </is>
      </c>
      <c r="K110" t="inlineStr">
        <is>
          <t>.</t>
        </is>
      </c>
      <c r="L110" t="inlineStr">
        <is>
          <t>.</t>
        </is>
      </c>
      <c r="M110">
        <f>HYPERLINK("https://www.genecards.org/Search/Keyword?queryString=%5Baliases%5D(%20LYST%20)&amp;keywords=LYST", "LYST")</f>
        <v/>
      </c>
      <c r="N110" t="inlineStr">
        <is>
          <t>exonic</t>
        </is>
      </c>
      <c r="O110" t="inlineStr">
        <is>
          <t>nonsynonymous SNV</t>
        </is>
      </c>
      <c r="P110" t="inlineStr">
        <is>
          <t>LYST:NM_000081:exon46:c.C10537A:p.L3513I,LYST:NM_001301365:exon46:c.C10537A:p.L3513I;LYST:uc001hxi.3:exon15:c.C2209A:p.L737I,LYST:uc001hxj.3:exon46:c.C10537A:p.L3513I;LYST:ENST00000389793.7_4:exon46:c.C10537A:p.L3513I</t>
        </is>
      </c>
      <c r="Q110" t="n">
        <v>-1</v>
      </c>
      <c r="R110" t="n">
        <v>-1</v>
      </c>
      <c r="S110" t="n">
        <v>-1</v>
      </c>
      <c r="T110" t="n">
        <v>-1</v>
      </c>
      <c r="U110" t="n">
        <v>-1</v>
      </c>
      <c r="V110" t="inlineStr">
        <is>
          <t>5/12</t>
        </is>
      </c>
      <c r="W110" t="inlineStr">
        <is>
          <t>.</t>
        </is>
      </c>
      <c r="X110" t="inlineStr">
        <is>
          <t>.</t>
        </is>
      </c>
      <c r="Y110" t="inlineStr">
        <is>
          <t>.</t>
        </is>
      </c>
      <c r="Z110" t="inlineStr">
        <is>
          <t>3/7</t>
        </is>
      </c>
      <c r="AA110" t="inlineStr">
        <is>
          <t>Uncertain significance</t>
        </is>
      </c>
      <c r="AB110" t="inlineStr">
        <is>
          <t>.</t>
        </is>
      </c>
      <c r="AC110" t="inlineStr">
        <is>
          <t>0/1</t>
        </is>
      </c>
      <c r="AD110" t="inlineStr">
        <is>
          <t>1</t>
        </is>
      </c>
      <c r="AE110" t="inlineStr">
        <is>
          <t>0.999978422869173</t>
        </is>
      </c>
      <c r="AF110" t="inlineStr">
        <is>
          <t>lysosomal trafficking regulator</t>
        </is>
      </c>
      <c r="AG110" t="inlineStr">
        <is>
          <t xml:space="preserve">FUNCTION: May be required for sorting endosomal resident proteins into late multivesicular endosomes by a mechanism involving microtubules.; </t>
        </is>
      </c>
      <c r="AH110" t="inlineStr">
        <is>
          <t>.</t>
        </is>
      </c>
      <c r="AI110" t="inlineStr">
        <is>
          <t>.</t>
        </is>
      </c>
      <c r="AJ110" t="inlineStr">
        <is>
          <t>.</t>
        </is>
      </c>
      <c r="AK110" t="inlineStr">
        <is>
          <t>.</t>
        </is>
      </c>
      <c r="AL110" t="inlineStr">
        <is>
          <t>.</t>
        </is>
      </c>
    </row>
    <row r="111">
      <c r="A111" t="inlineStr"/>
      <c r="B111">
        <f>HYPERLINK("https://genome.ucsc.edu/cgi-bin/hgTracks?db=hg19&amp;position=chr1%3A236208965%2D236208965", "chr1:236208965")</f>
        <v/>
      </c>
      <c r="C111" t="inlineStr">
        <is>
          <t>chr1</t>
        </is>
      </c>
      <c r="D111" t="n">
        <v>236208965</v>
      </c>
      <c r="E111" t="n">
        <v>236208965</v>
      </c>
      <c r="F111" t="inlineStr">
        <is>
          <t>C</t>
        </is>
      </c>
      <c r="G111" t="inlineStr">
        <is>
          <t>A</t>
        </is>
      </c>
      <c r="H111" t="inlineStr">
        <is>
          <t>551.64</t>
        </is>
      </c>
      <c r="I111" t="inlineStr">
        <is>
          <t>100</t>
        </is>
      </c>
      <c r="J111" t="inlineStr">
        <is>
          <t>71,29</t>
        </is>
      </c>
      <c r="K111" t="inlineStr">
        <is>
          <t>.</t>
        </is>
      </c>
      <c r="L111" t="inlineStr">
        <is>
          <t>.</t>
        </is>
      </c>
      <c r="M111">
        <f>HYPERLINK("https://www.genecards.org/Search/Keyword?queryString=%5Baliases%5D(%20NID1%20)&amp;keywords=NID1", "NID1")</f>
        <v/>
      </c>
      <c r="N111" t="inlineStr">
        <is>
          <t>exonic</t>
        </is>
      </c>
      <c r="O111" t="inlineStr">
        <is>
          <t>nonsynonymous SNV</t>
        </is>
      </c>
      <c r="P111" t="inlineStr">
        <is>
          <t>NID1:NM_002508:exon3:c.G544T:p.V182F;NID1:uc001hxo.3:exon3:c.G544T:p.V182F,NID1:uc009xgd.3:exon3:c.G544T:p.V182F;NID1:ENST00000264187.7_5:exon3:c.G544T:p.V182F,NID1:ENST00000366595.7_3:exon3:c.G544T:p.V182F</t>
        </is>
      </c>
      <c r="Q111" t="n">
        <v>-1</v>
      </c>
      <c r="R111" t="n">
        <v>-1</v>
      </c>
      <c r="S111" t="n">
        <v>-1</v>
      </c>
      <c r="T111" t="n">
        <v>-1</v>
      </c>
      <c r="U111" t="n">
        <v>-1</v>
      </c>
      <c r="V111" t="inlineStr">
        <is>
          <t>9/12</t>
        </is>
      </c>
      <c r="W111" t="inlineStr">
        <is>
          <t>.</t>
        </is>
      </c>
      <c r="X111" t="inlineStr">
        <is>
          <t>.</t>
        </is>
      </c>
      <c r="Y111" t="inlineStr">
        <is>
          <t>.</t>
        </is>
      </c>
      <c r="Z111" t="inlineStr">
        <is>
          <t>3/7</t>
        </is>
      </c>
      <c r="AA111" t="inlineStr">
        <is>
          <t>Uncertain significance</t>
        </is>
      </c>
      <c r="AB111" t="inlineStr">
        <is>
          <t>.</t>
        </is>
      </c>
      <c r="AC111" t="inlineStr">
        <is>
          <t>0/1</t>
        </is>
      </c>
      <c r="AD111" t="inlineStr">
        <is>
          <t>1</t>
        </is>
      </c>
      <c r="AE111" t="inlineStr">
        <is>
          <t>0.000366475613763869</t>
        </is>
      </c>
      <c r="AF111" t="inlineStr">
        <is>
          <t>nidogen 1</t>
        </is>
      </c>
      <c r="AG111" t="inlineStr">
        <is>
          <t xml:space="preserve">FUNCTION: Sulfated glycoprotein widely distributed in basement membranes and tightly associated with laminin. Also binds to collagen IV and perlecan. It probably has a role in cell- extracellular matrix interactions.; </t>
        </is>
      </c>
      <c r="AH111" t="inlineStr">
        <is>
          <t>.</t>
        </is>
      </c>
      <c r="AI111" t="inlineStr">
        <is>
          <t>.</t>
        </is>
      </c>
      <c r="AJ111" t="inlineStr">
        <is>
          <t>.</t>
        </is>
      </c>
      <c r="AK111" t="inlineStr">
        <is>
          <t>.</t>
        </is>
      </c>
      <c r="AL111" t="inlineStr">
        <is>
          <t>.</t>
        </is>
      </c>
    </row>
    <row r="112">
      <c r="A112" t="inlineStr"/>
      <c r="B112">
        <f>HYPERLINK("https://genome.ucsc.edu/cgi-bin/hgTracks?db=hg19&amp;position=chr1%3A237817714%2D237817714", "chr1:237817714")</f>
        <v/>
      </c>
      <c r="C112" t="inlineStr">
        <is>
          <t>chr1</t>
        </is>
      </c>
      <c r="D112" t="n">
        <v>237817714</v>
      </c>
      <c r="E112" t="n">
        <v>237817714</v>
      </c>
      <c r="F112" t="inlineStr">
        <is>
          <t>G</t>
        </is>
      </c>
      <c r="G112" t="inlineStr">
        <is>
          <t>A</t>
        </is>
      </c>
      <c r="H112" t="inlineStr">
        <is>
          <t>394.64</t>
        </is>
      </c>
      <c r="I112" t="inlineStr">
        <is>
          <t>72</t>
        </is>
      </c>
      <c r="J112" t="inlineStr">
        <is>
          <t>55,17</t>
        </is>
      </c>
      <c r="K112" t="inlineStr">
        <is>
          <t>.</t>
        </is>
      </c>
      <c r="L112" t="inlineStr">
        <is>
          <t>.</t>
        </is>
      </c>
      <c r="M112">
        <f>HYPERLINK("https://www.genecards.org/Search/Keyword?queryString=%5Baliases%5D(%20RYR2%20)&amp;keywords=RYR2", "RYR2")</f>
        <v/>
      </c>
      <c r="N112" t="inlineStr">
        <is>
          <t>exonic</t>
        </is>
      </c>
      <c r="O112" t="inlineStr">
        <is>
          <t>synonymous SNV</t>
        </is>
      </c>
      <c r="P112" t="inlineStr">
        <is>
          <t>RYR2:NM_001035:exon52:c.G7965A:p.K2655K;RYR2:uc001hyl.1:exon52:c.G7965A:p.K2655K;RYR2:ENST00000366574.7_4:exon52:c.G7965A:p.K2655K</t>
        </is>
      </c>
      <c r="Q112" t="n">
        <v>-1</v>
      </c>
      <c r="R112" t="n">
        <v>-1</v>
      </c>
      <c r="S112" t="n">
        <v>-1</v>
      </c>
      <c r="T112" t="n">
        <v>-1</v>
      </c>
      <c r="U112" t="n">
        <v>-1</v>
      </c>
      <c r="V112" t="inlineStr">
        <is>
          <t>.</t>
        </is>
      </c>
      <c r="W112" t="inlineStr">
        <is>
          <t>D</t>
        </is>
      </c>
      <c r="X112" t="inlineStr">
        <is>
          <t>.</t>
        </is>
      </c>
      <c r="Y112" t="inlineStr">
        <is>
          <t>.</t>
        </is>
      </c>
      <c r="Z112" t="inlineStr">
        <is>
          <t>.</t>
        </is>
      </c>
      <c r="AA112" t="inlineStr">
        <is>
          <t>Uncertain significance</t>
        </is>
      </c>
      <c r="AB112" t="inlineStr">
        <is>
          <t>.</t>
        </is>
      </c>
      <c r="AC112" t="inlineStr">
        <is>
          <t>0/1</t>
        </is>
      </c>
      <c r="AD112" t="inlineStr">
        <is>
          <t>2</t>
        </is>
      </c>
      <c r="AE112" t="inlineStr">
        <is>
          <t>0.999999934433848</t>
        </is>
      </c>
      <c r="AF112" t="inlineStr">
        <is>
          <t>ryanodine receptor 2</t>
        </is>
      </c>
      <c r="AG112" t="inlineStr">
        <is>
          <t xml:space="preserve">FUNCTION: Calcium channel that mediates the release of Ca(2+) from the sarcoplasmic reticulum into the cytoplasm and thereby plays a key role in triggering cardiac muscle contraction. Aberrant channel activation can lead to cardiac arrhythmia. In cardiac myocytes, calcium release is triggered by increased Ca(2+) levels due to activation of the L-type calcium channel CACNA1C. The calcium channel activity is modulated by formation of heterotetramers with RYR3. Required for cellular calcium ion homeostasis. Required for embryonic heart development. {ECO:0000269|PubMed:10830164, ECO:0000269|PubMed:20056922}.; </t>
        </is>
      </c>
      <c r="AH112" t="inlineStr">
        <is>
          <t xml:space="preserve">DISEASE: Arrhythmogenic right ventricular dysplasia, familial, 2 (ARVD2) [MIM:600996]: A congenital heart disease characterized by infiltration of adipose and fibrous tissue into the right ventricle and loss of myocardial cells, resulting in ventricular and supraventricular arrhythmias. {ECO:0000269|PubMed:11159936}. Note=The disease is caused by mutations affecting the gene represented in this entry.; DISEASE: Ventricular tachycardia, catecholaminergic polymorphic, 1, with or without atrial dysfunction and/or dilated cardiomyopathy (CPVT1) [MIM:604772]: An arrhythmogenic disorder characterized by stress-induced, bidirectional ventricular tachycardia that may degenerate into cardiac arrest and cause sudden death. Patients present with recurrent syncope, seizures, or sudden death after physical activity or emotional stress. {ECO:0000269|PubMed:11157710, ECO:0000269|PubMed:12093772, ECO:0000269|PubMed:12106942, ECO:0000269|PubMed:15046072, ECO:0000269|PubMed:15046073, ECO:0000269|PubMed:15466642, ECO:0000269|PubMed:15544015}. Note=The disease is caused by mutations affecting the gene represented in this entry.; </t>
        </is>
      </c>
      <c r="AI112" t="inlineStr">
        <is>
          <t>.</t>
        </is>
      </c>
      <c r="AJ112" t="inlineStr">
        <is>
          <t>.</t>
        </is>
      </c>
      <c r="AK112" t="inlineStr">
        <is>
          <t>.</t>
        </is>
      </c>
      <c r="AL112" t="inlineStr">
        <is>
          <t>.</t>
        </is>
      </c>
    </row>
    <row r="113">
      <c r="A113" t="inlineStr"/>
      <c r="B113">
        <f>HYPERLINK("https://genome.ucsc.edu/cgi-bin/hgTracks?db=hg19&amp;position=chr1%3A237944699%2D237944699", "chr1:237944699")</f>
        <v/>
      </c>
      <c r="C113" t="inlineStr">
        <is>
          <t>chr1</t>
        </is>
      </c>
      <c r="D113" t="n">
        <v>237944699</v>
      </c>
      <c r="E113" t="n">
        <v>237944699</v>
      </c>
      <c r="F113" t="inlineStr">
        <is>
          <t>A</t>
        </is>
      </c>
      <c r="G113" t="inlineStr">
        <is>
          <t>G</t>
        </is>
      </c>
      <c r="H113" t="inlineStr">
        <is>
          <t>64.64</t>
        </is>
      </c>
      <c r="I113" t="inlineStr">
        <is>
          <t>6</t>
        </is>
      </c>
      <c r="J113" t="inlineStr">
        <is>
          <t>4,2</t>
        </is>
      </c>
      <c r="K113" t="inlineStr">
        <is>
          <t>.</t>
        </is>
      </c>
      <c r="L113" t="inlineStr">
        <is>
          <t>.</t>
        </is>
      </c>
      <c r="M113">
        <f>HYPERLINK("https://www.genecards.org/Search/Keyword?queryString=%5Baliases%5D(%20RYR2%20)&amp;keywords=RYR2", "RYR2")</f>
        <v/>
      </c>
      <c r="N113" t="inlineStr">
        <is>
          <t>intronic</t>
        </is>
      </c>
      <c r="O113" t="inlineStr">
        <is>
          <t>.</t>
        </is>
      </c>
      <c r="P113" t="inlineStr">
        <is>
          <t>.</t>
        </is>
      </c>
      <c r="Q113" t="n">
        <v>-1</v>
      </c>
      <c r="R113" t="n">
        <v>-1</v>
      </c>
      <c r="S113" t="n">
        <v>-1</v>
      </c>
      <c r="T113" t="n">
        <v>-1</v>
      </c>
      <c r="U113" t="n">
        <v>-1</v>
      </c>
      <c r="V113" t="inlineStr">
        <is>
          <t>.</t>
        </is>
      </c>
      <c r="W113" t="inlineStr">
        <is>
          <t>.</t>
        </is>
      </c>
      <c r="X113" t="inlineStr">
        <is>
          <t>D</t>
        </is>
      </c>
      <c r="Y113" t="inlineStr">
        <is>
          <t>off</t>
        </is>
      </c>
      <c r="Z113" t="inlineStr">
        <is>
          <t>.</t>
        </is>
      </c>
      <c r="AA113" t="inlineStr">
        <is>
          <t>.</t>
        </is>
      </c>
      <c r="AB113" t="inlineStr">
        <is>
          <t>.</t>
        </is>
      </c>
      <c r="AC113" t="inlineStr">
        <is>
          <t>.</t>
        </is>
      </c>
      <c r="AD113" t="inlineStr">
        <is>
          <t>2</t>
        </is>
      </c>
      <c r="AE113" t="inlineStr">
        <is>
          <t>0.999999934433848</t>
        </is>
      </c>
      <c r="AF113" t="inlineStr">
        <is>
          <t>ryanodine receptor 2</t>
        </is>
      </c>
      <c r="AG113" t="inlineStr">
        <is>
          <t xml:space="preserve">FUNCTION: Calcium channel that mediates the release of Ca(2+) from the sarcoplasmic reticulum into the cytoplasm and thereby plays a key role in triggering cardiac muscle contraction. Aberrant channel activation can lead to cardiac arrhythmia. In cardiac myocytes, calcium release is triggered by increased Ca(2+) levels due to activation of the L-type calcium channel CACNA1C. The calcium channel activity is modulated by formation of heterotetramers with RYR3. Required for cellular calcium ion homeostasis. Required for embryonic heart development. {ECO:0000269|PubMed:10830164, ECO:0000269|PubMed:20056922}.; </t>
        </is>
      </c>
      <c r="AH113" t="inlineStr">
        <is>
          <t xml:space="preserve">DISEASE: Arrhythmogenic right ventricular dysplasia, familial, 2 (ARVD2) [MIM:600996]: A congenital heart disease characterized by infiltration of adipose and fibrous tissue into the right ventricle and loss of myocardial cells, resulting in ventricular and supraventricular arrhythmias. {ECO:0000269|PubMed:11159936}. Note=The disease is caused by mutations affecting the gene represented in this entry.; DISEASE: Ventricular tachycardia, catecholaminergic polymorphic, 1, with or without atrial dysfunction and/or dilated cardiomyopathy (CPVT1) [MIM:604772]: An arrhythmogenic disorder characterized by stress-induced, bidirectional ventricular tachycardia that may degenerate into cardiac arrest and cause sudden death. Patients present with recurrent syncope, seizures, or sudden death after physical activity or emotional stress. {ECO:0000269|PubMed:11157710, ECO:0000269|PubMed:12093772, ECO:0000269|PubMed:12106942, ECO:0000269|PubMed:15046072, ECO:0000269|PubMed:15046073, ECO:0000269|PubMed:15466642, ECO:0000269|PubMed:15544015}. Note=The disease is caused by mutations affecting the gene represented in this entry.; </t>
        </is>
      </c>
      <c r="AI113" t="inlineStr">
        <is>
          <t>.</t>
        </is>
      </c>
      <c r="AJ113" t="inlineStr">
        <is>
          <t>.</t>
        </is>
      </c>
      <c r="AK113" t="inlineStr">
        <is>
          <t>.</t>
        </is>
      </c>
      <c r="AL113" t="inlineStr">
        <is>
          <t>.</t>
        </is>
      </c>
    </row>
    <row r="114">
      <c r="A114" t="inlineStr"/>
      <c r="B114">
        <f>HYPERLINK("https://genome.ucsc.edu/cgi-bin/hgTracks?db=hg19&amp;position=chr1%3A243858956%2D243858956", "chr1:243858956")</f>
        <v/>
      </c>
      <c r="C114" t="inlineStr">
        <is>
          <t>chr1</t>
        </is>
      </c>
      <c r="D114" t="n">
        <v>243858956</v>
      </c>
      <c r="E114" t="n">
        <v>243858956</v>
      </c>
      <c r="F114" t="inlineStr">
        <is>
          <t>C</t>
        </is>
      </c>
      <c r="G114" t="inlineStr">
        <is>
          <t>A</t>
        </is>
      </c>
      <c r="H114" t="inlineStr">
        <is>
          <t>618.64</t>
        </is>
      </c>
      <c r="I114" t="inlineStr">
        <is>
          <t>115</t>
        </is>
      </c>
      <c r="J114" t="inlineStr">
        <is>
          <t>85,30</t>
        </is>
      </c>
      <c r="K114" t="inlineStr">
        <is>
          <t>.</t>
        </is>
      </c>
      <c r="L114" t="inlineStr">
        <is>
          <t>.</t>
        </is>
      </c>
      <c r="M114">
        <f>HYPERLINK("https://www.genecards.org/Search/Keyword?queryString=%5Baliases%5D(%20AKT3%20)&amp;keywords=AKT3", "AKT3")</f>
        <v/>
      </c>
      <c r="N114" t="inlineStr">
        <is>
          <t>exonic</t>
        </is>
      </c>
      <c r="O114" t="inlineStr">
        <is>
          <t>stopgain</t>
        </is>
      </c>
      <c r="P114" t="inlineStr">
        <is>
          <t>AKT3:NM_181690:exon2:c.G109T:p.G37X,AKT3:NM_001206729:exon3:c.G109T:p.G37X,AKT3:NM_001370074:exon3:c.G109T:p.G37X,AKT3:NM_005465:exon3:c.G109T:p.G37X;AKT3:uc001hzz.1:exon2:c.G109T:p.G37X,AKT3:uc001iab.2:exon2:c.G109T:p.G37X,AKT3:uc021plu.1:exon3:c.G109T:p.G37X;AKT3:ENST00000336199.9_4:exon2:c.G109T:p.G37X,AKT3:ENST00000492957.2_4:exon2:c.G109T:p.G37X,AKT3:ENST00000263826.12_6:exon3:c.G109T:p.G37X,AKT3:ENST00000366539.6_4:exon3:c.G109T:p.G37X,AKT3:ENST00000366540.5_4:exon3:c.G109T:p.G37X,AKT3:ENST00000672238.1_4:exon3:c.G109T:p.G37X,AKT3:ENST00000673400.1_4:exon3:c.G109T:p.G37X,AKT3:ENST00000673466.1_4:exon3:c.G109T:p.G37X</t>
        </is>
      </c>
      <c r="Q114" t="n">
        <v>-1</v>
      </c>
      <c r="R114" t="n">
        <v>-1</v>
      </c>
      <c r="S114" t="n">
        <v>-1</v>
      </c>
      <c r="T114" t="n">
        <v>-1</v>
      </c>
      <c r="U114" t="n">
        <v>-1</v>
      </c>
      <c r="V114" t="inlineStr">
        <is>
          <t>3/3</t>
        </is>
      </c>
      <c r="W114" t="inlineStr">
        <is>
          <t>.</t>
        </is>
      </c>
      <c r="X114" t="inlineStr">
        <is>
          <t>.</t>
        </is>
      </c>
      <c r="Y114" t="inlineStr">
        <is>
          <t>.</t>
        </is>
      </c>
      <c r="Z114" t="inlineStr">
        <is>
          <t>5/7</t>
        </is>
      </c>
      <c r="AA114" t="inlineStr">
        <is>
          <t>Pathogenic</t>
        </is>
      </c>
      <c r="AB114" t="inlineStr">
        <is>
          <t>.</t>
        </is>
      </c>
      <c r="AC114" t="inlineStr">
        <is>
          <t>0/1</t>
        </is>
      </c>
      <c r="AD114" t="inlineStr">
        <is>
          <t>1</t>
        </is>
      </c>
      <c r="AE114" t="inlineStr">
        <is>
          <t>0.99958539864029</t>
        </is>
      </c>
      <c r="AF114" t="inlineStr">
        <is>
          <t>v-akt murine thymoma viral oncogene homolog 3</t>
        </is>
      </c>
      <c r="AG114" t="inlineStr">
        <is>
          <t xml:space="preserve">FUNCTION: AKT3 is one of 3 closely related serine/threonine- protein kinases (AKT1, AKT2 and AKT3) called the AKT kinase, and which regulate many processes including metabolism, proliferation, cell survival, growth and angiogenesis. This is mediated through serine and/or threonine phosphorylation of a range of downstream substrates. Over 100 substrate candidates have been reported so far, but for most of them, no isoform specificity has been reported. AKT3 is the least studied AKT isoform. It plays an important role in brain development and is crucial for the viability of malignant glioma cells. AKT3 isoform may also be the key molecule in up-regulation and down-regulation of MMP13 via IL13. Required for the coordination of mitochondrial biogenesis with growth factor-induced increases in cellular energy demands. Down-regulation by RNA interference reduces the expression of the phosphorylated form of BAD, resulting in the induction of caspase- dependent apoptosis. {ECO:0000269|PubMed:18524868, ECO:0000269|PubMed:21191416}.; </t>
        </is>
      </c>
      <c r="AH114" t="inlineStr">
        <is>
          <t xml:space="preserve">DISEASE: Note=AKT3 is a key modulator of several tumors like melanoma, glioma and ovarian cancer. Active AKT3 increases progressively during melanoma tumor progression with highest levels present in advanced-stage metastatic melanomas. Promotes melanoma tumorigenesis by decreasing apoptosis. Plays a key role in the genesis of ovarian cancers through modulation of G2/M phase transition. With AKT2, plays a pivotal role in the biology of glioblastoma.; DISEASE: Megalencephaly-polymicrogyria-polydactyly-hydrocephalus syndrome 2 (MPPH2) [MIM:615937]: A syndrome characterized by megalencephaly, hydrocephalus, and polymicrogyria; polydactyly may also be seen. There is considerable phenotypic similarity between this disorder and the megalencephaly-capillary malformation syndrome. {ECO:0000269|PubMed:22500628, ECO:0000269|PubMed:22729223, ECO:0000269|PubMed:22729224}. Note=The disease is caused by mutations affecting the gene represented in this entry.; </t>
        </is>
      </c>
      <c r="AI114" t="inlineStr">
        <is>
          <t>.</t>
        </is>
      </c>
      <c r="AJ114" t="inlineStr">
        <is>
          <t>.</t>
        </is>
      </c>
      <c r="AK114" t="inlineStr">
        <is>
          <t>.</t>
        </is>
      </c>
      <c r="AL114" t="inlineStr">
        <is>
          <t>.</t>
        </is>
      </c>
    </row>
    <row r="115">
      <c r="A115" t="inlineStr"/>
      <c r="B115">
        <f>HYPERLINK("https://genome.ucsc.edu/cgi-bin/hgTracks?db=hg19&amp;position=chr1%3A246797101%2D246797101", "chr1:246797101")</f>
        <v/>
      </c>
      <c r="C115" t="inlineStr">
        <is>
          <t>chr1</t>
        </is>
      </c>
      <c r="D115" t="n">
        <v>246797101</v>
      </c>
      <c r="E115" t="n">
        <v>246797101</v>
      </c>
      <c r="F115" t="inlineStr">
        <is>
          <t>A</t>
        </is>
      </c>
      <c r="G115" t="inlineStr">
        <is>
          <t>G</t>
        </is>
      </c>
      <c r="H115" t="inlineStr">
        <is>
          <t>130.64</t>
        </is>
      </c>
      <c r="I115" t="inlineStr">
        <is>
          <t>7</t>
        </is>
      </c>
      <c r="J115" t="inlineStr">
        <is>
          <t>3,4</t>
        </is>
      </c>
      <c r="K115" t="inlineStr">
        <is>
          <t>.</t>
        </is>
      </c>
      <c r="L115">
        <f>HYPERLINK("https://www.ncbi.nlm.nih.gov/snp/rs115654638", "rs115654638")</f>
        <v/>
      </c>
      <c r="M115">
        <f>HYPERLINK("https://www.genecards.org/Search/Keyword?queryString=%5Baliases%5D(%20CNST%20)&amp;keywords=CNST", "CNST")</f>
        <v/>
      </c>
      <c r="N115" t="inlineStr">
        <is>
          <t>intronic</t>
        </is>
      </c>
      <c r="O115" t="inlineStr">
        <is>
          <t>.</t>
        </is>
      </c>
      <c r="P115" t="inlineStr">
        <is>
          <t>.</t>
        </is>
      </c>
      <c r="Q115" t="n">
        <v>0.0179</v>
      </c>
      <c r="R115" t="n">
        <v>0.0185</v>
      </c>
      <c r="S115" t="n">
        <v>0.0176</v>
      </c>
      <c r="T115" t="n">
        <v>-1</v>
      </c>
      <c r="U115" t="n">
        <v>0.0216</v>
      </c>
      <c r="V115" t="inlineStr">
        <is>
          <t>.</t>
        </is>
      </c>
      <c r="W115" t="inlineStr">
        <is>
          <t>.</t>
        </is>
      </c>
      <c r="X115" t="inlineStr">
        <is>
          <t>D</t>
        </is>
      </c>
      <c r="Y115" t="inlineStr">
        <is>
          <t>off</t>
        </is>
      </c>
      <c r="Z115" t="inlineStr">
        <is>
          <t>.</t>
        </is>
      </c>
      <c r="AA115" t="inlineStr">
        <is>
          <t>.</t>
        </is>
      </c>
      <c r="AB115" t="inlineStr">
        <is>
          <t>.</t>
        </is>
      </c>
      <c r="AC115" t="inlineStr">
        <is>
          <t>0/1</t>
        </is>
      </c>
      <c r="AD115" t="inlineStr">
        <is>
          <t>2</t>
        </is>
      </c>
      <c r="AE115" t="inlineStr">
        <is>
          <t>0.925062821549835</t>
        </is>
      </c>
      <c r="AF115" t="inlineStr">
        <is>
          <t>consortin, connexin sorting protein</t>
        </is>
      </c>
      <c r="AG115" t="inlineStr">
        <is>
          <t xml:space="preserve">FUNCTION: Required for targeting of connexins to the plasma membrane. {ECO:0000269|PubMed:19864490}.; </t>
        </is>
      </c>
      <c r="AH115" t="inlineStr">
        <is>
          <t>.</t>
        </is>
      </c>
      <c r="AI115" t="inlineStr">
        <is>
          <t>.</t>
        </is>
      </c>
      <c r="AJ115" t="inlineStr">
        <is>
          <t>.</t>
        </is>
      </c>
      <c r="AK115" t="inlineStr">
        <is>
          <t>.</t>
        </is>
      </c>
      <c r="AL115" t="inlineStr">
        <is>
          <t>.</t>
        </is>
      </c>
    </row>
    <row r="116">
      <c r="A116" t="inlineStr"/>
      <c r="B116">
        <f>HYPERLINK("https://genome.ucsc.edu/cgi-bin/hgTracks?db=hg19&amp;position=chr1%3A246797425%2D246797425", "chr1:246797425")</f>
        <v/>
      </c>
      <c r="C116" t="inlineStr">
        <is>
          <t>chr1</t>
        </is>
      </c>
      <c r="D116" t="n">
        <v>246797425</v>
      </c>
      <c r="E116" t="n">
        <v>246797425</v>
      </c>
      <c r="F116" t="inlineStr">
        <is>
          <t>A</t>
        </is>
      </c>
      <c r="G116" t="inlineStr">
        <is>
          <t>G</t>
        </is>
      </c>
      <c r="H116" t="inlineStr">
        <is>
          <t>652.64</t>
        </is>
      </c>
      <c r="I116" t="inlineStr">
        <is>
          <t>24</t>
        </is>
      </c>
      <c r="J116" t="inlineStr">
        <is>
          <t>5,19</t>
        </is>
      </c>
      <c r="K116" t="inlineStr">
        <is>
          <t>.</t>
        </is>
      </c>
      <c r="L116">
        <f>HYPERLINK("https://www.ncbi.nlm.nih.gov/snp/rs116240447", "rs116240447")</f>
        <v/>
      </c>
      <c r="M116">
        <f>HYPERLINK("https://www.genecards.org/Search/Keyword?queryString=%5Baliases%5D(%20CNST%20)&amp;keywords=CNST", "CNST")</f>
        <v/>
      </c>
      <c r="N116" t="inlineStr">
        <is>
          <t>intronic</t>
        </is>
      </c>
      <c r="O116" t="inlineStr">
        <is>
          <t>.</t>
        </is>
      </c>
      <c r="P116" t="inlineStr">
        <is>
          <t>.</t>
        </is>
      </c>
      <c r="Q116" t="n">
        <v>0.0179</v>
      </c>
      <c r="R116" t="n">
        <v>0.0186</v>
      </c>
      <c r="S116" t="n">
        <v>0.0177</v>
      </c>
      <c r="T116" t="n">
        <v>-1</v>
      </c>
      <c r="U116" t="n">
        <v>0.0217</v>
      </c>
      <c r="V116" t="inlineStr">
        <is>
          <t>.</t>
        </is>
      </c>
      <c r="W116" t="inlineStr">
        <is>
          <t>.</t>
        </is>
      </c>
      <c r="X116" t="inlineStr">
        <is>
          <t>D</t>
        </is>
      </c>
      <c r="Y116" t="inlineStr">
        <is>
          <t>off</t>
        </is>
      </c>
      <c r="Z116" t="inlineStr">
        <is>
          <t>.</t>
        </is>
      </c>
      <c r="AA116" t="inlineStr">
        <is>
          <t>.</t>
        </is>
      </c>
      <c r="AB116" t="inlineStr">
        <is>
          <t>.</t>
        </is>
      </c>
      <c r="AC116" t="inlineStr">
        <is>
          <t>0/1</t>
        </is>
      </c>
      <c r="AD116" t="inlineStr">
        <is>
          <t>2</t>
        </is>
      </c>
      <c r="AE116" t="inlineStr">
        <is>
          <t>0.925062821549835</t>
        </is>
      </c>
      <c r="AF116" t="inlineStr">
        <is>
          <t>consortin, connexin sorting protein</t>
        </is>
      </c>
      <c r="AG116" t="inlineStr">
        <is>
          <t xml:space="preserve">FUNCTION: Required for targeting of connexins to the plasma membrane. {ECO:0000269|PubMed:19864490}.; </t>
        </is>
      </c>
      <c r="AH116" t="inlineStr">
        <is>
          <t>.</t>
        </is>
      </c>
      <c r="AI116" t="inlineStr">
        <is>
          <t>.</t>
        </is>
      </c>
      <c r="AJ116" t="inlineStr">
        <is>
          <t>.</t>
        </is>
      </c>
      <c r="AK116" t="inlineStr">
        <is>
          <t>.</t>
        </is>
      </c>
      <c r="AL116" t="inlineStr">
        <is>
          <t>.</t>
        </is>
      </c>
    </row>
    <row r="117">
      <c r="A117" t="inlineStr"/>
      <c r="B117">
        <f>HYPERLINK("https://genome.ucsc.edu/cgi-bin/hgTracks?db=hg19&amp;position=chr1%3A246927869%2D246927869", "chr1:246927869")</f>
        <v/>
      </c>
      <c r="C117" t="inlineStr">
        <is>
          <t>chr1</t>
        </is>
      </c>
      <c r="D117" t="n">
        <v>246927869</v>
      </c>
      <c r="E117" t="n">
        <v>246927869</v>
      </c>
      <c r="F117" t="inlineStr">
        <is>
          <t>T</t>
        </is>
      </c>
      <c r="G117" t="inlineStr">
        <is>
          <t>G</t>
        </is>
      </c>
      <c r="H117" t="inlineStr">
        <is>
          <t>58.64</t>
        </is>
      </c>
      <c r="I117" t="inlineStr">
        <is>
          <t>8</t>
        </is>
      </c>
      <c r="J117" t="inlineStr">
        <is>
          <t>6,2</t>
        </is>
      </c>
      <c r="K117" t="inlineStr">
        <is>
          <t>.</t>
        </is>
      </c>
      <c r="L117" t="inlineStr">
        <is>
          <t>.</t>
        </is>
      </c>
      <c r="M117">
        <f>HYPERLINK("https://www.genecards.org/Search/Keyword?queryString=%5Baliases%5D(%20SCCPDH%20)&amp;keywords=SCCPDH", "SCCPDH")</f>
        <v/>
      </c>
      <c r="N117" t="inlineStr">
        <is>
          <t>intronic</t>
        </is>
      </c>
      <c r="O117" t="inlineStr">
        <is>
          <t>.</t>
        </is>
      </c>
      <c r="P117" t="inlineStr">
        <is>
          <t>.</t>
        </is>
      </c>
      <c r="Q117" t="n">
        <v>-1</v>
      </c>
      <c r="R117" t="n">
        <v>-1</v>
      </c>
      <c r="S117" t="n">
        <v>-1</v>
      </c>
      <c r="T117" t="n">
        <v>-1</v>
      </c>
      <c r="U117" t="n">
        <v>-1</v>
      </c>
      <c r="V117" t="inlineStr">
        <is>
          <t>.</t>
        </is>
      </c>
      <c r="W117" t="inlineStr">
        <is>
          <t>.</t>
        </is>
      </c>
      <c r="X117" t="inlineStr">
        <is>
          <t>PD</t>
        </is>
      </c>
      <c r="Y117" t="inlineStr">
        <is>
          <t>off</t>
        </is>
      </c>
      <c r="Z117" t="inlineStr">
        <is>
          <t>.</t>
        </is>
      </c>
      <c r="AA117" t="inlineStr">
        <is>
          <t>.</t>
        </is>
      </c>
      <c r="AB117" t="inlineStr">
        <is>
          <t>.</t>
        </is>
      </c>
      <c r="AC117" t="inlineStr">
        <is>
          <t>.</t>
        </is>
      </c>
      <c r="AD117" t="inlineStr">
        <is>
          <t>1</t>
        </is>
      </c>
      <c r="AE117" t="inlineStr">
        <is>
          <t>0.0119007027684187</t>
        </is>
      </c>
      <c r="AF117" t="inlineStr">
        <is>
          <t>saccharopine dehydrogenase (putative)</t>
        </is>
      </c>
      <c r="AG117" t="inlineStr">
        <is>
          <t>.</t>
        </is>
      </c>
      <c r="AH117" t="inlineStr">
        <is>
          <t>.</t>
        </is>
      </c>
      <c r="AI117" t="inlineStr">
        <is>
          <t>.</t>
        </is>
      </c>
      <c r="AJ117" t="inlineStr">
        <is>
          <t>.</t>
        </is>
      </c>
      <c r="AK117" t="inlineStr">
        <is>
          <t>.</t>
        </is>
      </c>
      <c r="AL117" t="inlineStr">
        <is>
          <t>.</t>
        </is>
      </c>
    </row>
    <row r="118">
      <c r="A118" t="inlineStr"/>
      <c r="B118">
        <f>HYPERLINK("https://genome.ucsc.edu/cgi-bin/hgTracks?db=hg19&amp;position=chr1%3A247586377%2D247586377", "chr1:247586377")</f>
        <v/>
      </c>
      <c r="C118" t="inlineStr">
        <is>
          <t>chr1</t>
        </is>
      </c>
      <c r="D118" t="n">
        <v>247586377</v>
      </c>
      <c r="E118" t="n">
        <v>247586377</v>
      </c>
      <c r="F118" t="inlineStr">
        <is>
          <t>T</t>
        </is>
      </c>
      <c r="G118" t="inlineStr">
        <is>
          <t>C</t>
        </is>
      </c>
      <c r="H118" t="inlineStr">
        <is>
          <t>31.64</t>
        </is>
      </c>
      <c r="I118" t="inlineStr">
        <is>
          <t>11</t>
        </is>
      </c>
      <c r="J118" t="inlineStr">
        <is>
          <t>9,2</t>
        </is>
      </c>
      <c r="K118" t="inlineStr">
        <is>
          <t>.</t>
        </is>
      </c>
      <c r="L118" t="inlineStr">
        <is>
          <t>.</t>
        </is>
      </c>
      <c r="M118">
        <f>HYPERLINK("https://www.genecards.org/Search/Keyword?queryString=%5Baliases%5D(%20NLRP3%20)&amp;keywords=NLRP3", "NLRP3")</f>
        <v/>
      </c>
      <c r="N118" t="inlineStr">
        <is>
          <t>intronic;ncRNA_intronic</t>
        </is>
      </c>
      <c r="O118" t="inlineStr">
        <is>
          <t>.</t>
        </is>
      </c>
      <c r="P118" t="inlineStr">
        <is>
          <t>.</t>
        </is>
      </c>
      <c r="Q118" t="n">
        <v>-1</v>
      </c>
      <c r="R118" t="n">
        <v>-1</v>
      </c>
      <c r="S118" t="n">
        <v>-1</v>
      </c>
      <c r="T118" t="n">
        <v>-1</v>
      </c>
      <c r="U118" t="n">
        <v>-1</v>
      </c>
      <c r="V118" t="inlineStr">
        <is>
          <t>.</t>
        </is>
      </c>
      <c r="W118" t="inlineStr">
        <is>
          <t>.</t>
        </is>
      </c>
      <c r="X118" t="inlineStr">
        <is>
          <t>B</t>
        </is>
      </c>
      <c r="Y118" t="inlineStr">
        <is>
          <t>off</t>
        </is>
      </c>
      <c r="Z118" t="inlineStr">
        <is>
          <t>.</t>
        </is>
      </c>
      <c r="AA118" t="inlineStr">
        <is>
          <t>.</t>
        </is>
      </c>
      <c r="AB118" t="inlineStr">
        <is>
          <t>.</t>
        </is>
      </c>
      <c r="AC118" t="inlineStr">
        <is>
          <t>0/1</t>
        </is>
      </c>
      <c r="AD118" t="inlineStr">
        <is>
          <t>1</t>
        </is>
      </c>
      <c r="AE118" t="inlineStr">
        <is>
          <t>0.447262679111629</t>
        </is>
      </c>
      <c r="AF118" t="inlineStr">
        <is>
          <t>NLR family, pyrin domain containing 3</t>
        </is>
      </c>
      <c r="AG118" t="inlineStr">
        <is>
          <t xml:space="preserve">FUNCTION: As the sensor component of the NLRP3 inflammasome, plays a crucial role in innate immunity and inflammation. In response to pathogens and other damage-associated signals, initiates the formation of the inflammasome polymeric complex, made of NLRP3, PYCARD and CASP1 (and possibly CASP4 and CASP5). Recruitement of proCASP1 to the inflammasome promotes its activation and CASP1- catalyzed IL1B and IL18 maturation and secretion in the extracellular milieu. Activation of NLRP3 inflammasome is also required for HMGB1 secretion (PubMed:22801494). The active cytokines and HMGB1 stimulate inflammatory responses. Inflammasomes can also induce pyroptosis, an inflammatory form of programmed cell death. Under resting conditions, NLRP3 is autoinhibited. NLRP3 activation stimuli include extracellular ATP, reactive oxygen species, K(+) efflux, crystals of monosodium urate or cholesterol, beta-amyloid fibers, environmental or industrial particles and nanoparticles, etc. However, it is unclear what constitutes the direct NLRP3 activator. Independently of inflammasome activation, regulates the differentiation of T helper 2 (Th2) cells and has a role in Th2 cell-dependent asthma and tumor growth (By similarity). During Th2 differentiation, required for optimal IRF4 binding to IL4 promoter and for IRF4-dependent IL4 transcription. Binds to the consensus DNA sequence 5'- GRRGGNRGAG-3'. May also participate in the transcription of IL5, IL13, GATA3, CCR3, CCR4 and MAF (By similarity). {ECO:0000250|UniProtKB:Q8R4B8, ECO:0000269|PubMed:22801494, ECO:0000305|PubMed:23305783}.; </t>
        </is>
      </c>
      <c r="AH118" t="inlineStr">
        <is>
          <t xml:space="preserve">DISEASE: Familial cold autoinflammatory syndrome 1 (FCAS1) [MIM:120100]: A rare autosomal dominant systemic inflammatory disease characterized by recurrent episodes of maculopapular rash associated with arthralgias, myalgias, fever and chills, swelling of the extremities, and conjunctivitis after generalized exposure to cold. Rarely, some patients may also develop late-onset renal amyloidosis. {ECO:0000269|PubMed:11687797, ECO:0000269|PubMed:11992256, ECO:0000269|PubMed:12355493, ECO:0000269|PubMed:12522564, ECO:0000269|PubMed:15593220, ECO:0000269|PubMed:17284928, ECO:0000269|PubMed:24952504}. Note=The disease is caused by mutations affecting the gene represented in this entry.; DISEASE: Muckle-Wells syndrome (MWS) [MIM:191900]: A hereditary periodic fever syndrome characterized by fever, chronic recurrent urticaria, arthralgias, progressive sensorineural deafness, and reactive renal amyloidosis. The disease may be severe if generalized reactive amyloidosis occurs. {ECO:0000269|PubMed:11687797, ECO:0000269|PubMed:11992256, ECO:0000269|PubMed:12355493, ECO:0000269|PubMed:15593220, ECO:0000269|PubMed:24952504}. Note=The disease is caused by mutations affecting the gene represented in this entry.; DISEASE: Chronic infantile neurologic cutaneous and articular syndrome (CINCA) [MIM:607115]: Rare congenital inflammatory disorder characterized by a triad of neonatal onset of cutaneous symptoms, chronic meningitis, and joint manifestations with recurrent fever and inflammation. {ECO:0000269|PubMed:12032915, ECO:0000269|PubMed:12483741, ECO:0000269|PubMed:14630794, ECO:0000269|PubMed:15231984, ECO:0000269|PubMed:15334500, ECO:0000269|PubMed:15593220, ECO:0000269|PubMed:24952504}. Note=The disease is caused by mutations affecting the gene represented in this entry.; </t>
        </is>
      </c>
      <c r="AI118" t="inlineStr">
        <is>
          <t>.</t>
        </is>
      </c>
      <c r="AJ118" t="inlineStr">
        <is>
          <t>.</t>
        </is>
      </c>
      <c r="AK118" t="inlineStr">
        <is>
          <t>.</t>
        </is>
      </c>
      <c r="AL118" t="inlineStr">
        <is>
          <t>.</t>
        </is>
      </c>
    </row>
    <row r="119">
      <c r="A119" t="inlineStr"/>
      <c r="B119">
        <f>HYPERLINK("https://genome.ucsc.edu/cgi-bin/hgTracks?db=hg19&amp;position=chr1%3A248437002%2D248437002", "chr1:248437002")</f>
        <v/>
      </c>
      <c r="C119" t="inlineStr">
        <is>
          <t>chr1</t>
        </is>
      </c>
      <c r="D119" t="n">
        <v>248437002</v>
      </c>
      <c r="E119" t="n">
        <v>248437002</v>
      </c>
      <c r="F119" t="inlineStr">
        <is>
          <t>C</t>
        </is>
      </c>
      <c r="G119" t="inlineStr">
        <is>
          <t>A</t>
        </is>
      </c>
      <c r="H119" t="inlineStr">
        <is>
          <t>496.64</t>
        </is>
      </c>
      <c r="I119" t="inlineStr">
        <is>
          <t>148</t>
        </is>
      </c>
      <c r="J119" t="inlineStr">
        <is>
          <t>115,33</t>
        </is>
      </c>
      <c r="K119" t="inlineStr">
        <is>
          <t>.</t>
        </is>
      </c>
      <c r="L119" t="inlineStr">
        <is>
          <t>.</t>
        </is>
      </c>
      <c r="M119">
        <f>HYPERLINK("https://www.genecards.org/Search/Keyword?queryString=%5Baliases%5D(%20OR2T33%20)&amp;keywords=OR2T33", "OR2T33")</f>
        <v/>
      </c>
      <c r="N119" t="inlineStr">
        <is>
          <t>exonic</t>
        </is>
      </c>
      <c r="O119" t="inlineStr">
        <is>
          <t>nonsynonymous SNV</t>
        </is>
      </c>
      <c r="P119" t="inlineStr">
        <is>
          <t>OR2T33:NM_001004695:exon1:c.G115T:p.G39C;OR2T33:uc010pzi.2:exon1:c.G115T:p.G39C;OR2T33:ENST00000318021.4_4:exon1:c.G115T:p.G39C,OR2T33:ENST00000641220.1_6:exon2:c.G115T:p.G39C</t>
        </is>
      </c>
      <c r="Q119" t="n">
        <v>-1</v>
      </c>
      <c r="R119" t="n">
        <v>-1</v>
      </c>
      <c r="S119" t="n">
        <v>-1</v>
      </c>
      <c r="T119" t="n">
        <v>-1</v>
      </c>
      <c r="U119" t="n">
        <v>-1</v>
      </c>
      <c r="V119" t="inlineStr">
        <is>
          <t>5/11</t>
        </is>
      </c>
      <c r="W119" t="inlineStr">
        <is>
          <t>.</t>
        </is>
      </c>
      <c r="X119" t="inlineStr">
        <is>
          <t>.</t>
        </is>
      </c>
      <c r="Y119" t="inlineStr">
        <is>
          <t>.</t>
        </is>
      </c>
      <c r="Z119" t="inlineStr">
        <is>
          <t>0/7</t>
        </is>
      </c>
      <c r="AA119" t="inlineStr">
        <is>
          <t>Uncertain significance</t>
        </is>
      </c>
      <c r="AB119" t="inlineStr">
        <is>
          <t>.</t>
        </is>
      </c>
      <c r="AC119" t="inlineStr">
        <is>
          <t>0/1</t>
        </is>
      </c>
      <c r="AD119" t="inlineStr">
        <is>
          <t>1</t>
        </is>
      </c>
      <c r="AE119" t="inlineStr">
        <is>
          <t>0.0164922028007124</t>
        </is>
      </c>
      <c r="AF119" t="inlineStr">
        <is>
          <t>olfactory receptor family 2 subfamily T member 33</t>
        </is>
      </c>
      <c r="AG119" t="inlineStr">
        <is>
          <t xml:space="preserve">FUNCTION: Odorant receptor. {ECO:0000305}.; </t>
        </is>
      </c>
      <c r="AH119" t="inlineStr">
        <is>
          <t>.</t>
        </is>
      </c>
      <c r="AI119" t="inlineStr">
        <is>
          <t>GenotypeConflict</t>
        </is>
      </c>
      <c r="AJ119" t="inlineStr">
        <is>
          <t>.</t>
        </is>
      </c>
      <c r="AK119" t="inlineStr">
        <is>
          <t>.</t>
        </is>
      </c>
      <c r="AL119" t="inlineStr">
        <is>
          <t>NGS_HighStringency</t>
        </is>
      </c>
    </row>
    <row r="120">
      <c r="A120" t="inlineStr"/>
      <c r="B120">
        <f>HYPERLINK("https://genome.ucsc.edu/cgi-bin/hgTracks?db=hg19&amp;position=chr1%3A248616292%2D248616292", "chr1:248616292")</f>
        <v/>
      </c>
      <c r="C120" t="inlineStr">
        <is>
          <t>chr1</t>
        </is>
      </c>
      <c r="D120" t="n">
        <v>248616292</v>
      </c>
      <c r="E120" t="n">
        <v>248616292</v>
      </c>
      <c r="F120" t="inlineStr">
        <is>
          <t>G</t>
        </is>
      </c>
      <c r="G120" t="inlineStr">
        <is>
          <t>T</t>
        </is>
      </c>
      <c r="H120" t="inlineStr">
        <is>
          <t>234.64</t>
        </is>
      </c>
      <c r="I120" t="inlineStr">
        <is>
          <t>190</t>
        </is>
      </c>
      <c r="J120" t="inlineStr">
        <is>
          <t>162,28</t>
        </is>
      </c>
      <c r="K120" t="inlineStr">
        <is>
          <t>.</t>
        </is>
      </c>
      <c r="L120">
        <f>HYPERLINK("https://www.ncbi.nlm.nih.gov/snp/rs139514933", "rs139514933")</f>
        <v/>
      </c>
      <c r="M120">
        <f>HYPERLINK("https://www.genecards.org/Search/Keyword?queryString=%5Baliases%5D(%20OR2T2%20)&amp;keywords=OR2T2", "OR2T2")</f>
        <v/>
      </c>
      <c r="N120" t="inlineStr">
        <is>
          <t>exonic</t>
        </is>
      </c>
      <c r="O120" t="inlineStr">
        <is>
          <t>nonsynonymous SNV</t>
        </is>
      </c>
      <c r="P120" t="inlineStr">
        <is>
          <t>OR2T2:NM_001004136:exon1:c.G194T:p.S65I;OR2T2:uc001iek.1:exon1:c.G194T:p.S65I;OR2T2:ENST00000642130.1_4:exon3:c.G194T:p.S65I,OR2T2:ENST00000641925.2_5:exon4:c.G194T:p.S65I</t>
        </is>
      </c>
      <c r="Q120" t="n">
        <v>0.017241</v>
      </c>
      <c r="R120" t="n">
        <v>0.005</v>
      </c>
      <c r="S120" t="n">
        <v>0.0048</v>
      </c>
      <c r="T120" t="n">
        <v>-1</v>
      </c>
      <c r="U120" t="n">
        <v>0.0052</v>
      </c>
      <c r="V120" t="inlineStr">
        <is>
          <t>5/10</t>
        </is>
      </c>
      <c r="W120" t="inlineStr">
        <is>
          <t>.</t>
        </is>
      </c>
      <c r="X120" t="inlineStr">
        <is>
          <t>.</t>
        </is>
      </c>
      <c r="Y120" t="inlineStr">
        <is>
          <t>.</t>
        </is>
      </c>
      <c r="Z120" t="inlineStr">
        <is>
          <t>0/7</t>
        </is>
      </c>
      <c r="AA120" t="inlineStr">
        <is>
          <t>Uncertain significance</t>
        </is>
      </c>
      <c r="AB120" t="inlineStr">
        <is>
          <t>.</t>
        </is>
      </c>
      <c r="AC120" t="inlineStr">
        <is>
          <t>0/1</t>
        </is>
      </c>
      <c r="AD120" t="inlineStr">
        <is>
          <t>1</t>
        </is>
      </c>
      <c r="AE120" t="inlineStr">
        <is>
          <t>0.692627480778694</t>
        </is>
      </c>
      <c r="AF120" t="inlineStr">
        <is>
          <t>olfactory receptor family 2 subfamily T member 2</t>
        </is>
      </c>
      <c r="AG120" t="inlineStr">
        <is>
          <t xml:space="preserve">FUNCTION: Odorant receptor. {ECO:0000305}.; </t>
        </is>
      </c>
      <c r="AH120" t="inlineStr">
        <is>
          <t>.</t>
        </is>
      </c>
      <c r="AI120" t="inlineStr">
        <is>
          <t>.</t>
        </is>
      </c>
      <c r="AJ120" t="inlineStr">
        <is>
          <t>.</t>
        </is>
      </c>
      <c r="AK120" t="inlineStr">
        <is>
          <t>.</t>
        </is>
      </c>
      <c r="AL120" t="inlineStr">
        <is>
          <t>NGS_HighStringency</t>
        </is>
      </c>
    </row>
    <row r="121">
      <c r="A121" t="inlineStr"/>
      <c r="B121">
        <f>HYPERLINK("https://genome.ucsc.edu/cgi-bin/hgTracks?db=hg19&amp;position=chr10%3A15058863%2D15058865", "chr10:15058863")</f>
        <v/>
      </c>
      <c r="C121" t="inlineStr">
        <is>
          <t>chr10</t>
        </is>
      </c>
      <c r="D121" t="n">
        <v>15058863</v>
      </c>
      <c r="E121" t="n">
        <v>15058865</v>
      </c>
      <c r="F121" t="inlineStr">
        <is>
          <t>AAA</t>
        </is>
      </c>
      <c r="G121" t="inlineStr">
        <is>
          <t>-</t>
        </is>
      </c>
      <c r="H121" t="inlineStr">
        <is>
          <t>138.60</t>
        </is>
      </c>
      <c r="I121" t="inlineStr">
        <is>
          <t>24</t>
        </is>
      </c>
      <c r="J121" t="inlineStr">
        <is>
          <t>7,4</t>
        </is>
      </c>
      <c r="K121" t="inlineStr">
        <is>
          <t>.</t>
        </is>
      </c>
      <c r="L121">
        <f>HYPERLINK("https://www.ncbi.nlm.nih.gov/snp/rs752084087", "rs752084087")</f>
        <v/>
      </c>
      <c r="M121">
        <f>HYPERLINK("https://www.genecards.org/Search/Keyword?queryString=%5Baliases%5D(%20ACBD7%20)%20OR%20%5Baliases%5D(%20ACBD7-DCLRE1CP1%20)%20OR%20%5Baliases%5D(%20DCLRE1C%20)%20OR%20%5Baliases%5D(%20DCLRE1CP1%20)&amp;keywords=ACBD7,ACBD7-DCLRE1CP1,DCLRE1C,DCLRE1CP1", "ACBD7;ACBD7-DCLRE1CP1;DCLRE1C;DCLRE1CP1")</f>
        <v/>
      </c>
      <c r="N121" t="inlineStr">
        <is>
          <t>intergenic;intronic;ncRNA_intronic</t>
        </is>
      </c>
      <c r="O121" t="inlineStr">
        <is>
          <t>.</t>
        </is>
      </c>
      <c r="P121" t="inlineStr">
        <is>
          <t>dist=44007;dist=27077</t>
        </is>
      </c>
      <c r="Q121" t="n">
        <v>0.0131111</v>
      </c>
      <c r="R121" t="n">
        <v>-1</v>
      </c>
      <c r="S121" t="n">
        <v>-1</v>
      </c>
      <c r="T121" t="n">
        <v>-1</v>
      </c>
      <c r="U121" t="n">
        <v>-1</v>
      </c>
      <c r="V121" t="inlineStr">
        <is>
          <t>.</t>
        </is>
      </c>
      <c r="W121" t="inlineStr">
        <is>
          <t>.</t>
        </is>
      </c>
      <c r="X121" t="inlineStr">
        <is>
          <t>.</t>
        </is>
      </c>
      <c r="Y121" t="inlineStr">
        <is>
          <t>.</t>
        </is>
      </c>
      <c r="Z121" t="inlineStr">
        <is>
          <t>.</t>
        </is>
      </c>
      <c r="AA121" t="inlineStr">
        <is>
          <t>.</t>
        </is>
      </c>
      <c r="AB121" t="inlineStr">
        <is>
          <t>.</t>
        </is>
      </c>
      <c r="AC121" t="inlineStr">
        <is>
          <t>0/1</t>
        </is>
      </c>
      <c r="AD121" t="inlineStr">
        <is>
          <t>1;1;1;1</t>
        </is>
      </c>
      <c r="AE121" t="inlineStr">
        <is>
          <t>0.00286935735912744;0.0863366080379718</t>
        </is>
      </c>
      <c r="AF121" t="inlineStr">
        <is>
          <t>DNA cross-link repair 1C;DNA cross-link repair 1C pseudogene 1;acyl-CoA binding domain containing 7</t>
        </is>
      </c>
      <c r="AG121" t="inlineStr">
        <is>
          <t xml:space="preserve">FUNCTION: Binds medium- and long-chain acyl-CoA esters.; ;FUNCTION: Required for V(D)J recombination, the process by which exons encoding the antigen-binding domains of immunoglobulins and T-cell receptor proteins are assembled from individual V, (D), and J gene segments. V(D)J recombination is initiated by the lymphoid specific RAG endonuclease complex, which generates site specific DNA double strand breaks (DSBs). These DSBs present two types of DNA end structures: hairpin sealed coding ends and phosphorylated blunt signal ends. These ends are independently repaired by the non homologous end joining (NHEJ) pathway to form coding and signal joints respectively. This protein exhibits single-strand specific 5'-3' exonuclease activity in isolation and acquires endonucleolytic activity on 5' and 3' hairpins and overhangs when in a complex with PRKDC. The latter activity is required specifically for the resolution of closed hairpins prior to the formation of the coding joint. May also be required for the repair of complex DSBs induced by ionizing radiation, which require substantial end-processing prior to religation by NHEJ. {ECO:0000269|PubMed:11336668, ECO:0000269|PubMed:11955432, ECO:0000269|PubMed:12055248, ECO:0000269|PubMed:14744996, ECO:0000269|PubMed:15071507, ECO:0000269|PubMed:15456891, ECO:0000269|PubMed:15468306, ECO:0000269|PubMed:15574326, ECO:0000269|PubMed:15574327, ECO:0000269|PubMed:15811628, ECO:0000269|PubMed:15936993}.; </t>
        </is>
      </c>
      <c r="AH121" t="inlineStr">
        <is>
          <t xml:space="preserve">DISEASE: Severe combined immunodeficiency autosomal recessive T- cell-negative/B-cell-negative/NK-cell-positive with sensitivity to ionizing radiation (RSSCID) [MIM:602450]: A form of severe combined immunodeficiency, a genetically and clinically heterogeneous group of rare congenital disorders characterized by impairment of both humoral and cell-mediated immunity, leukopenia, and low or absent antibody levels. Patients present in infancy with recurrent, persistent infections by opportunistic organisms. The common characteristic of all types of SCID is absence of T- cell-mediated cellular immunity due to a defect in T-cell development. Individuals affected by RS-SCID show defects in the DNA repair machinery necessary for coding joint formation and the completion of V(D)J recombination. A subset of cells from such patients show increased radiosensitivity. {ECO:0000269|PubMed:11336668, ECO:0000269|PubMed:12406895, ECO:0000269|PubMed:12569164, ECO:0000269|PubMed:12592555, ECO:0000269|PubMed:12921762}. Note=The disease is caused by mutations affecting the gene represented in this entry.; DISEASE: Severe combined immunodeficiency Athabaskan type (SCIDA) [MIM:602450]: A variety of SCID with sensitivity to ionizing radiation. A founder mutation has been detected in Athabascan- speaking native Americans, being inherited as an autosomal recessive trait. Affected individuals exhibit clinical symptoms and defects in DNA repair comparable to those seen in RS-SCID. {ECO:0000269|PubMed:12055248}. Note=The disease is caused by mutations affecting the gene represented in this entry.; DISEASE: Omenn syndrome (OS) [MIM:603554]: Severe immunodeficiency characterized by the presence of activated, anergic, oligoclonal T-cells, hypereosinophilia, and high IgE levels. {ECO:0000269|PubMed:15731174}. Note=The disease is caused by mutations affecting the gene represented in this entry.; </t>
        </is>
      </c>
      <c r="AI121" t="inlineStr">
        <is>
          <t>.</t>
        </is>
      </c>
      <c r="AJ121" t="inlineStr">
        <is>
          <t>.</t>
        </is>
      </c>
      <c r="AK121" t="inlineStr">
        <is>
          <t>.</t>
        </is>
      </c>
      <c r="AL121" t="inlineStr">
        <is>
          <t>.</t>
        </is>
      </c>
    </row>
    <row r="122">
      <c r="A122" t="inlineStr"/>
      <c r="B122">
        <f>HYPERLINK("https://genome.ucsc.edu/cgi-bin/hgTracks?db=hg19&amp;position=chr10%3A18828671%2D18828671", "chr10:18828671")</f>
        <v/>
      </c>
      <c r="C122" t="inlineStr">
        <is>
          <t>chr10</t>
        </is>
      </c>
      <c r="D122" t="n">
        <v>18828671</v>
      </c>
      <c r="E122" t="n">
        <v>18828671</v>
      </c>
      <c r="F122" t="inlineStr">
        <is>
          <t>T</t>
        </is>
      </c>
      <c r="G122" t="inlineStr">
        <is>
          <t>-</t>
        </is>
      </c>
      <c r="H122" t="inlineStr">
        <is>
          <t>1258.02</t>
        </is>
      </c>
      <c r="I122" t="inlineStr">
        <is>
          <t>78</t>
        </is>
      </c>
      <c r="J122" t="inlineStr">
        <is>
          <t>12,34,23</t>
        </is>
      </c>
      <c r="K122" t="inlineStr">
        <is>
          <t>.</t>
        </is>
      </c>
      <c r="L122" t="inlineStr">
        <is>
          <t>.</t>
        </is>
      </c>
      <c r="M122">
        <f>HYPERLINK("https://www.genecards.org/Search/Keyword?queryString=%5Baliases%5D(%20CACNB2%20)%20OR%20%5Baliases%5D(%20U80764%20)&amp;keywords=CACNB2,U80764", "CACNB2;U80764")</f>
        <v/>
      </c>
      <c r="N122" t="inlineStr">
        <is>
          <t>UTR3;ncRNA_intronic</t>
        </is>
      </c>
      <c r="O122" t="inlineStr">
        <is>
          <t>.</t>
        </is>
      </c>
      <c r="P122" t="inlineStr">
        <is>
          <t>NM_201593:c.*18delT;NM_201596:c.*18delT;NM_001167945:c.*18delT;NM_201597:c.*18delT;NM_201572:c.*18delT;NM_201571:c.*18delT;NM_000724:c.*18delT;NM_001330060:c.*18delT;NM_201590:c.*18delT;NM_201570:c.*18delT</t>
        </is>
      </c>
      <c r="Q122" t="n">
        <v>-1</v>
      </c>
      <c r="R122" t="n">
        <v>-1</v>
      </c>
      <c r="S122" t="n">
        <v>-1</v>
      </c>
      <c r="T122" t="n">
        <v>-1</v>
      </c>
      <c r="U122" t="n">
        <v>-1</v>
      </c>
      <c r="V122" t="inlineStr">
        <is>
          <t>.</t>
        </is>
      </c>
      <c r="W122" t="inlineStr">
        <is>
          <t>.</t>
        </is>
      </c>
      <c r="X122" t="inlineStr">
        <is>
          <t>.</t>
        </is>
      </c>
      <c r="Y122" t="inlineStr">
        <is>
          <t>.</t>
        </is>
      </c>
      <c r="Z122" t="inlineStr">
        <is>
          <t>.</t>
        </is>
      </c>
      <c r="AA122" t="inlineStr">
        <is>
          <t>.</t>
        </is>
      </c>
      <c r="AB122" t="inlineStr">
        <is>
          <t>.</t>
        </is>
      </c>
      <c r="AC122" t="inlineStr">
        <is>
          <t>1/2</t>
        </is>
      </c>
      <c r="AD122" t="inlineStr">
        <is>
          <t>1;1</t>
        </is>
      </c>
      <c r="AE122" t="inlineStr">
        <is>
          <t>0.00182033784193924</t>
        </is>
      </c>
      <c r="AF122" t="inlineStr">
        <is>
          <t>calcium voltage-gated channel auxiliary subunit beta 2</t>
        </is>
      </c>
      <c r="AG122" t="inlineStr">
        <is>
          <t xml:space="preserve">FUNCTION: The beta subunit of voltage-dependent calcium channels contributes to the function of the calcium channel by increasing peak calcium current, shifting the voltage dependencies of activation and inactivation, modulating G protein inhibition and controlling the alpha-1 subunit membrane targeting.; </t>
        </is>
      </c>
      <c r="AH122" t="inlineStr">
        <is>
          <t xml:space="preserve">DISEASE: Brugada syndrome 4 (BRGDA4) [MIM:611876]: A heart disease characterized by the association of Brugada syndrome with shortened QT intervals. Brugada syndrome is a tachyarrhythmia characterized by right bundle branch block and ST segment elevation on an electrocardiogram (ECG). It can cause the ventricles to beat so fast that the blood is prevented from circulating efficiently in the body. When this situation occurs, the individual will faint and may die in a few minutes if the heart is not reset. {ECO:0000269|PubMed:17224476}. Note=The disease is caused by mutations affecting the gene represented in this entry.; </t>
        </is>
      </c>
      <c r="AI122" t="inlineStr">
        <is>
          <t>.</t>
        </is>
      </c>
      <c r="AJ122" t="inlineStr">
        <is>
          <t>.</t>
        </is>
      </c>
      <c r="AK122" t="inlineStr">
        <is>
          <t>.</t>
        </is>
      </c>
      <c r="AL122" t="inlineStr">
        <is>
          <t>.</t>
        </is>
      </c>
    </row>
    <row r="123">
      <c r="A123" t="inlineStr"/>
      <c r="B123">
        <f>HYPERLINK("https://genome.ucsc.edu/cgi-bin/hgTracks?db=hg19&amp;position=chr10%3A24908528%2D24908528", "chr10:24908528")</f>
        <v/>
      </c>
      <c r="C123" t="inlineStr">
        <is>
          <t>chr10</t>
        </is>
      </c>
      <c r="D123" t="n">
        <v>24908528</v>
      </c>
      <c r="E123" t="n">
        <v>24908528</v>
      </c>
      <c r="F123" t="inlineStr">
        <is>
          <t>C</t>
        </is>
      </c>
      <c r="G123" t="inlineStr">
        <is>
          <t>T</t>
        </is>
      </c>
      <c r="H123" t="inlineStr">
        <is>
          <t>1617.64</t>
        </is>
      </c>
      <c r="I123" t="inlineStr">
        <is>
          <t>116</t>
        </is>
      </c>
      <c r="J123" t="inlineStr">
        <is>
          <t>52,64</t>
        </is>
      </c>
      <c r="K123" t="inlineStr">
        <is>
          <t>.</t>
        </is>
      </c>
      <c r="L123">
        <f>HYPERLINK("https://www.ncbi.nlm.nih.gov/snp/rs61758699", "rs61758699")</f>
        <v/>
      </c>
      <c r="M123">
        <f>HYPERLINK("https://www.genecards.org/Search/Keyword?queryString=%5Baliases%5D(%20ARHGAP21%20)&amp;keywords=ARHGAP21", "ARHGAP21")</f>
        <v/>
      </c>
      <c r="N123" t="inlineStr">
        <is>
          <t>exonic</t>
        </is>
      </c>
      <c r="O123" t="inlineStr">
        <is>
          <t>nonsynonymous SNV</t>
        </is>
      </c>
      <c r="P123" t="inlineStr">
        <is>
          <t>ARHGAP21:NM_001367455:exon2:c.G1657A:p.G553R,ARHGAP21:NM_001367452:exon6:c.G1825A:p.G609R,ARHGAP21:NM_001367447:exon8:c.G2266A:p.G756R,ARHGAP21:NM_001367451:exon8:c.G2266A:p.G756R,ARHGAP21:NM_001367453:exon8:c.G2266A:p.G756R,ARHGAP21:NM_001367448:exon9:c.G2296A:p.G766R,ARHGAP21:NM_001367454:exon9:c.G2296A:p.G766R,ARHGAP21:NM_020824:exon9:c.G2296A:p.G766R,ARHGAP21:NM_001367449:exon10:c.G2002A:p.G668R,ARHGAP21:NM_001367450:exon11:c.G2002A:p.G668R;ARHGAP21:uc010qdc.1:exon3:c.G1801A:p.G601R,ARHGAP21:uc001isc.1:exon7:c.G2266A:p.G756R,ARHGAP21:uc001isb.2:exon9:c.G2296A:p.G766R,ARHGAP21:uc009xkl.1:exon9:c.G2296A:p.G766R;ARHGAP21:ENST00000636789.1_4:exon2:c.G1657A:p.G553R,ARHGAP21:ENST00000376410.7_4:exon8:c.G2266A:p.G756R,ARHGAP21:ENST00000680286.1_3:exon8:c.G2317A:p.G773R,ARHGAP21:ENST00000396432.7_6:exon9:c.G2296A:p.G766R</t>
        </is>
      </c>
      <c r="Q123" t="n">
        <v>0.008</v>
      </c>
      <c r="R123" t="n">
        <v>0.0076</v>
      </c>
      <c r="S123" t="n">
        <v>0.0074</v>
      </c>
      <c r="T123" t="n">
        <v>-1</v>
      </c>
      <c r="U123" t="n">
        <v>0.008500000000000001</v>
      </c>
      <c r="V123" t="inlineStr">
        <is>
          <t>5/11</t>
        </is>
      </c>
      <c r="W123" t="inlineStr">
        <is>
          <t>.</t>
        </is>
      </c>
      <c r="X123" t="inlineStr">
        <is>
          <t>.</t>
        </is>
      </c>
      <c r="Y123" t="inlineStr">
        <is>
          <t>.</t>
        </is>
      </c>
      <c r="Z123" t="inlineStr">
        <is>
          <t>3/7</t>
        </is>
      </c>
      <c r="AA123" t="inlineStr">
        <is>
          <t>Uncertain significance</t>
        </is>
      </c>
      <c r="AB123" t="inlineStr">
        <is>
          <t>Likely_benign</t>
        </is>
      </c>
      <c r="AC123" t="inlineStr">
        <is>
          <t>0/1</t>
        </is>
      </c>
      <c r="AD123" t="inlineStr">
        <is>
          <t>1</t>
        </is>
      </c>
      <c r="AE123" t="inlineStr">
        <is>
          <t>0.999946673207153</t>
        </is>
      </c>
      <c r="AF123" t="inlineStr">
        <is>
          <t>Rho GTPase activating protein 21</t>
        </is>
      </c>
      <c r="AG123" t="inlineStr">
        <is>
          <t xml:space="preserve">FUNCTION: Functions as a GTPase-activating protein (GAP) for RHOA and CDC42. Downstream partner of ARF1 which may control Golgi apparatus structure and function. Also required for CTNNA1 recruitment to adherens junctions. {ECO:0000269|PubMed:15793564, ECO:0000269|PubMed:16184169}.; </t>
        </is>
      </c>
      <c r="AH123" t="inlineStr">
        <is>
          <t>.</t>
        </is>
      </c>
      <c r="AI123" t="inlineStr">
        <is>
          <t>.</t>
        </is>
      </c>
      <c r="AJ123" t="inlineStr">
        <is>
          <t>.</t>
        </is>
      </c>
      <c r="AK123" t="inlineStr">
        <is>
          <t>.</t>
        </is>
      </c>
      <c r="AL123" t="inlineStr">
        <is>
          <t>NGS_HighStringency</t>
        </is>
      </c>
    </row>
    <row r="124">
      <c r="A124" t="inlineStr"/>
      <c r="B124">
        <f>HYPERLINK("https://genome.ucsc.edu/cgi-bin/hgTracks?db=hg19&amp;position=chr10%3A30315418%2D30315418", "chr10:30315418")</f>
        <v/>
      </c>
      <c r="C124" t="inlineStr">
        <is>
          <t>chr10</t>
        </is>
      </c>
      <c r="D124" t="n">
        <v>30315418</v>
      </c>
      <c r="E124" t="n">
        <v>30315418</v>
      </c>
      <c r="F124" t="inlineStr">
        <is>
          <t>A</t>
        </is>
      </c>
      <c r="G124" t="inlineStr">
        <is>
          <t>G</t>
        </is>
      </c>
      <c r="H124" t="inlineStr">
        <is>
          <t>468.64</t>
        </is>
      </c>
      <c r="I124" t="inlineStr">
        <is>
          <t>43</t>
        </is>
      </c>
      <c r="J124" t="inlineStr">
        <is>
          <t>27,16</t>
        </is>
      </c>
      <c r="K124" t="inlineStr">
        <is>
          <t>.</t>
        </is>
      </c>
      <c r="L124" t="inlineStr">
        <is>
          <t>.</t>
        </is>
      </c>
      <c r="M124">
        <f>HYPERLINK("https://www.genecards.org/Search/Keyword?queryString=%5Baliases%5D(%20JCAD%20)%20OR%20%5Baliases%5D(%20KIAA1462%20)&amp;keywords=JCAD,KIAA1462", "JCAD;KIAA1462")</f>
        <v/>
      </c>
      <c r="N124" t="inlineStr">
        <is>
          <t>exonic</t>
        </is>
      </c>
      <c r="O124" t="inlineStr">
        <is>
          <t>nonsynonymous SNV</t>
        </is>
      </c>
      <c r="P124" t="inlineStr">
        <is>
          <t>JCAD:NM_020848:exon3:c.T3659C:p.V1220A,JCAD:NM_001350001:exon4:c.T3245C:p.V1082A,JCAD:NM_001350021:exon4:c.T3245C:p.V1082A,JCAD:NM_001350022:exon4:c.T3659C:p.V1220A;KIAA1462:uc001iux.3:exon3:c.T3659C:p.V1220A,KIAA1462:uc009xle.2:exon3:c.T3659C:p.V1220A,KIAA1462:uc001iuz.3:exon4:c.T3245C:p.V1082A;JCAD:ENST00000375377.2_5:exon3:c.T3659C:p.V1220A</t>
        </is>
      </c>
      <c r="Q124" t="n">
        <v>-1</v>
      </c>
      <c r="R124" t="n">
        <v>-1</v>
      </c>
      <c r="S124" t="n">
        <v>-1</v>
      </c>
      <c r="T124" t="n">
        <v>-1</v>
      </c>
      <c r="U124" t="n">
        <v>-1</v>
      </c>
      <c r="V124" t="inlineStr">
        <is>
          <t>3/12</t>
        </is>
      </c>
      <c r="W124" t="inlineStr">
        <is>
          <t>.</t>
        </is>
      </c>
      <c r="X124" t="inlineStr">
        <is>
          <t>.</t>
        </is>
      </c>
      <c r="Y124" t="inlineStr">
        <is>
          <t>.</t>
        </is>
      </c>
      <c r="Z124" t="inlineStr">
        <is>
          <t>3/7</t>
        </is>
      </c>
      <c r="AA124" t="inlineStr">
        <is>
          <t>Uncertain significance</t>
        </is>
      </c>
      <c r="AB124" t="inlineStr">
        <is>
          <t>.</t>
        </is>
      </c>
      <c r="AC124" t="inlineStr">
        <is>
          <t>0/1</t>
        </is>
      </c>
      <c r="AD124" t="inlineStr">
        <is>
          <t>1;1</t>
        </is>
      </c>
      <c r="AE124" t="inlineStr">
        <is>
          <t>0.104293752088672</t>
        </is>
      </c>
      <c r="AF124" t="inlineStr">
        <is>
          <t>KIAA1462</t>
        </is>
      </c>
      <c r="AG124" t="inlineStr">
        <is>
          <t>.</t>
        </is>
      </c>
      <c r="AH124" t="inlineStr">
        <is>
          <t>.</t>
        </is>
      </c>
      <c r="AI124" t="inlineStr">
        <is>
          <t>.</t>
        </is>
      </c>
      <c r="AJ124" t="inlineStr">
        <is>
          <t>.</t>
        </is>
      </c>
      <c r="AK124" t="inlineStr">
        <is>
          <t>.</t>
        </is>
      </c>
      <c r="AL124" t="inlineStr">
        <is>
          <t>.</t>
        </is>
      </c>
    </row>
    <row r="125">
      <c r="A125" t="inlineStr"/>
      <c r="B125">
        <f>HYPERLINK("https://genome.ucsc.edu/cgi-bin/hgTracks?db=hg19&amp;position=chr10%3A50686400%2D50686400", "chr10:50686400")</f>
        <v/>
      </c>
      <c r="C125" t="inlineStr">
        <is>
          <t>chr10</t>
        </is>
      </c>
      <c r="D125" t="n">
        <v>50686400</v>
      </c>
      <c r="E125" t="n">
        <v>50686400</v>
      </c>
      <c r="F125" t="inlineStr">
        <is>
          <t>C</t>
        </is>
      </c>
      <c r="G125" t="inlineStr">
        <is>
          <t>T</t>
        </is>
      </c>
      <c r="H125" t="inlineStr">
        <is>
          <t>329.64</t>
        </is>
      </c>
      <c r="I125" t="inlineStr">
        <is>
          <t>91</t>
        </is>
      </c>
      <c r="J125" t="inlineStr">
        <is>
          <t>69,22</t>
        </is>
      </c>
      <c r="K125" t="inlineStr">
        <is>
          <t>.</t>
        </is>
      </c>
      <c r="L125" t="inlineStr">
        <is>
          <t>.</t>
        </is>
      </c>
      <c r="M125">
        <f>HYPERLINK("https://www.genecards.org/Search/Keyword?queryString=%5Baliases%5D(%20ERCC6%20)&amp;keywords=ERCC6", "ERCC6")</f>
        <v/>
      </c>
      <c r="N125" t="inlineStr">
        <is>
          <t>exonic</t>
        </is>
      </c>
      <c r="O125" t="inlineStr">
        <is>
          <t>synonymous SNV</t>
        </is>
      </c>
      <c r="P125" t="inlineStr">
        <is>
          <t>ERCC6:NM_000124:exon11:c.G2286A:p.Q762Q,ERCC6:NM_001346440:exon11:c.G2286A:p.Q762Q;ERCC6:uc010qgr.3:exon5:c.G396A:p.Q132Q,ERCC6:uc001jhr.5:exon6:c.G486A:p.Q162Q,ERCC6:uc001jhs.5:exon11:c.G2286A:p.Q762Q;ERCC6:ENST00000681659.1_1:exon10:c.G2127A:p.Q709Q,ERCC6:ENST00000355832.10_6:exon11:c.G2286A:p.Q762Q</t>
        </is>
      </c>
      <c r="Q125" t="n">
        <v>-1</v>
      </c>
      <c r="R125" t="n">
        <v>-1</v>
      </c>
      <c r="S125" t="n">
        <v>-1</v>
      </c>
      <c r="T125" t="n">
        <v>-1</v>
      </c>
      <c r="U125" t="n">
        <v>-1</v>
      </c>
      <c r="V125" t="inlineStr">
        <is>
          <t>.</t>
        </is>
      </c>
      <c r="W125" t="inlineStr">
        <is>
          <t>D</t>
        </is>
      </c>
      <c r="X125" t="inlineStr">
        <is>
          <t>.</t>
        </is>
      </c>
      <c r="Y125" t="inlineStr">
        <is>
          <t>.</t>
        </is>
      </c>
      <c r="Z125" t="inlineStr">
        <is>
          <t>.</t>
        </is>
      </c>
      <c r="AA125" t="inlineStr">
        <is>
          <t>Uncertain significance</t>
        </is>
      </c>
      <c r="AB125" t="inlineStr">
        <is>
          <t>.</t>
        </is>
      </c>
      <c r="AC125" t="inlineStr">
        <is>
          <t>0/1</t>
        </is>
      </c>
      <c r="AD125" t="inlineStr">
        <is>
          <t>1</t>
        </is>
      </c>
      <c r="AE125" t="inlineStr">
        <is>
          <t>5.00691675988158e-13</t>
        </is>
      </c>
      <c r="AF125" t="inlineStr">
        <is>
          <t>excision repair cross-complementation group 6</t>
        </is>
      </c>
      <c r="AG125" t="inlineStr">
        <is>
          <t xml:space="preserve">FUNCTION: Essential factor involved in transcription-coupled nucleotide excision repair which allows RNA polymerase II-blocking lesions to be rapidly removed from the transcribed strand of active genes. Upon DNA-binding, it locally modifies DNA conformation by wrapping the DNA around itself, thereby modifying the interface between stalled RNA polymerase II and DNA. It is required for transcription-coupled repair complex formation. It recruits the CSA complex (DCX(ERCC8) complex), nucleotide excision repair proteins and EP300 to the at sites of RNA polymerase II- blocking lesions. {ECO:0000269|PubMed:15548521, ECO:0000269|PubMed:16916636, ECO:0000269|PubMed:20541997}.; </t>
        </is>
      </c>
      <c r="AH125" t="inlineStr">
        <is>
          <t xml:space="preserve">DISEASE: Cockayne syndrome B (CSB) [MIM:133540]: A rare disorder characterized by cutaneous sensitivity to sunlight, abnormal and slow growth, cachectic dwarfism, progeroid appearance, progressive pigmentary retinopathy and sensorineural deafness. There is delayed neural development and severe progressive neurologic degeneration resulting in mental retardation. Two clinical forms are recognized: in the classical form or Cockayne syndrome type 1, the symptoms are progressive and typically become apparent within the first few years or life; the less common Cockayne syndrome type 2 is characterized by more severe symptoms that manifest prenatally. Cockayne syndrome shows some overlap with certain forms of xeroderma pigmentosum. Unlike xeroderma pigmentosum, patients with Cockayne syndrome do not manifest increased freckling and other pigmentation abnormalities in the skin and have no significant increase in skin cancer. {ECO:0000269|PubMed:19894250, ECO:0000269|PubMed:9443879}. Note=The disease is caused by mutations affecting the gene represented in this entry.; DISEASE: Cerebro-oculo-facio-skeletal syndrome 1 (COFS1) [MIM:214150]: A disorder of prenatal onset characterized by microcephaly, congenital cataracts, facial dysmorphism, neurogenic arthrogryposis, growth failure and severe psychomotor retardation. COFS is considered to be part of the nucleotide-excision repair disorders spectrum that include also xeroderma pigmentosum, trichothiodystrophy and Cockayne syndrome. {ECO:0000269|PubMed:19894250}. Note=The disease is caused by mutations affecting the gene represented in this entry.; DISEASE: De Sanctis-Cacchione syndrome (DSC) [MIM:278800]: An autosomal recessive syndrome consisting of xeroderma pigmentosum associated with severe neurological and developmental involvement. In addition to the clinical signs of xeroderma pigmentosum, patients present with mental retardation, dwarfism, gonadal hypoplasia, microcephaly and various neurologic complications of early onset. Note=The disease is caused by mutations affecting the gene represented in this entry.; DISEASE: Macular degeneration, age-related, 5 (ARMD5) [MIM:613761]: A form of age-related macular degeneration, a multifactorial eye disease and the most common cause of irreversible vision loss in the developed world. In most patients, the disease is manifest as ophthalmoscopically visible yellowish accumulations of protein and lipid that lie beneath the retinal pigment epithelium and within an elastin-containing structure known as Bruch membrane. {ECO:0000269|PubMed:16754848}. Note=Disease susceptibility is associated with variations affecting the gene represented in this entry.; DISEASE: UV-sensitive syndrome 1 (UVSS1) [MIM:600630]: An autosomal recessive disorder characterized by cutaneous photosensitivity and mild freckling in the absence of neurological abnormalities or skin tumors. {ECO:0000269|PubMed:15486090}. Note=The disease is caused by mutations affecting the gene represented in this entry.; </t>
        </is>
      </c>
      <c r="AI125" t="inlineStr">
        <is>
          <t>.</t>
        </is>
      </c>
      <c r="AJ125" t="inlineStr">
        <is>
          <t>.</t>
        </is>
      </c>
      <c r="AK125" t="inlineStr">
        <is>
          <t>.</t>
        </is>
      </c>
      <c r="AL125" t="inlineStr">
        <is>
          <t>.</t>
        </is>
      </c>
    </row>
    <row r="126">
      <c r="A126" t="inlineStr"/>
      <c r="B126">
        <f>HYPERLINK("https://genome.ucsc.edu/cgi-bin/hgTracks?db=hg19&amp;position=chr10%3A50901917%2D50901917", "chr10:50901917")</f>
        <v/>
      </c>
      <c r="C126" t="inlineStr">
        <is>
          <t>chr10</t>
        </is>
      </c>
      <c r="D126" t="n">
        <v>50901917</v>
      </c>
      <c r="E126" t="n">
        <v>50901917</v>
      </c>
      <c r="F126" t="inlineStr">
        <is>
          <t>C</t>
        </is>
      </c>
      <c r="G126" t="inlineStr">
        <is>
          <t>A</t>
        </is>
      </c>
      <c r="H126" t="inlineStr">
        <is>
          <t>2294.64</t>
        </is>
      </c>
      <c r="I126" t="inlineStr">
        <is>
          <t>167</t>
        </is>
      </c>
      <c r="J126" t="inlineStr">
        <is>
          <t>73,94</t>
        </is>
      </c>
      <c r="K126" t="inlineStr">
        <is>
          <t>.</t>
        </is>
      </c>
      <c r="L126">
        <f>HYPERLINK("https://www.ncbi.nlm.nih.gov/snp/rs145689841", "rs145689841")</f>
        <v/>
      </c>
      <c r="M126">
        <f>HYPERLINK("https://www.genecards.org/Search/Keyword?queryString=%5Baliases%5D(%20C10orf53%20)&amp;keywords=C10orf53", "C10orf53")</f>
        <v/>
      </c>
      <c r="N126" t="inlineStr">
        <is>
          <t>exonic</t>
        </is>
      </c>
      <c r="O126" t="inlineStr">
        <is>
          <t>stopgain</t>
        </is>
      </c>
      <c r="P126" t="inlineStr">
        <is>
          <t>C10orf53:NM_001042427:exon2:c.C195A:p.C65X,C10orf53:NM_182554:exon2:c.C195A:p.C65X;C10orf53:uc001jib.3:exon2:c.C195A:p.C65X,C10orf53:uc001jic.1:exon2:c.C195A:p.C65X,C10orf53:uc001jid.1:exon2:c.C195A:p.C65X;C10orf53:ENST00000374111.8_3:exon2:c.C195A:p.C65X,C10orf53:ENST00000374112.7_1:exon2:c.C195A:p.C65X,C10orf53:ENST00000374113.3_1:exon2:c.C195A:p.C65X,C10orf53:ENST00000535836.1_1:exon2:c.C195A:p.C65X</t>
        </is>
      </c>
      <c r="Q126" t="n">
        <v>0.0036</v>
      </c>
      <c r="R126" t="n">
        <v>0.0038</v>
      </c>
      <c r="S126" t="n">
        <v>0.0034</v>
      </c>
      <c r="T126" t="n">
        <v>-1</v>
      </c>
      <c r="U126" t="n">
        <v>0.0036</v>
      </c>
      <c r="V126" t="inlineStr">
        <is>
          <t>3/3</t>
        </is>
      </c>
      <c r="W126" t="inlineStr">
        <is>
          <t>.</t>
        </is>
      </c>
      <c r="X126" t="inlineStr">
        <is>
          <t>.</t>
        </is>
      </c>
      <c r="Y126" t="inlineStr">
        <is>
          <t>.</t>
        </is>
      </c>
      <c r="Z126" t="inlineStr">
        <is>
          <t>0/7</t>
        </is>
      </c>
      <c r="AA126" t="inlineStr">
        <is>
          <t>Uncertain significance</t>
        </is>
      </c>
      <c r="AB126" t="inlineStr">
        <is>
          <t>.</t>
        </is>
      </c>
      <c r="AC126" t="inlineStr">
        <is>
          <t>0/1</t>
        </is>
      </c>
      <c r="AD126" t="inlineStr">
        <is>
          <t>1</t>
        </is>
      </c>
      <c r="AE126" t="inlineStr">
        <is>
          <t>0.00106876991334412</t>
        </is>
      </c>
      <c r="AF126" t="inlineStr">
        <is>
          <t>chromosome 10 open reading frame 53</t>
        </is>
      </c>
      <c r="AG126" t="inlineStr">
        <is>
          <t>.</t>
        </is>
      </c>
      <c r="AH126" t="inlineStr">
        <is>
          <t>.</t>
        </is>
      </c>
      <c r="AI126" t="inlineStr">
        <is>
          <t>.</t>
        </is>
      </c>
      <c r="AJ126" t="inlineStr">
        <is>
          <t>.</t>
        </is>
      </c>
      <c r="AK126" t="inlineStr">
        <is>
          <t>.</t>
        </is>
      </c>
      <c r="AL126" t="inlineStr">
        <is>
          <t>.</t>
        </is>
      </c>
    </row>
    <row r="127">
      <c r="A127" t="inlineStr"/>
      <c r="B127">
        <f>HYPERLINK("https://genome.ucsc.edu/cgi-bin/hgTracks?db=hg19&amp;position=chr10%3A64927837%2D64927837", "chr10:64927837")</f>
        <v/>
      </c>
      <c r="C127" t="inlineStr">
        <is>
          <t>chr10</t>
        </is>
      </c>
      <c r="D127" t="n">
        <v>64927837</v>
      </c>
      <c r="E127" t="n">
        <v>64927837</v>
      </c>
      <c r="F127" t="inlineStr">
        <is>
          <t>C</t>
        </is>
      </c>
      <c r="G127" t="inlineStr">
        <is>
          <t>T</t>
        </is>
      </c>
      <c r="H127" t="inlineStr">
        <is>
          <t>1094.64</t>
        </is>
      </c>
      <c r="I127" t="inlineStr">
        <is>
          <t>90</t>
        </is>
      </c>
      <c r="J127" t="inlineStr">
        <is>
          <t>44,46</t>
        </is>
      </c>
      <c r="K127" t="inlineStr">
        <is>
          <t>.</t>
        </is>
      </c>
      <c r="L127">
        <f>HYPERLINK("https://www.ncbi.nlm.nih.gov/snp/rs71508957", "rs71508957")</f>
        <v/>
      </c>
      <c r="M127">
        <f>HYPERLINK("https://www.genecards.org/Search/Keyword?queryString=%5Baliases%5D(%20JMJD1C%20)&amp;keywords=JMJD1C", "JMJD1C")</f>
        <v/>
      </c>
      <c r="N127" t="inlineStr">
        <is>
          <t>exonic</t>
        </is>
      </c>
      <c r="O127" t="inlineStr">
        <is>
          <t>nonsynonymous SNV</t>
        </is>
      </c>
      <c r="P127" t="inlineStr">
        <is>
          <t>JMJD1C:NM_001322254:exon24:c.G6934A:p.E2312K,JMJD1C:NM_001282948:exon25:c.G7045A:p.E2349K,JMJD1C:NM_001318153:exon25:c.G6727A:p.E2243K,JMJD1C:NM_001322252:exon25:c.G7477A:p.E2493K,JMJD1C:NM_001322258:exon25:c.G6934A:p.E2312K,JMJD1C:NM_001318154:exon26:c.G7045A:p.E2349K,JMJD1C:NM_032776:exon26:c.G7591A:p.E2531K;JMJD1C:uc001jml.3:exon23:c.G6880A:p.E2294K,JMJD1C:uc001jmm.3:exon25:c.G6727A:p.E2243K,JMJD1C:uc010qiq.2:exon25:c.G7045A:p.E2349K,JMJD1C:uc001jmn.3:exon26:c.G7591A:p.E2531K,JMJD1C:uc009xpi.3:exon27:c.G7045A:p.E2349K;JMJD1C:ENST00000542921.5_6:exon25:c.G7045A:p.E2349K,JMJD1C:ENST00000399262.7_9:exon26:c.G7591A:p.E2531K</t>
        </is>
      </c>
      <c r="Q127" t="n">
        <v>0.011364</v>
      </c>
      <c r="R127" t="n">
        <v>0.0051</v>
      </c>
      <c r="S127" t="n">
        <v>0.0066</v>
      </c>
      <c r="T127" t="n">
        <v>-1</v>
      </c>
      <c r="U127" t="n">
        <v>0.0027</v>
      </c>
      <c r="V127" t="inlineStr">
        <is>
          <t>6/10</t>
        </is>
      </c>
      <c r="W127" t="inlineStr">
        <is>
          <t>.</t>
        </is>
      </c>
      <c r="X127" t="inlineStr">
        <is>
          <t>.</t>
        </is>
      </c>
      <c r="Y127" t="inlineStr">
        <is>
          <t>.</t>
        </is>
      </c>
      <c r="Z127" t="inlineStr">
        <is>
          <t>4/7</t>
        </is>
      </c>
      <c r="AA127" t="inlineStr">
        <is>
          <t>Uncertain significance</t>
        </is>
      </c>
      <c r="AB127" t="inlineStr">
        <is>
          <t>Likely_benign</t>
        </is>
      </c>
      <c r="AC127" t="inlineStr">
        <is>
          <t>0/1</t>
        </is>
      </c>
      <c r="AD127" t="inlineStr">
        <is>
          <t>1</t>
        </is>
      </c>
      <c r="AE127" t="inlineStr">
        <is>
          <t>0.999999999962643</t>
        </is>
      </c>
      <c r="AF127" t="inlineStr">
        <is>
          <t>jumonji domain containing 1C</t>
        </is>
      </c>
      <c r="AG127" t="inlineStr">
        <is>
          <t xml:space="preserve">FUNCTION: Probable histone demethylase that specifically demethylates 'Lys-9' of histone H3, thereby playing a central role in histone code. Demethylation of Lys residue generates formaldehyde and succinate. May be involved in hormone-dependent transcriptional activation, by participating in recruitment to androgen-receptor target genes (By similarity). {ECO:0000250}.; </t>
        </is>
      </c>
      <c r="AH127" t="inlineStr">
        <is>
          <t>.</t>
        </is>
      </c>
      <c r="AI127" t="inlineStr">
        <is>
          <t>.</t>
        </is>
      </c>
      <c r="AJ127" t="inlineStr">
        <is>
          <t>.</t>
        </is>
      </c>
      <c r="AK127" t="inlineStr">
        <is>
          <t>.</t>
        </is>
      </c>
      <c r="AL127" t="inlineStr">
        <is>
          <t>.</t>
        </is>
      </c>
    </row>
    <row r="128">
      <c r="A128" t="inlineStr"/>
      <c r="B128">
        <f>HYPERLINK("https://genome.ucsc.edu/cgi-bin/hgTracks?db=hg19&amp;position=chr10%3A75676521%2D75676521", "chr10:75676521")</f>
        <v/>
      </c>
      <c r="C128" t="inlineStr">
        <is>
          <t>chr10</t>
        </is>
      </c>
      <c r="D128" t="n">
        <v>75676521</v>
      </c>
      <c r="E128" t="n">
        <v>75676521</v>
      </c>
      <c r="F128" t="inlineStr">
        <is>
          <t>T</t>
        </is>
      </c>
      <c r="G128" t="inlineStr">
        <is>
          <t>A</t>
        </is>
      </c>
      <c r="H128" t="inlineStr">
        <is>
          <t>502.64</t>
        </is>
      </c>
      <c r="I128" t="inlineStr">
        <is>
          <t>169</t>
        </is>
      </c>
      <c r="J128" t="inlineStr">
        <is>
          <t>134,35</t>
        </is>
      </c>
      <c r="K128" t="inlineStr">
        <is>
          <t>.</t>
        </is>
      </c>
      <c r="L128" t="inlineStr">
        <is>
          <t>.</t>
        </is>
      </c>
      <c r="M128">
        <f>HYPERLINK("https://www.genecards.org/Search/Keyword?queryString=%5Baliases%5D(%20C10orf55%20)%20OR%20%5Baliases%5D(%20PLAU%20)&amp;keywords=C10orf55,PLAU", "C10orf55;PLAU")</f>
        <v/>
      </c>
      <c r="N128" t="inlineStr">
        <is>
          <t>UTR3;ncRNA_intronic</t>
        </is>
      </c>
      <c r="O128" t="inlineStr">
        <is>
          <t>.</t>
        </is>
      </c>
      <c r="P128" t="inlineStr">
        <is>
          <t>uc010qkw.2:c.*198T&gt;A;uc001jwa.3:c.*198T&gt;A;uc010qkx.2:c.*198T&gt;A;uc001jwc.3:c.*198T&gt;A</t>
        </is>
      </c>
      <c r="Q128" t="n">
        <v>-1</v>
      </c>
      <c r="R128" t="n">
        <v>-1</v>
      </c>
      <c r="S128" t="n">
        <v>-1</v>
      </c>
      <c r="T128" t="n">
        <v>-1</v>
      </c>
      <c r="U128" t="n">
        <v>-1</v>
      </c>
      <c r="V128" t="inlineStr">
        <is>
          <t>.</t>
        </is>
      </c>
      <c r="W128" t="inlineStr">
        <is>
          <t>.</t>
        </is>
      </c>
      <c r="X128" t="inlineStr">
        <is>
          <t>.</t>
        </is>
      </c>
      <c r="Y128" t="inlineStr">
        <is>
          <t>.</t>
        </is>
      </c>
      <c r="Z128" t="inlineStr">
        <is>
          <t>.</t>
        </is>
      </c>
      <c r="AA128" t="inlineStr">
        <is>
          <t>.</t>
        </is>
      </c>
      <c r="AB128" t="inlineStr">
        <is>
          <t>.</t>
        </is>
      </c>
      <c r="AC128" t="inlineStr">
        <is>
          <t>0/1</t>
        </is>
      </c>
      <c r="AD128" t="inlineStr">
        <is>
          <t>1;1</t>
        </is>
      </c>
      <c r="AE128" t="inlineStr">
        <is>
          <t>0.00055026957460409;0.00506563580969443</t>
        </is>
      </c>
      <c r="AF128" t="inlineStr">
        <is>
          <t>chromosome 10 open reading frame 55;plasminogen activator, urokinase</t>
        </is>
      </c>
      <c r="AG128" t="inlineStr">
        <is>
          <t xml:space="preserve">FUNCTION: Specifically cleaves the zymogen plasminogen to form the active enzyme plasmin.; </t>
        </is>
      </c>
      <c r="AH128" t="inlineStr">
        <is>
          <t xml:space="preserve">DISEASE: Quebec platelet disorder (QPD) [MIM:601709]: An autosomal dominant bleeding disorder due to a gain-of-function defect in fibrinolysis. Although affected individuals do not exhibit systemic fibrinolysis, they show delayed onset bleeding after challenge, such as surgery. The hallmark of the disorder is markedly increased PLAU levels within platelets, which causes intraplatelet plasmin generation and secondary degradation of alpha-granule proteins. {ECO:0000269|PubMed:20007542}. Note=The disease is caused by mutations affecting the gene represented in this entry.; </t>
        </is>
      </c>
      <c r="AI128" t="inlineStr">
        <is>
          <t>.</t>
        </is>
      </c>
      <c r="AJ128" t="inlineStr">
        <is>
          <t>.</t>
        </is>
      </c>
      <c r="AK128" t="inlineStr">
        <is>
          <t>.</t>
        </is>
      </c>
      <c r="AL128" t="inlineStr">
        <is>
          <t>.</t>
        </is>
      </c>
    </row>
    <row r="129">
      <c r="A129" t="inlineStr"/>
      <c r="B129">
        <f>HYPERLINK("https://genome.ucsc.edu/cgi-bin/hgTracks?db=hg19&amp;position=chr10%3A75865066%2D75865066", "chr10:75865066")</f>
        <v/>
      </c>
      <c r="C129" t="inlineStr">
        <is>
          <t>chr10</t>
        </is>
      </c>
      <c r="D129" t="n">
        <v>75865066</v>
      </c>
      <c r="E129" t="n">
        <v>75865066</v>
      </c>
      <c r="F129" t="inlineStr">
        <is>
          <t>A</t>
        </is>
      </c>
      <c r="G129" t="inlineStr">
        <is>
          <t>G</t>
        </is>
      </c>
      <c r="H129" t="inlineStr">
        <is>
          <t>3066.64</t>
        </is>
      </c>
      <c r="I129" t="inlineStr">
        <is>
          <t>185</t>
        </is>
      </c>
      <c r="J129" t="inlineStr">
        <is>
          <t>103,82</t>
        </is>
      </c>
      <c r="K129" t="inlineStr">
        <is>
          <t>.</t>
        </is>
      </c>
      <c r="L129">
        <f>HYPERLINK("https://www.ncbi.nlm.nih.gov/snp/rs774388320", "rs774388320")</f>
        <v/>
      </c>
      <c r="M129">
        <f>HYPERLINK("https://www.genecards.org/Search/Keyword?queryString=%5Baliases%5D(%20VCL%20)&amp;keywords=VCL", "VCL")</f>
        <v/>
      </c>
      <c r="N129" t="inlineStr">
        <is>
          <t>exonic</t>
        </is>
      </c>
      <c r="O129" t="inlineStr">
        <is>
          <t>nonsynonymous SNV</t>
        </is>
      </c>
      <c r="P129" t="inlineStr">
        <is>
          <t>VCL:NM_003373:exon16:c.A2389G:p.M797V,VCL:NM_014000:exon16:c.A2389G:p.M797V;VCL:uc010qky.1:exon15:c.A2110G:p.M704V,VCL:uc001jwd.3:exon16:c.A2389G:p.M797V,VCL:uc001jwe.3:exon16:c.A2389G:p.M797V,VCL:uc009xrr.3:exon18:c.A1636G:p.M546V;VCL:ENST00000211998.10_8:exon16:c.A2389G:p.M797V,VCL:ENST00000372755.7_5:exon16:c.A2389G:p.M797V</t>
        </is>
      </c>
      <c r="Q129" t="n">
        <v>0.0002</v>
      </c>
      <c r="R129" t="n">
        <v>0.0002</v>
      </c>
      <c r="S129" t="n">
        <v>0.0002</v>
      </c>
      <c r="T129" t="n">
        <v>-1</v>
      </c>
      <c r="U129" t="n">
        <v>0.0002</v>
      </c>
      <c r="V129" t="inlineStr">
        <is>
          <t>7/12</t>
        </is>
      </c>
      <c r="W129" t="inlineStr">
        <is>
          <t>.</t>
        </is>
      </c>
      <c r="X129" t="inlineStr">
        <is>
          <t>.</t>
        </is>
      </c>
      <c r="Y129" t="inlineStr">
        <is>
          <t>.</t>
        </is>
      </c>
      <c r="Z129" t="inlineStr">
        <is>
          <t>6/7</t>
        </is>
      </c>
      <c r="AA129" t="inlineStr">
        <is>
          <t>Uncertain significance</t>
        </is>
      </c>
      <c r="AB129" t="inlineStr">
        <is>
          <t>.</t>
        </is>
      </c>
      <c r="AC129" t="inlineStr">
        <is>
          <t>.</t>
        </is>
      </c>
      <c r="AD129" t="inlineStr">
        <is>
          <t>1</t>
        </is>
      </c>
      <c r="AE129" t="inlineStr">
        <is>
          <t>0.994870401764453</t>
        </is>
      </c>
      <c r="AF129" t="inlineStr">
        <is>
          <t>vinculin</t>
        </is>
      </c>
      <c r="AG129" t="inlineStr">
        <is>
          <t xml:space="preserve">FUNCTION: Actin filament (F-actin)-binding protein involved in cell-matrix adhesion and cell-cell adhesion. Regulates cell- surface E-cadherin expression and potentiates mechanosensing by the E-cadherin complex. May also play important roles in cell morphology and locomotion. {ECO:0000269|PubMed:20484056}.; </t>
        </is>
      </c>
      <c r="AH129" t="inlineStr">
        <is>
          <t xml:space="preserve">DISEASE: Cardiomyopathy, dilated 1W (CMD1W) [MIM:611407]: A disorder characterized by ventricular dilation and impaired systolic function, resulting in congestive heart failure and arrhythmia. Patients are at risk of premature death. {ECO:0000269|PubMed:11815424, ECO:0000269|PubMed:16236538}. Note=The disease is caused by mutations affecting the gene represented in this entry.; DISEASE: Cardiomyopathy, familial hypertrophic 15 (CMH15) [MIM:613255]: A hereditary heart disorder characterized by ventricular hypertrophy, which is usually asymmetric and often involves the interventricular septum. The symptoms include dyspnea, syncope, collapse, palpitations, and chest pain. They can be readily provoked by exercise. The disorder has inter- and intrafamilial variability ranging from benign to malignant forms with high risk of cardiac failure and sudden cardiac death. {ECO:0000269|PubMed:16712796}. Note=The disease is caused by mutations affecting the gene represented in this entry.; </t>
        </is>
      </c>
      <c r="AI129" t="inlineStr">
        <is>
          <t>.</t>
        </is>
      </c>
      <c r="AJ129" t="inlineStr">
        <is>
          <t>.</t>
        </is>
      </c>
      <c r="AK129" t="inlineStr">
        <is>
          <t>.</t>
        </is>
      </c>
      <c r="AL129" t="inlineStr">
        <is>
          <t>.</t>
        </is>
      </c>
    </row>
    <row r="130">
      <c r="A130" t="inlineStr"/>
      <c r="B130">
        <f>HYPERLINK("https://genome.ucsc.edu/cgi-bin/hgTracks?db=hg19&amp;position=chr10%3A76910700%2D76910700", "chr10:76910700")</f>
        <v/>
      </c>
      <c r="C130" t="inlineStr">
        <is>
          <t>chr10</t>
        </is>
      </c>
      <c r="D130" t="n">
        <v>76910700</v>
      </c>
      <c r="E130" t="n">
        <v>76910700</v>
      </c>
      <c r="F130" t="inlineStr">
        <is>
          <t>C</t>
        </is>
      </c>
      <c r="G130" t="inlineStr">
        <is>
          <t>G</t>
        </is>
      </c>
      <c r="H130" t="inlineStr">
        <is>
          <t>79.64</t>
        </is>
      </c>
      <c r="I130" t="inlineStr">
        <is>
          <t>100</t>
        </is>
      </c>
      <c r="J130" t="inlineStr">
        <is>
          <t>89,11</t>
        </is>
      </c>
      <c r="K130" t="inlineStr">
        <is>
          <t>.</t>
        </is>
      </c>
      <c r="L130" t="inlineStr">
        <is>
          <t>.</t>
        </is>
      </c>
      <c r="M130">
        <f>HYPERLINK("https://www.genecards.org/Search/Keyword?queryString=%5Baliases%5D(%20SAMD8%20)&amp;keywords=SAMD8", "SAMD8")</f>
        <v/>
      </c>
      <c r="N130" t="inlineStr">
        <is>
          <t>exonic</t>
        </is>
      </c>
      <c r="O130" t="inlineStr">
        <is>
          <t>nonsynonymous SNV</t>
        </is>
      </c>
      <c r="P130" t="inlineStr">
        <is>
          <t>SAMD8:NM_001174156:exon2:c.C414G:p.N138K,SAMD8:NM_144660:exon2:c.C414G:p.N138K;SAMD8:uc001jwx.2:exon2:c.C414G:p.N138K,SAMD8:uc001jwy.2:exon2:c.C414G:p.N138K;SAMD8:ENST00000372687.4_1:exon2:c.C414G:p.N138K,SAMD8:ENST00000542569.6_7:exon2:c.C414G:p.N138K,SAMD8:ENST00000671730.1_2:exon2:c.C603G:p.N201K,SAMD8:ENST00000671800.1_3:exon2:c.C414G:p.N138K</t>
        </is>
      </c>
      <c r="Q130" t="n">
        <v>-1</v>
      </c>
      <c r="R130" t="n">
        <v>-1</v>
      </c>
      <c r="S130" t="n">
        <v>-1</v>
      </c>
      <c r="T130" t="n">
        <v>-1</v>
      </c>
      <c r="U130" t="n">
        <v>-1</v>
      </c>
      <c r="V130" t="inlineStr">
        <is>
          <t>4/11</t>
        </is>
      </c>
      <c r="W130" t="inlineStr">
        <is>
          <t>.</t>
        </is>
      </c>
      <c r="X130" t="inlineStr">
        <is>
          <t>.</t>
        </is>
      </c>
      <c r="Y130" t="inlineStr">
        <is>
          <t>.</t>
        </is>
      </c>
      <c r="Z130" t="inlineStr">
        <is>
          <t>3/7</t>
        </is>
      </c>
      <c r="AA130" t="inlineStr">
        <is>
          <t>Uncertain significance</t>
        </is>
      </c>
      <c r="AB130" t="inlineStr">
        <is>
          <t>.</t>
        </is>
      </c>
      <c r="AC130" t="inlineStr">
        <is>
          <t>0/1</t>
        </is>
      </c>
      <c r="AD130" t="inlineStr">
        <is>
          <t>1</t>
        </is>
      </c>
      <c r="AE130" t="inlineStr">
        <is>
          <t>0.00435169659402061</t>
        </is>
      </c>
      <c r="AF130" t="inlineStr">
        <is>
          <t>sterile alpha motif domain containing 8</t>
        </is>
      </c>
      <c r="AG130" t="inlineStr">
        <is>
          <t xml:space="preserve">FUNCTION: Sphingomyelin synthases synthesize sphingolipids through transfer of a phosphatidyl head group on to the primary hydroxyl of ceramide. SAMD8 is an endoplasmic reticulum (ER) transferase that has no sphingomyelin synthase activity but can convert phosphatidylethanolamine (PE) and ceramide to ceramide phosphoethanolamine (CPE) albeit with low product yield. Appears to operate as a ceramide sensor to control ceramide homeostasis in the endoplasmic reticulum rather than a converter of ceramides. Seems to be critical for the integrity of the early secretory pathway. {ECO:0000269|PubMed:19506037}.; </t>
        </is>
      </c>
      <c r="AH130" t="inlineStr">
        <is>
          <t>.</t>
        </is>
      </c>
      <c r="AI130" t="inlineStr">
        <is>
          <t>.</t>
        </is>
      </c>
      <c r="AJ130" t="inlineStr">
        <is>
          <t>.</t>
        </is>
      </c>
      <c r="AK130" t="inlineStr">
        <is>
          <t>.</t>
        </is>
      </c>
      <c r="AL130" t="inlineStr">
        <is>
          <t>.</t>
        </is>
      </c>
    </row>
    <row r="131">
      <c r="A131" t="inlineStr"/>
      <c r="B131">
        <f>HYPERLINK("https://genome.ucsc.edu/cgi-bin/hgTracks?db=hg19&amp;position=chr10%3A79571673%2D79571673", "chr10:79571673")</f>
        <v/>
      </c>
      <c r="C131" t="inlineStr">
        <is>
          <t>chr10</t>
        </is>
      </c>
      <c r="D131" t="n">
        <v>79571673</v>
      </c>
      <c r="E131" t="n">
        <v>79571673</v>
      </c>
      <c r="F131" t="inlineStr">
        <is>
          <t>C</t>
        </is>
      </c>
      <c r="G131" t="inlineStr">
        <is>
          <t>T</t>
        </is>
      </c>
      <c r="H131" t="inlineStr">
        <is>
          <t>1355.64</t>
        </is>
      </c>
      <c r="I131" t="inlineStr">
        <is>
          <t>87</t>
        </is>
      </c>
      <c r="J131" t="inlineStr">
        <is>
          <t>34,53</t>
        </is>
      </c>
      <c r="K131" t="inlineStr">
        <is>
          <t>.</t>
        </is>
      </c>
      <c r="L131">
        <f>HYPERLINK("https://www.ncbi.nlm.nih.gov/snp/rs747821295", "rs747821295")</f>
        <v/>
      </c>
      <c r="M131">
        <f>HYPERLINK("https://www.genecards.org/Search/Keyword?queryString=%5Baliases%5D(%20DLG5%20)&amp;keywords=DLG5", "DLG5")</f>
        <v/>
      </c>
      <c r="N131" t="inlineStr">
        <is>
          <t>intronic</t>
        </is>
      </c>
      <c r="O131" t="inlineStr">
        <is>
          <t>.</t>
        </is>
      </c>
      <c r="P131" t="inlineStr">
        <is>
          <t>.</t>
        </is>
      </c>
      <c r="Q131" t="n">
        <v>6.47e-05</v>
      </c>
      <c r="R131" t="n">
        <v>-1</v>
      </c>
      <c r="S131" t="n">
        <v>-1</v>
      </c>
      <c r="T131" t="n">
        <v>-1</v>
      </c>
      <c r="U131" t="n">
        <v>-1</v>
      </c>
      <c r="V131" t="inlineStr">
        <is>
          <t>.</t>
        </is>
      </c>
      <c r="W131" t="inlineStr">
        <is>
          <t>.</t>
        </is>
      </c>
      <c r="X131" t="inlineStr">
        <is>
          <t>D</t>
        </is>
      </c>
      <c r="Y131" t="inlineStr">
        <is>
          <t>off</t>
        </is>
      </c>
      <c r="Z131" t="inlineStr">
        <is>
          <t>.</t>
        </is>
      </c>
      <c r="AA131" t="inlineStr">
        <is>
          <t>.</t>
        </is>
      </c>
      <c r="AB131" t="inlineStr">
        <is>
          <t>.</t>
        </is>
      </c>
      <c r="AC131" t="inlineStr">
        <is>
          <t>0/1</t>
        </is>
      </c>
      <c r="AD131" t="inlineStr">
        <is>
          <t>1</t>
        </is>
      </c>
      <c r="AE131" t="inlineStr">
        <is>
          <t>0.999998542279994</t>
        </is>
      </c>
      <c r="AF131" t="inlineStr">
        <is>
          <t>discs large homolog 5</t>
        </is>
      </c>
      <c r="AG131" t="inlineStr">
        <is>
          <t xml:space="preserve">FUNCTION: May play a role at the plasma membrane in the maintenance of the structure of epithelial cells and in the transmission of extracellular signals to the membrane and cytoskeleton. {ECO:0000269|PubMed:11876824}.; </t>
        </is>
      </c>
      <c r="AH131" t="inlineStr">
        <is>
          <t>.</t>
        </is>
      </c>
      <c r="AI131" t="inlineStr">
        <is>
          <t>.</t>
        </is>
      </c>
      <c r="AJ131" t="inlineStr">
        <is>
          <t>.</t>
        </is>
      </c>
      <c r="AK131" t="inlineStr">
        <is>
          <t>.</t>
        </is>
      </c>
      <c r="AL131" t="inlineStr">
        <is>
          <t>.</t>
        </is>
      </c>
    </row>
    <row r="132">
      <c r="A132" t="inlineStr"/>
      <c r="B132">
        <f>HYPERLINK("https://genome.ucsc.edu/cgi-bin/hgTracks?db=hg19&amp;position=chr10%3A82330185%2D82330185", "chr10:82330185")</f>
        <v/>
      </c>
      <c r="C132" t="inlineStr">
        <is>
          <t>chr10</t>
        </is>
      </c>
      <c r="D132" t="n">
        <v>82330185</v>
      </c>
      <c r="E132" t="n">
        <v>82330185</v>
      </c>
      <c r="F132" t="inlineStr">
        <is>
          <t>G</t>
        </is>
      </c>
      <c r="G132" t="inlineStr">
        <is>
          <t>A</t>
        </is>
      </c>
      <c r="H132" t="inlineStr">
        <is>
          <t>34.64</t>
        </is>
      </c>
      <c r="I132" t="inlineStr">
        <is>
          <t>16</t>
        </is>
      </c>
      <c r="J132" t="inlineStr">
        <is>
          <t>14,2</t>
        </is>
      </c>
      <c r="K132" t="inlineStr">
        <is>
          <t>.</t>
        </is>
      </c>
      <c r="L132" t="inlineStr">
        <is>
          <t>.</t>
        </is>
      </c>
      <c r="M132">
        <f>HYPERLINK("https://www.genecards.org/Search/Keyword?queryString=%5Baliases%5D(%20SH2D4B%20)&amp;keywords=SH2D4B", "SH2D4B")</f>
        <v/>
      </c>
      <c r="N132" t="inlineStr">
        <is>
          <t>intronic</t>
        </is>
      </c>
      <c r="O132" t="inlineStr">
        <is>
          <t>.</t>
        </is>
      </c>
      <c r="P132" t="inlineStr">
        <is>
          <t>.</t>
        </is>
      </c>
      <c r="Q132" t="n">
        <v>-1</v>
      </c>
      <c r="R132" t="n">
        <v>-1</v>
      </c>
      <c r="S132" t="n">
        <v>-1</v>
      </c>
      <c r="T132" t="n">
        <v>-1</v>
      </c>
      <c r="U132" t="n">
        <v>-1</v>
      </c>
      <c r="V132" t="inlineStr">
        <is>
          <t>.</t>
        </is>
      </c>
      <c r="W132" t="inlineStr">
        <is>
          <t>.</t>
        </is>
      </c>
      <c r="X132" t="inlineStr">
        <is>
          <t>D</t>
        </is>
      </c>
      <c r="Y132" t="inlineStr">
        <is>
          <t>off</t>
        </is>
      </c>
      <c r="Z132" t="inlineStr">
        <is>
          <t>.</t>
        </is>
      </c>
      <c r="AA132" t="inlineStr">
        <is>
          <t>.</t>
        </is>
      </c>
      <c r="AB132" t="inlineStr">
        <is>
          <t>.</t>
        </is>
      </c>
      <c r="AC132" t="inlineStr">
        <is>
          <t>.</t>
        </is>
      </c>
      <c r="AD132" t="inlineStr">
        <is>
          <t>1</t>
        </is>
      </c>
      <c r="AE132" t="inlineStr">
        <is>
          <t>3.12418681330873e-07</t>
        </is>
      </c>
      <c r="AF132" t="inlineStr">
        <is>
          <t>SH2 domain containing 4B</t>
        </is>
      </c>
      <c r="AG132" t="inlineStr">
        <is>
          <t>.</t>
        </is>
      </c>
      <c r="AH132" t="inlineStr">
        <is>
          <t>.</t>
        </is>
      </c>
      <c r="AI132" t="inlineStr">
        <is>
          <t>.</t>
        </is>
      </c>
      <c r="AJ132" t="inlineStr">
        <is>
          <t>.</t>
        </is>
      </c>
      <c r="AK132" t="inlineStr">
        <is>
          <t>.</t>
        </is>
      </c>
      <c r="AL132" t="inlineStr">
        <is>
          <t>.</t>
        </is>
      </c>
    </row>
    <row r="133">
      <c r="A133" t="inlineStr"/>
      <c r="B133">
        <f>HYPERLINK("https://genome.ucsc.edu/cgi-bin/hgTracks?db=hg19&amp;position=chr10%3A91162616%2D91162616", "chr10:91162616")</f>
        <v/>
      </c>
      <c r="C133" t="inlineStr">
        <is>
          <t>chr10</t>
        </is>
      </c>
      <c r="D133" t="n">
        <v>91162616</v>
      </c>
      <c r="E133" t="n">
        <v>91162616</v>
      </c>
      <c r="F133" t="inlineStr">
        <is>
          <t>-</t>
        </is>
      </c>
      <c r="G133" t="inlineStr">
        <is>
          <t>A</t>
        </is>
      </c>
      <c r="H133" t="inlineStr">
        <is>
          <t>2626.03</t>
        </is>
      </c>
      <c r="I133" t="inlineStr">
        <is>
          <t>89</t>
        </is>
      </c>
      <c r="J133" t="inlineStr">
        <is>
          <t>2,87</t>
        </is>
      </c>
      <c r="K133" t="inlineStr">
        <is>
          <t>.</t>
        </is>
      </c>
      <c r="L133">
        <f>HYPERLINK("https://www.ncbi.nlm.nih.gov/snp/rs763142417", "rs763142417")</f>
        <v/>
      </c>
      <c r="M133">
        <f>HYPERLINK("https://www.genecards.org/Search/Keyword?queryString=%5Baliases%5D(%20IFIT1%20)&amp;keywords=IFIT1", "IFIT1")</f>
        <v/>
      </c>
      <c r="N133" t="inlineStr">
        <is>
          <t>exonic</t>
        </is>
      </c>
      <c r="O133" t="inlineStr">
        <is>
          <t>frameshift insertion</t>
        </is>
      </c>
      <c r="P133" t="inlineStr">
        <is>
          <t>IFIT1:NM_001548:exon2:c.585dupA:p.N197Kfs*24,IFIT1:NM_001270927:exon3:c.585dupA:p.N197Kfs*24,IFIT1:NM_001270928:exon3:c.492dupA:p.N166Kfs*24,IFIT1:NM_001270929:exon3:c.492dupA:p.N166Kfs*24,IFIT1:NM_001270930:exon3:c.492dupA:p.N166Kfs*24;IFIT1:uc031pwr.1:exon1:c.492dupA:p.N166Kfs*24,IFIT1:uc001kgi.4:exon2:c.585dupA:p.N197Kfs*24,IFIT1:uc009xtt.4:exon3:c.585dupA:p.N197Kfs*24,IFIT1:uc031pwo.1:exon3:c.492dupA:p.N166Kfs*24,IFIT1:uc031pwp.1:exon3:c.492dupA:p.N166Kfs*24,IFIT1:uc031pwq.1:exon3:c.492dupA:p.N166Kfs*24;IFIT1:ENST00000371804.4_3:exon2:c.585dupA:p.N197Kfs*24,IFIT1:ENST00000546318.2_1:exon3:c.492dupA:p.N166Kfs*24</t>
        </is>
      </c>
      <c r="Q133" t="n">
        <v>0.010101</v>
      </c>
      <c r="R133" t="n">
        <v>0.0008</v>
      </c>
      <c r="S133" t="n">
        <v>0.001</v>
      </c>
      <c r="T133" t="n">
        <v>-1</v>
      </c>
      <c r="U133" t="n">
        <v>0.0004</v>
      </c>
      <c r="V133" t="inlineStr">
        <is>
          <t>.</t>
        </is>
      </c>
      <c r="W133" t="inlineStr">
        <is>
          <t>.</t>
        </is>
      </c>
      <c r="X133" t="inlineStr">
        <is>
          <t>.</t>
        </is>
      </c>
      <c r="Y133" t="inlineStr">
        <is>
          <t>.</t>
        </is>
      </c>
      <c r="Z133" t="inlineStr">
        <is>
          <t>.</t>
        </is>
      </c>
      <c r="AA133" t="inlineStr">
        <is>
          <t>.</t>
        </is>
      </c>
      <c r="AB133" t="inlineStr">
        <is>
          <t>.</t>
        </is>
      </c>
      <c r="AC133" t="inlineStr">
        <is>
          <t>HOMO</t>
        </is>
      </c>
      <c r="AD133" t="inlineStr">
        <is>
          <t>1</t>
        </is>
      </c>
      <c r="AE133" t="inlineStr">
        <is>
          <t>0.00534820018141597</t>
        </is>
      </c>
      <c r="AF133" t="inlineStr">
        <is>
          <t>interferon induced protein with tetratricopeptide repeats 1</t>
        </is>
      </c>
      <c r="AG133" t="inlineStr">
        <is>
          <t xml:space="preserve">FUNCTION: Interferon-induced antiviral RNA-binding protein that specifically binds single-stranded RNA bearing a 5'-triphosphate group (PPP-RNA), thereby acting as a sensor of viral single- stranded RNAs and inhibiting expression of viral messenger RNAs. Single-stranded PPP-RNAs, which lack 2'-O-methylation of the 5' cap and bear a 5'-triphosphate group instead, are specific from viruses, providing a molecular signature to distinguish between self and non-self mRNAs by the host during viral infection. Directly binds PPP-RNA in a non-sequence-specific manner. Viruses evolved several ways to evade this restriction system such as encoding their own 2'-O-methylase for their mRNAs or by stealing host cap containing the 2'-O-methylation (cap snatching mechanism). Exhibits antiviral activity against several viruses including human papilloma and hepatitis C viruses. {ECO:0000269|PubMed:19008854, ECO:0000269|PubMed:19416887, ECO:0000269|PubMed:21976647, ECO:0000269|PubMed:23334420}.; </t>
        </is>
      </c>
      <c r="AH133" t="inlineStr">
        <is>
          <t>.</t>
        </is>
      </c>
      <c r="AI133" t="inlineStr">
        <is>
          <t>.</t>
        </is>
      </c>
      <c r="AJ133" t="inlineStr">
        <is>
          <t>.</t>
        </is>
      </c>
      <c r="AK133" t="inlineStr">
        <is>
          <t>.</t>
        </is>
      </c>
      <c r="AL133" t="inlineStr">
        <is>
          <t>.</t>
        </is>
      </c>
    </row>
    <row r="134">
      <c r="A134" t="inlineStr"/>
      <c r="B134">
        <f>HYPERLINK("https://genome.ucsc.edu/cgi-bin/hgTracks?db=hg19&amp;position=chr10%3A99531565%2D99531565", "chr10:99531565")</f>
        <v/>
      </c>
      <c r="C134" t="inlineStr">
        <is>
          <t>chr10</t>
        </is>
      </c>
      <c r="D134" t="n">
        <v>99531565</v>
      </c>
      <c r="E134" t="n">
        <v>99531565</v>
      </c>
      <c r="F134" t="inlineStr">
        <is>
          <t>C</t>
        </is>
      </c>
      <c r="G134" t="inlineStr">
        <is>
          <t>-</t>
        </is>
      </c>
      <c r="H134" t="inlineStr">
        <is>
          <t>44.60</t>
        </is>
      </c>
      <c r="I134" t="inlineStr">
        <is>
          <t>25</t>
        </is>
      </c>
      <c r="J134" t="inlineStr">
        <is>
          <t>21,4</t>
        </is>
      </c>
      <c r="K134" t="inlineStr">
        <is>
          <t>.</t>
        </is>
      </c>
      <c r="L134">
        <f>HYPERLINK("https://www.ncbi.nlm.nih.gov/snp/rs777321696", "rs777321696")</f>
        <v/>
      </c>
      <c r="M134">
        <f>HYPERLINK("https://www.genecards.org/Search/Keyword?queryString=%5Baliases%5D(%20SFRP5%20)&amp;keywords=SFRP5", "SFRP5")</f>
        <v/>
      </c>
      <c r="N134" t="inlineStr">
        <is>
          <t>exonic</t>
        </is>
      </c>
      <c r="O134" t="inlineStr">
        <is>
          <t>frameshift deletion</t>
        </is>
      </c>
      <c r="P134" t="inlineStr">
        <is>
          <t>SFRP5:NM_003015:exon1:c.26delG:p.G9Afs*77;SFRP5:uc001kor.4:exon1:c.26delG:p.G9Afs*77;SFRP5:ENST00000266066.4_5:exon1:c.26delG:p.G9Afs*77</t>
        </is>
      </c>
      <c r="Q134" t="n">
        <v>0.00241</v>
      </c>
      <c r="R134" t="n">
        <v>-1</v>
      </c>
      <c r="S134" t="n">
        <v>-1</v>
      </c>
      <c r="T134" t="n">
        <v>-1</v>
      </c>
      <c r="U134" t="n">
        <v>-1</v>
      </c>
      <c r="V134" t="inlineStr">
        <is>
          <t>.</t>
        </is>
      </c>
      <c r="W134" t="inlineStr">
        <is>
          <t>.</t>
        </is>
      </c>
      <c r="X134" t="inlineStr">
        <is>
          <t>.</t>
        </is>
      </c>
      <c r="Y134" t="inlineStr">
        <is>
          <t>.</t>
        </is>
      </c>
      <c r="Z134" t="inlineStr">
        <is>
          <t>.</t>
        </is>
      </c>
      <c r="AA134" t="inlineStr">
        <is>
          <t>.</t>
        </is>
      </c>
      <c r="AB134" t="inlineStr">
        <is>
          <t>.</t>
        </is>
      </c>
      <c r="AC134" t="inlineStr">
        <is>
          <t>.</t>
        </is>
      </c>
      <c r="AD134" t="inlineStr">
        <is>
          <t>1</t>
        </is>
      </c>
      <c r="AE134" t="inlineStr">
        <is>
          <t>1.17131762074183e-05</t>
        </is>
      </c>
      <c r="AF134" t="inlineStr">
        <is>
          <t>secreted frizzled-related protein 5</t>
        </is>
      </c>
      <c r="AG134" t="inlineStr">
        <is>
          <t xml:space="preserve">FUNCTION: Soluble frizzled-related proteins (sFRPS) function as modulators of Wnt signaling through direct interaction with Wnts. They have a role in regulating cell growth and differentiation in specific cell types. SFRP5 may be involved in determining the polarity of photoreceptor, and perhaps, other cells in the retina.; </t>
        </is>
      </c>
      <c r="AH134" t="inlineStr">
        <is>
          <t>.</t>
        </is>
      </c>
      <c r="AI134" t="inlineStr">
        <is>
          <t>.</t>
        </is>
      </c>
      <c r="AJ134" t="inlineStr">
        <is>
          <t>.</t>
        </is>
      </c>
      <c r="AK134" t="inlineStr">
        <is>
          <t>.</t>
        </is>
      </c>
      <c r="AL134" t="inlineStr">
        <is>
          <t>.</t>
        </is>
      </c>
    </row>
    <row r="135">
      <c r="A135" t="inlineStr"/>
      <c r="B135">
        <f>HYPERLINK("https://genome.ucsc.edu/cgi-bin/hgTracks?db=hg19&amp;position=chr10%3A101667847%2D101667847", "chr10:101667847")</f>
        <v/>
      </c>
      <c r="C135" t="inlineStr">
        <is>
          <t>chr10</t>
        </is>
      </c>
      <c r="D135" t="n">
        <v>101667847</v>
      </c>
      <c r="E135" t="n">
        <v>101667847</v>
      </c>
      <c r="F135" t="inlineStr">
        <is>
          <t>G</t>
        </is>
      </c>
      <c r="G135" t="inlineStr">
        <is>
          <t>A</t>
        </is>
      </c>
      <c r="H135" t="inlineStr">
        <is>
          <t>1275.06</t>
        </is>
      </c>
      <c r="I135" t="inlineStr">
        <is>
          <t>47</t>
        </is>
      </c>
      <c r="J135" t="inlineStr">
        <is>
          <t>3,44</t>
        </is>
      </c>
      <c r="K135" t="inlineStr">
        <is>
          <t>.</t>
        </is>
      </c>
      <c r="L135">
        <f>HYPERLINK("https://www.ncbi.nlm.nih.gov/snp/rs114927649", "rs114927649")</f>
        <v/>
      </c>
      <c r="M135">
        <f>HYPERLINK("https://www.genecards.org/Search/Keyword?queryString=%5Baliases%5D(%20DNMBP%20)&amp;keywords=DNMBP", "DNMBP")</f>
        <v/>
      </c>
      <c r="N135" t="inlineStr">
        <is>
          <t>exonic</t>
        </is>
      </c>
      <c r="O135" t="inlineStr">
        <is>
          <t>nonsynonymous SNV</t>
        </is>
      </c>
      <c r="P135" t="inlineStr">
        <is>
          <t>DNMBP:NM_001318326:exon3:c.C1355T:p.P452L,DNMBP:NM_001318327:exon3:c.C323T:p.P108L,DNMBP:NM_015221:exon6:c.C2459T:p.P820L;DNMBP:uc001kqg.2:exon3:c.C323T:p.P108L,DNMBP:uc001kqh.2:exon3:c.C1355T:p.P452L,DNMBP:uc001kqj.2:exon6:c.C2459T:p.P820L;DNMBP:ENST00000543621.6_6:exon3:c.C323T:p.P108L,DNMBP:ENST00000636706.1_5:exon3:c.C1355T:p.P452L,DNMBP:ENST00000324109.9_5:exon6:c.C2459T:p.P820L</t>
        </is>
      </c>
      <c r="Q135" t="n">
        <v>0.0153</v>
      </c>
      <c r="R135" t="n">
        <v>0.0037</v>
      </c>
      <c r="S135" t="n">
        <v>0.0054</v>
      </c>
      <c r="T135" t="n">
        <v>-1</v>
      </c>
      <c r="U135" t="n">
        <v>0.0041</v>
      </c>
      <c r="V135" t="inlineStr">
        <is>
          <t>4/10</t>
        </is>
      </c>
      <c r="W135" t="inlineStr">
        <is>
          <t>.</t>
        </is>
      </c>
      <c r="X135" t="inlineStr">
        <is>
          <t>.</t>
        </is>
      </c>
      <c r="Y135" t="inlineStr">
        <is>
          <t>.</t>
        </is>
      </c>
      <c r="Z135" t="inlineStr">
        <is>
          <t>2/7</t>
        </is>
      </c>
      <c r="AA135" t="inlineStr">
        <is>
          <t>Benign</t>
        </is>
      </c>
      <c r="AB135" t="inlineStr">
        <is>
          <t>.</t>
        </is>
      </c>
      <c r="AC135" t="inlineStr">
        <is>
          <t>HOMO</t>
        </is>
      </c>
      <c r="AD135" t="inlineStr">
        <is>
          <t>1</t>
        </is>
      </c>
      <c r="AE135" t="inlineStr">
        <is>
          <t>1.15012174102811e-09</t>
        </is>
      </c>
      <c r="AF135" t="inlineStr">
        <is>
          <t>dynamin binding protein</t>
        </is>
      </c>
      <c r="AG135" t="inlineStr">
        <is>
          <t xml:space="preserve">FUNCTION: Scaffold protein that links dynamin with actin- regulating proteins. May play a role in membrane trafficking between the cell surface and the Golgi (By similarity). {ECO:0000250}.; </t>
        </is>
      </c>
      <c r="AH135" t="inlineStr">
        <is>
          <t>.</t>
        </is>
      </c>
      <c r="AI135" t="inlineStr">
        <is>
          <t>.</t>
        </is>
      </c>
      <c r="AJ135" t="inlineStr">
        <is>
          <t>.</t>
        </is>
      </c>
      <c r="AK135" t="inlineStr">
        <is>
          <t>.</t>
        </is>
      </c>
      <c r="AL135" t="inlineStr">
        <is>
          <t>.</t>
        </is>
      </c>
    </row>
    <row r="136">
      <c r="A136" t="inlineStr"/>
      <c r="B136">
        <f>HYPERLINK("https://genome.ucsc.edu/cgi-bin/hgTracks?db=hg19&amp;position=chr10%3A102051084%2D102051084", "chr10:102051084")</f>
        <v/>
      </c>
      <c r="C136" t="inlineStr">
        <is>
          <t>chr10</t>
        </is>
      </c>
      <c r="D136" t="n">
        <v>102051084</v>
      </c>
      <c r="E136" t="n">
        <v>102051084</v>
      </c>
      <c r="F136" t="inlineStr">
        <is>
          <t>T</t>
        </is>
      </c>
      <c r="G136" t="inlineStr">
        <is>
          <t>G</t>
        </is>
      </c>
      <c r="H136" t="inlineStr">
        <is>
          <t>95.64</t>
        </is>
      </c>
      <c r="I136" t="inlineStr">
        <is>
          <t>72</t>
        </is>
      </c>
      <c r="J136" t="inlineStr">
        <is>
          <t>61,11</t>
        </is>
      </c>
      <c r="K136" t="inlineStr">
        <is>
          <t>.</t>
        </is>
      </c>
      <c r="L136" t="inlineStr">
        <is>
          <t>.</t>
        </is>
      </c>
      <c r="M136">
        <f>HYPERLINK("https://www.genecards.org/Search/Keyword?queryString=%5Baliases%5D(%20PKD2L1%20)&amp;keywords=PKD2L1", "PKD2L1")</f>
        <v/>
      </c>
      <c r="N136" t="inlineStr">
        <is>
          <t>exonic</t>
        </is>
      </c>
      <c r="O136" t="inlineStr">
        <is>
          <t>nonsynonymous SNV</t>
        </is>
      </c>
      <c r="P136" t="inlineStr">
        <is>
          <t>PKD2L1:NM_001253837:exon12:c.A1840C:p.M614L,PKD2L1:NM_016112:exon12:c.A1981C:p.M661L;PKD2L1:uc001kqx.1:exon12:c.A1981C:p.M661L,PKD2L1:uc009xwm.1:exon12:c.A1840C:p.M614L;PKD2L1:ENST00000318222.4_5:exon12:c.A1981C:p.M661L</t>
        </is>
      </c>
      <c r="Q136" t="n">
        <v>-1</v>
      </c>
      <c r="R136" t="n">
        <v>-1</v>
      </c>
      <c r="S136" t="n">
        <v>-1</v>
      </c>
      <c r="T136" t="n">
        <v>-1</v>
      </c>
      <c r="U136" t="n">
        <v>-1</v>
      </c>
      <c r="V136" t="inlineStr">
        <is>
          <t>3/12</t>
        </is>
      </c>
      <c r="W136" t="inlineStr">
        <is>
          <t>.</t>
        </is>
      </c>
      <c r="X136" t="inlineStr">
        <is>
          <t>.</t>
        </is>
      </c>
      <c r="Y136" t="inlineStr">
        <is>
          <t>.</t>
        </is>
      </c>
      <c r="Z136" t="inlineStr">
        <is>
          <t>2/7</t>
        </is>
      </c>
      <c r="AA136" t="inlineStr">
        <is>
          <t>Uncertain significance</t>
        </is>
      </c>
      <c r="AB136" t="inlineStr">
        <is>
          <t>.</t>
        </is>
      </c>
      <c r="AC136" t="inlineStr">
        <is>
          <t>0/1</t>
        </is>
      </c>
      <c r="AD136" t="inlineStr">
        <is>
          <t>1</t>
        </is>
      </c>
      <c r="AE136" t="inlineStr">
        <is>
          <t>6.57113540225805e-17</t>
        </is>
      </c>
      <c r="AF136" t="inlineStr">
        <is>
          <t>polycystin 2 like 1, transient receptor potential cation channel</t>
        </is>
      </c>
      <c r="AG136" t="inlineStr">
        <is>
          <t xml:space="preserve">FUNCTION: Pore-forming subunit of a ciliary calcium channel that controls calcium concentration within primary cilia without affecting cytoplasmic calcium concentration. Forms a heterodimer with PKD1L1 in primary cilia and forms a calcium-permeant ciliary channel that regulates sonic hedgehog/SHH signaling and GLI2 transcription. May act as a sour taste receptor by forming a calcium channel with PKD1L3 in gustatory cells; however, its contribution to sour taste perception is unclear in vivo and may be indirect. {ECO:0000269|PubMed:10517637, ECO:0000269|PubMed:19812697, ECO:0000269|PubMed:23212381, ECO:0000269|PubMed:24336289}.; </t>
        </is>
      </c>
      <c r="AH136" t="inlineStr">
        <is>
          <t>.</t>
        </is>
      </c>
      <c r="AI136" t="inlineStr">
        <is>
          <t>.</t>
        </is>
      </c>
      <c r="AJ136" t="inlineStr">
        <is>
          <t>.</t>
        </is>
      </c>
      <c r="AK136" t="inlineStr">
        <is>
          <t>.</t>
        </is>
      </c>
      <c r="AL136" t="inlineStr">
        <is>
          <t>.</t>
        </is>
      </c>
    </row>
    <row r="137">
      <c r="A137" t="inlineStr"/>
      <c r="B137">
        <f>HYPERLINK("https://genome.ucsc.edu/cgi-bin/hgTracks?db=hg19&amp;position=chr10%3A115608928%2D115608928", "chr10:115608928")</f>
        <v/>
      </c>
      <c r="C137" t="inlineStr">
        <is>
          <t>chr10</t>
        </is>
      </c>
      <c r="D137" t="n">
        <v>115608928</v>
      </c>
      <c r="E137" t="n">
        <v>115608928</v>
      </c>
      <c r="F137" t="inlineStr">
        <is>
          <t>C</t>
        </is>
      </c>
      <c r="G137" t="inlineStr">
        <is>
          <t>T</t>
        </is>
      </c>
      <c r="H137" t="inlineStr">
        <is>
          <t>1173.64</t>
        </is>
      </c>
      <c r="I137" t="inlineStr">
        <is>
          <t>80</t>
        </is>
      </c>
      <c r="J137" t="inlineStr">
        <is>
          <t>33,47</t>
        </is>
      </c>
      <c r="K137" t="inlineStr">
        <is>
          <t>.</t>
        </is>
      </c>
      <c r="L137" t="inlineStr">
        <is>
          <t>.</t>
        </is>
      </c>
      <c r="M137">
        <f>HYPERLINK("https://www.genecards.org/Search/Keyword?queryString=%5Baliases%5D(%20DCLRE1A%20)&amp;keywords=DCLRE1A", "DCLRE1A")</f>
        <v/>
      </c>
      <c r="N137" t="inlineStr">
        <is>
          <t>exonic</t>
        </is>
      </c>
      <c r="O137" t="inlineStr">
        <is>
          <t>nonsynonymous SNV</t>
        </is>
      </c>
      <c r="P137" t="inlineStr">
        <is>
          <t>DCLRE1A:NM_014881:exon2:c.G1936A:p.E646K,DCLRE1A:NM_001271816:exon3:c.G1936A:p.E646K;DCLRE1A:uc001law.3:exon2:c.G1936A:p.E646K,DCLRE1A:uc031pxf.1:exon3:c.G1936A:p.E646K;DCLRE1A:ENST00000361384.7_5:exon2:c.G1936A:p.E646K,DCLRE1A:ENST00000369305.1_3:exon3:c.G1936A:p.E646K</t>
        </is>
      </c>
      <c r="Q137" t="n">
        <v>-1</v>
      </c>
      <c r="R137" t="n">
        <v>-1</v>
      </c>
      <c r="S137" t="n">
        <v>-1</v>
      </c>
      <c r="T137" t="n">
        <v>-1</v>
      </c>
      <c r="U137" t="n">
        <v>-1</v>
      </c>
      <c r="V137" t="inlineStr">
        <is>
          <t>6/12</t>
        </is>
      </c>
      <c r="W137" t="inlineStr">
        <is>
          <t>.</t>
        </is>
      </c>
      <c r="X137" t="inlineStr">
        <is>
          <t>.</t>
        </is>
      </c>
      <c r="Y137" t="inlineStr">
        <is>
          <t>.</t>
        </is>
      </c>
      <c r="Z137" t="inlineStr">
        <is>
          <t>0/7</t>
        </is>
      </c>
      <c r="AA137" t="inlineStr">
        <is>
          <t>Uncertain significance</t>
        </is>
      </c>
      <c r="AB137" t="inlineStr">
        <is>
          <t>.</t>
        </is>
      </c>
      <c r="AC137" t="inlineStr">
        <is>
          <t>0/1</t>
        </is>
      </c>
      <c r="AD137" t="inlineStr">
        <is>
          <t>2</t>
        </is>
      </c>
      <c r="AE137" t="inlineStr">
        <is>
          <t>4.67768893872676e-08</t>
        </is>
      </c>
      <c r="AF137" t="inlineStr">
        <is>
          <t>DNA cross-link repair 1A</t>
        </is>
      </c>
      <c r="AG137" t="inlineStr">
        <is>
          <t xml:space="preserve">FUNCTION: May be required for DNA interstrand cross-link repair. Also required for checkpoint mediated cell cycle arrest in early prophase in response to mitotic spindle poisons. {ECO:0000269|PubMed:15542852}.; </t>
        </is>
      </c>
      <c r="AH137" t="inlineStr">
        <is>
          <t>.</t>
        </is>
      </c>
      <c r="AI137" t="inlineStr">
        <is>
          <t>.</t>
        </is>
      </c>
      <c r="AJ137" t="inlineStr">
        <is>
          <t>.</t>
        </is>
      </c>
      <c r="AK137" t="inlineStr">
        <is>
          <t>.</t>
        </is>
      </c>
      <c r="AL137" t="inlineStr">
        <is>
          <t>.</t>
        </is>
      </c>
    </row>
    <row r="138">
      <c r="A138" t="inlineStr"/>
      <c r="B138">
        <f>HYPERLINK("https://genome.ucsc.edu/cgi-bin/hgTracks?db=hg19&amp;position=chr10%3A115609978%2D115609978", "chr10:115609978")</f>
        <v/>
      </c>
      <c r="C138" t="inlineStr">
        <is>
          <t>chr10</t>
        </is>
      </c>
      <c r="D138" t="n">
        <v>115609978</v>
      </c>
      <c r="E138" t="n">
        <v>115609978</v>
      </c>
      <c r="F138" t="inlineStr">
        <is>
          <t>A</t>
        </is>
      </c>
      <c r="G138" t="inlineStr">
        <is>
          <t>T</t>
        </is>
      </c>
      <c r="H138" t="inlineStr">
        <is>
          <t>1368.06</t>
        </is>
      </c>
      <c r="I138" t="inlineStr">
        <is>
          <t>50</t>
        </is>
      </c>
      <c r="J138" t="inlineStr">
        <is>
          <t>2,48</t>
        </is>
      </c>
      <c r="K138" t="inlineStr">
        <is>
          <t>.</t>
        </is>
      </c>
      <c r="L138" t="inlineStr">
        <is>
          <t>.</t>
        </is>
      </c>
      <c r="M138">
        <f>HYPERLINK("https://www.genecards.org/Search/Keyword?queryString=%5Baliases%5D(%20DCLRE1A%20)&amp;keywords=DCLRE1A", "DCLRE1A")</f>
        <v/>
      </c>
      <c r="N138" t="inlineStr">
        <is>
          <t>exonic</t>
        </is>
      </c>
      <c r="O138" t="inlineStr">
        <is>
          <t>nonsynonymous SNV</t>
        </is>
      </c>
      <c r="P138" t="inlineStr">
        <is>
          <t>DCLRE1A:NM_014881:exon2:c.T886A:p.C296S,DCLRE1A:NM_001271816:exon3:c.T886A:p.C296S;DCLRE1A:uc001law.3:exon2:c.T886A:p.C296S,DCLRE1A:uc031pxf.1:exon3:c.T886A:p.C296S;DCLRE1A:ENST00000361384.7_5:exon2:c.T886A:p.C296S,DCLRE1A:ENST00000369305.1_3:exon3:c.T886A:p.C296S</t>
        </is>
      </c>
      <c r="Q138" t="n">
        <v>-1</v>
      </c>
      <c r="R138" t="n">
        <v>-1</v>
      </c>
      <c r="S138" t="n">
        <v>-1</v>
      </c>
      <c r="T138" t="n">
        <v>-1</v>
      </c>
      <c r="U138" t="n">
        <v>-1</v>
      </c>
      <c r="V138" t="inlineStr">
        <is>
          <t>4/12</t>
        </is>
      </c>
      <c r="W138" t="inlineStr">
        <is>
          <t>.</t>
        </is>
      </c>
      <c r="X138" t="inlineStr">
        <is>
          <t>.</t>
        </is>
      </c>
      <c r="Y138" t="inlineStr">
        <is>
          <t>.</t>
        </is>
      </c>
      <c r="Z138" t="inlineStr">
        <is>
          <t>2/7</t>
        </is>
      </c>
      <c r="AA138" t="inlineStr">
        <is>
          <t>Uncertain significance</t>
        </is>
      </c>
      <c r="AB138" t="inlineStr">
        <is>
          <t>.</t>
        </is>
      </c>
      <c r="AC138" t="inlineStr">
        <is>
          <t>HOMO</t>
        </is>
      </c>
      <c r="AD138" t="inlineStr">
        <is>
          <t>2</t>
        </is>
      </c>
      <c r="AE138" t="inlineStr">
        <is>
          <t>4.67768893872676e-08</t>
        </is>
      </c>
      <c r="AF138" t="inlineStr">
        <is>
          <t>DNA cross-link repair 1A</t>
        </is>
      </c>
      <c r="AG138" t="inlineStr">
        <is>
          <t xml:space="preserve">FUNCTION: May be required for DNA interstrand cross-link repair. Also required for checkpoint mediated cell cycle arrest in early prophase in response to mitotic spindle poisons. {ECO:0000269|PubMed:15542852}.; </t>
        </is>
      </c>
      <c r="AH138" t="inlineStr">
        <is>
          <t>.</t>
        </is>
      </c>
      <c r="AI138" t="inlineStr">
        <is>
          <t>.</t>
        </is>
      </c>
      <c r="AJ138" t="inlineStr">
        <is>
          <t>.</t>
        </is>
      </c>
      <c r="AK138" t="inlineStr">
        <is>
          <t>.</t>
        </is>
      </c>
      <c r="AL138" t="inlineStr">
        <is>
          <t>.</t>
        </is>
      </c>
    </row>
    <row r="139">
      <c r="A139" t="inlineStr"/>
      <c r="B139">
        <f>HYPERLINK("https://genome.ucsc.edu/cgi-bin/hgTracks?db=hg19&amp;position=chr10%3A120810736%2D120810736", "chr10:120810736")</f>
        <v/>
      </c>
      <c r="C139" t="inlineStr">
        <is>
          <t>chr10</t>
        </is>
      </c>
      <c r="D139" t="n">
        <v>120810736</v>
      </c>
      <c r="E139" t="n">
        <v>120810736</v>
      </c>
      <c r="F139" t="inlineStr">
        <is>
          <t>T</t>
        </is>
      </c>
      <c r="G139" t="inlineStr">
        <is>
          <t>A</t>
        </is>
      </c>
      <c r="H139" t="inlineStr">
        <is>
          <t>926.64</t>
        </is>
      </c>
      <c r="I139" t="inlineStr">
        <is>
          <t>70</t>
        </is>
      </c>
      <c r="J139" t="inlineStr">
        <is>
          <t>33,37</t>
        </is>
      </c>
      <c r="K139" t="inlineStr">
        <is>
          <t>.</t>
        </is>
      </c>
      <c r="L139" t="inlineStr">
        <is>
          <t>.</t>
        </is>
      </c>
      <c r="M139">
        <f>HYPERLINK("https://www.genecards.org/Search/Keyword?queryString=%5Baliases%5D(%20EIF3A%20)&amp;keywords=EIF3A", "EIF3A")</f>
        <v/>
      </c>
      <c r="N139" t="inlineStr">
        <is>
          <t>exonic</t>
        </is>
      </c>
      <c r="O139" t="inlineStr">
        <is>
          <t>nonsynonymous SNV</t>
        </is>
      </c>
      <c r="P139" t="inlineStr">
        <is>
          <t>EIF3A:NM_003750:exon15:c.A2294T:p.K765I;EIF3A:uc001ldu.3:exon15:c.A2294T:p.K765I,EIF3A:uc010qsu.2:exon15:c.A2192T:p.K731I;EIF3A:ENST00000369144.8_5:exon15:c.A2294T:p.K765I,EIF3A:ENST00000541549.2_3:exon15:c.A2294T:p.K765I</t>
        </is>
      </c>
      <c r="Q139" t="n">
        <v>-1</v>
      </c>
      <c r="R139" t="n">
        <v>-1</v>
      </c>
      <c r="S139" t="n">
        <v>-1</v>
      </c>
      <c r="T139" t="n">
        <v>-1</v>
      </c>
      <c r="U139" t="n">
        <v>-1</v>
      </c>
      <c r="V139" t="inlineStr">
        <is>
          <t>6/11</t>
        </is>
      </c>
      <c r="W139" t="inlineStr">
        <is>
          <t>.</t>
        </is>
      </c>
      <c r="X139" t="inlineStr">
        <is>
          <t>.</t>
        </is>
      </c>
      <c r="Y139" t="inlineStr">
        <is>
          <t>.</t>
        </is>
      </c>
      <c r="Z139" t="inlineStr">
        <is>
          <t>4/7</t>
        </is>
      </c>
      <c r="AA139" t="inlineStr">
        <is>
          <t>Uncertain significance</t>
        </is>
      </c>
      <c r="AB139" t="inlineStr">
        <is>
          <t>.</t>
        </is>
      </c>
      <c r="AC139" t="inlineStr">
        <is>
          <t>0/1</t>
        </is>
      </c>
      <c r="AD139" t="inlineStr">
        <is>
          <t>1</t>
        </is>
      </c>
      <c r="AE139" t="inlineStr">
        <is>
          <t>0.999999999560078</t>
        </is>
      </c>
      <c r="AF139" t="inlineStr">
        <is>
          <t>eukaryotic translation initiation factor 3 subunit A</t>
        </is>
      </c>
      <c r="AG139" t="inlineStr">
        <is>
          <t xml:space="preserve">FUNCTION: Component of the eukaryotic translation initiation factor 3 (eIF-3) complex, which is required for several steps in the initiation of protein synthesis. The eIF-3 complex associates with the 40S ribosome and facilitates the recruitment of eIF-1, eIF-1A, eIF-2:GTP:methionyl-tRNAi and eIF-5 to form the 43S pre- initiation complex (43S PIC). The eIF-3 complex stimulates mRNA recruitment to the 43S PIC and scanning of the mRNA for AUG recognition. The eIF-3 complex is also required for disassembly and recycling of post-termination ribosomal complexes and subsequently prevents premature joining of the 40S and 60S ribosomal subunits prior to initiation. Essential for the initiation of translation on type-1 viral ribosomal entry sites (IRESs), like for HCV, PV, EV71 or BEV translation (PubMed:23766293, PubMed:24357634). In case of FCV infection, plays a role in the ribosomal termination-reinitiation event leading to the translation of VP2 (PubMed:18056426). {ECO:0000255|HAMAP-Rule:MF_03000, ECO:0000269|PubMed:11169732, ECO:0000269|PubMed:18056426, ECO:0000269|PubMed:23766293, ECO:0000269|PubMed:24357634}.; </t>
        </is>
      </c>
      <c r="AH139" t="inlineStr">
        <is>
          <t>.</t>
        </is>
      </c>
      <c r="AI139" t="inlineStr">
        <is>
          <t>.</t>
        </is>
      </c>
      <c r="AJ139" t="inlineStr">
        <is>
          <t>.</t>
        </is>
      </c>
      <c r="AK139" t="inlineStr">
        <is>
          <t>.</t>
        </is>
      </c>
      <c r="AL139" t="inlineStr">
        <is>
          <t>.</t>
        </is>
      </c>
    </row>
    <row r="140">
      <c r="A140" t="inlineStr"/>
      <c r="B140">
        <f>HYPERLINK("https://genome.ucsc.edu/cgi-bin/hgTracks?db=hg19&amp;position=chr10%3A126678112%2D126678112", "chr10:126678112")</f>
        <v/>
      </c>
      <c r="C140" t="inlineStr">
        <is>
          <t>chr10</t>
        </is>
      </c>
      <c r="D140" t="n">
        <v>126678112</v>
      </c>
      <c r="E140" t="n">
        <v>126678112</v>
      </c>
      <c r="F140" t="inlineStr">
        <is>
          <t>T</t>
        </is>
      </c>
      <c r="G140" t="inlineStr">
        <is>
          <t>C</t>
        </is>
      </c>
      <c r="H140" t="inlineStr">
        <is>
          <t>1785.64</t>
        </is>
      </c>
      <c r="I140" t="inlineStr">
        <is>
          <t>196</t>
        </is>
      </c>
      <c r="J140" t="inlineStr">
        <is>
          <t>142,54</t>
        </is>
      </c>
      <c r="K140" t="inlineStr">
        <is>
          <t>.</t>
        </is>
      </c>
      <c r="L140">
        <f>HYPERLINK("https://www.ncbi.nlm.nih.gov/snp/rs75839774", "rs75839774")</f>
        <v/>
      </c>
      <c r="M140">
        <f>HYPERLINK("https://www.genecards.org/Search/Keyword?queryString=%5Baliases%5D(%20CTBP2%20)&amp;keywords=CTBP2", "CTBP2")</f>
        <v/>
      </c>
      <c r="N140" t="inlineStr">
        <is>
          <t>exonic</t>
        </is>
      </c>
      <c r="O140" t="inlineStr">
        <is>
          <t>nonsynonymous SNV</t>
        </is>
      </c>
      <c r="P140" t="inlineStr">
        <is>
          <t>CTBP2:NM_001363508:exon9:c.A1517G:p.N506S,CTBP2:NM_022802:exon9:c.A2933G:p.N978S,CTBP2:NM_001321013:exon10:c.A1313G:p.N438S,CTBP2:NM_001083914:exon11:c.A1313G:p.N438S,CTBP2:NM_001290214:exon11:c.A1313G:p.N438S,CTBP2:NM_001290215:exon11:c.A1313G:p.N438S,CTBP2:NM_001321012:exon11:c.A1313G:p.N438S,CTBP2:NM_001321014:exon11:c.A1313G:p.N438S,CTBP2:NM_001329:exon11:c.A1313G:p.N438S;CTBP2:uc001lid.4:exon9:c.A1517G:p.N506S,CTBP2:uc001lie.4:exon9:c.A2933G:p.N978S,CTBP2:uc001lif.4:exon11:c.A1313G:p.N438S,CTBP2:uc001lih.4:exon11:c.A1313G:p.N438S,CTBP2:uc009yak.3:exon11:c.A1313G:p.N438S,CTBP2:uc009yal.3:exon11:c.A1313G:p.N438S;CTBP2:ENST00000309035.11_5:exon9:c.A2933G:p.N978S,CTBP2:ENST00000334808.10_4:exon9:c.A1517G:p.N506S,CTBP2:ENST00000337195.9_3:exon11:c.A1313G:p.N438S,CTBP2:ENST00000411419.6_3:exon11:c.A1313G:p.N438S,CTBP2:ENST00000494626.6_3:exon11:c.A1313G:p.N438S,CTBP2:ENST00000531469.5_3:exon11:c.A1313G:p.N438S</t>
        </is>
      </c>
      <c r="Q140" t="n">
        <v>0.000194</v>
      </c>
      <c r="R140" t="n">
        <v>-1</v>
      </c>
      <c r="S140" t="n">
        <v>-1</v>
      </c>
      <c r="T140" t="n">
        <v>-1</v>
      </c>
      <c r="U140" t="n">
        <v>-1</v>
      </c>
      <c r="V140" t="inlineStr">
        <is>
          <t>5/12</t>
        </is>
      </c>
      <c r="W140" t="inlineStr">
        <is>
          <t>.</t>
        </is>
      </c>
      <c r="X140" t="inlineStr">
        <is>
          <t>.</t>
        </is>
      </c>
      <c r="Y140" t="inlineStr">
        <is>
          <t>.</t>
        </is>
      </c>
      <c r="Z140" t="inlineStr">
        <is>
          <t>4/7</t>
        </is>
      </c>
      <c r="AA140" t="inlineStr">
        <is>
          <t>Uncertain significance</t>
        </is>
      </c>
      <c r="AB140" t="inlineStr">
        <is>
          <t>.</t>
        </is>
      </c>
      <c r="AC140" t="inlineStr">
        <is>
          <t>.</t>
        </is>
      </c>
      <c r="AD140" t="inlineStr">
        <is>
          <t>82</t>
        </is>
      </c>
      <c r="AE140" t="inlineStr">
        <is>
          <t>0.655184958473335</t>
        </is>
      </c>
      <c r="AF140" t="inlineStr">
        <is>
          <t>C-terminal binding protein 2</t>
        </is>
      </c>
      <c r="AG140" t="inlineStr">
        <is>
          <t xml:space="preserve">FUNCTION: Corepressor targeting diverse transcription regulators. Functions in brown adipose tissue (BAT) differentiation (By similarity). {ECO:0000250}.; </t>
        </is>
      </c>
      <c r="AH140" t="inlineStr">
        <is>
          <t>.</t>
        </is>
      </c>
      <c r="AI140" t="inlineStr">
        <is>
          <t>.</t>
        </is>
      </c>
      <c r="AJ140" t="inlineStr">
        <is>
          <t>.</t>
        </is>
      </c>
      <c r="AK140" t="inlineStr">
        <is>
          <t>.</t>
        </is>
      </c>
      <c r="AL140" t="inlineStr">
        <is>
          <t>NGS_LowStringency</t>
        </is>
      </c>
    </row>
    <row r="141">
      <c r="A141" t="inlineStr"/>
      <c r="B141">
        <f>HYPERLINK("https://genome.ucsc.edu/cgi-bin/hgTracks?db=hg19&amp;position=chr10%3A126678134%2D126678134", "chr10:126678134")</f>
        <v/>
      </c>
      <c r="C141" t="inlineStr">
        <is>
          <t>chr10</t>
        </is>
      </c>
      <c r="D141" t="n">
        <v>126678134</v>
      </c>
      <c r="E141" t="n">
        <v>126678134</v>
      </c>
      <c r="F141" t="inlineStr">
        <is>
          <t>G</t>
        </is>
      </c>
      <c r="G141" t="inlineStr">
        <is>
          <t>-</t>
        </is>
      </c>
      <c r="H141" t="inlineStr">
        <is>
          <t>1073.60</t>
        </is>
      </c>
      <c r="I141" t="inlineStr">
        <is>
          <t>194</t>
        </is>
      </c>
      <c r="J141" t="inlineStr">
        <is>
          <t>157,37</t>
        </is>
      </c>
      <c r="K141" t="inlineStr">
        <is>
          <t>.</t>
        </is>
      </c>
      <c r="L141">
        <f>HYPERLINK("https://www.ncbi.nlm.nih.gov/snp/rs146097043", "rs146097043")</f>
        <v/>
      </c>
      <c r="M141">
        <f>HYPERLINK("https://www.genecards.org/Search/Keyword?queryString=%5Baliases%5D(%20CTBP2%20)&amp;keywords=CTBP2", "CTBP2")</f>
        <v/>
      </c>
      <c r="N141" t="inlineStr">
        <is>
          <t>exonic</t>
        </is>
      </c>
      <c r="O141" t="inlineStr">
        <is>
          <t>frameshift deletion</t>
        </is>
      </c>
      <c r="P141" t="inlineStr">
        <is>
          <t>CTBP2:NM_001363508:exon9:c.1495delC:p.Q499Sfs*36,CTBP2:NM_022802:exon9:c.2911delC:p.Q971Sfs*36,CTBP2:NM_001321013:exon10:c.1291delC:p.Q431Sfs*36,CTBP2:NM_001083914:exon11:c.1291delC:p.Q431Sfs*36,CTBP2:NM_001290214:exon11:c.1291delC:p.Q431Sfs*36,CTBP2:NM_001290215:exon11:c.1291delC:p.Q431Sfs*36,CTBP2:NM_001321012:exon11:c.1291delC:p.Q431Sfs*36,CTBP2:NM_001321014:exon11:c.1291delC:p.Q431Sfs*36,CTBP2:NM_001329:exon11:c.1291delC:p.Q431Sfs*36;CTBP2:uc001lid.4:exon9:c.1495delC:p.Q499Sfs*36,CTBP2:uc001lie.4:exon9:c.2911delC:p.Q971Sfs*36,CTBP2:uc001lif.4:exon11:c.1291delC:p.Q431Sfs*36,CTBP2:uc001lih.4:exon11:c.1291delC:p.Q431Sfs*36,CTBP2:uc009yak.3:exon11:c.1291delC:p.Q431Sfs*36,CTBP2:uc009yal.3:exon11:c.1291delC:p.Q431Sfs*36;CTBP2:ENST00000309035.11_5:exon9:c.2911delC:p.Q971Sfs*36,CTBP2:ENST00000334808.10_4:exon9:c.1495delC:p.Q499Sfs*36,CTBP2:ENST00000337195.9_3:exon11:c.1291delC:p.Q431Sfs*36,CTBP2:ENST00000411419.6_3:exon11:c.1291delC:p.Q431Sfs*36,CTBP2:ENST00000494626.6_3:exon11:c.1291delC:p.Q431Sfs*36,CTBP2:ENST00000531469.5_3:exon11:c.1291delC:p.Q431Sfs*36</t>
        </is>
      </c>
      <c r="Q141" t="n">
        <v>2.59e-05</v>
      </c>
      <c r="R141" t="n">
        <v>-1</v>
      </c>
      <c r="S141" t="n">
        <v>-1</v>
      </c>
      <c r="T141" t="n">
        <v>-1</v>
      </c>
      <c r="U141" t="n">
        <v>-1</v>
      </c>
      <c r="V141" t="inlineStr">
        <is>
          <t>.</t>
        </is>
      </c>
      <c r="W141" t="inlineStr">
        <is>
          <t>.</t>
        </is>
      </c>
      <c r="X141" t="inlineStr">
        <is>
          <t>.</t>
        </is>
      </c>
      <c r="Y141" t="inlineStr">
        <is>
          <t>.</t>
        </is>
      </c>
      <c r="Z141" t="inlineStr">
        <is>
          <t>.</t>
        </is>
      </c>
      <c r="AA141" t="inlineStr">
        <is>
          <t>.</t>
        </is>
      </c>
      <c r="AB141" t="inlineStr">
        <is>
          <t>.</t>
        </is>
      </c>
      <c r="AC141" t="inlineStr">
        <is>
          <t>0/1</t>
        </is>
      </c>
      <c r="AD141" t="inlineStr">
        <is>
          <t>82</t>
        </is>
      </c>
      <c r="AE141" t="inlineStr">
        <is>
          <t>0.655184958473335</t>
        </is>
      </c>
      <c r="AF141" t="inlineStr">
        <is>
          <t>C-terminal binding protein 2</t>
        </is>
      </c>
      <c r="AG141" t="inlineStr">
        <is>
          <t xml:space="preserve">FUNCTION: Corepressor targeting diverse transcription regulators. Functions in brown adipose tissue (BAT) differentiation (By similarity). {ECO:0000250}.; </t>
        </is>
      </c>
      <c r="AH141" t="inlineStr">
        <is>
          <t>.</t>
        </is>
      </c>
      <c r="AI141" t="inlineStr">
        <is>
          <t>.</t>
        </is>
      </c>
      <c r="AJ141" t="inlineStr">
        <is>
          <t>.</t>
        </is>
      </c>
      <c r="AK141" t="inlineStr">
        <is>
          <t>.</t>
        </is>
      </c>
      <c r="AL141" t="inlineStr">
        <is>
          <t>NGS_LowStringency</t>
        </is>
      </c>
    </row>
    <row r="142">
      <c r="A142" t="inlineStr"/>
      <c r="B142">
        <f>HYPERLINK("https://genome.ucsc.edu/cgi-bin/hgTracks?db=hg19&amp;position=chr10%3A126678148%2D126678148", "chr10:126678148")</f>
        <v/>
      </c>
      <c r="C142" t="inlineStr">
        <is>
          <t>chr10</t>
        </is>
      </c>
      <c r="D142" t="n">
        <v>126678148</v>
      </c>
      <c r="E142" t="n">
        <v>126678148</v>
      </c>
      <c r="F142" t="inlineStr">
        <is>
          <t>G</t>
        </is>
      </c>
      <c r="G142" t="inlineStr">
        <is>
          <t>C</t>
        </is>
      </c>
      <c r="H142" t="inlineStr">
        <is>
          <t>384.64</t>
        </is>
      </c>
      <c r="I142" t="inlineStr">
        <is>
          <t>192</t>
        </is>
      </c>
      <c r="J142" t="inlineStr">
        <is>
          <t>170,22</t>
        </is>
      </c>
      <c r="K142" t="inlineStr">
        <is>
          <t>.</t>
        </is>
      </c>
      <c r="L142">
        <f>HYPERLINK("https://www.ncbi.nlm.nih.gov/snp/rs146419230", "rs146419230")</f>
        <v/>
      </c>
      <c r="M142">
        <f>HYPERLINK("https://www.genecards.org/Search/Keyword?queryString=%5Baliases%5D(%20CTBP2%20)&amp;keywords=CTBP2", "CTBP2")</f>
        <v/>
      </c>
      <c r="N142" t="inlineStr">
        <is>
          <t>exonic</t>
        </is>
      </c>
      <c r="O142" t="inlineStr">
        <is>
          <t>nonsynonymous SNV</t>
        </is>
      </c>
      <c r="P142" t="inlineStr">
        <is>
          <t>CTBP2:NM_001363508:exon9:c.C1481G:p.A494G,CTBP2:NM_022802:exon9:c.C2897G:p.A966G,CTBP2:NM_001321013:exon10:c.C1277G:p.A426G,CTBP2:NM_001083914:exon11:c.C1277G:p.A426G,CTBP2:NM_001290214:exon11:c.C1277G:p.A426G,CTBP2:NM_001290215:exon11:c.C1277G:p.A426G,CTBP2:NM_001321012:exon11:c.C1277G:p.A426G,CTBP2:NM_001321014:exon11:c.C1277G:p.A426G,CTBP2:NM_001329:exon11:c.C1277G:p.A426G;CTBP2:uc001lid.4:exon9:c.C1481G:p.A494G,CTBP2:uc001lie.4:exon9:c.C2897G:p.A966G,CTBP2:uc001lif.4:exon11:c.C1277G:p.A426G,CTBP2:uc001lih.4:exon11:c.C1277G:p.A426G,CTBP2:uc009yak.3:exon11:c.C1277G:p.A426G,CTBP2:uc009yal.3:exon11:c.C1277G:p.A426G;CTBP2:ENST00000309035.11_5:exon9:c.C2897G:p.A966G,CTBP2:ENST00000334808.10_4:exon9:c.C1481G:p.A494G,CTBP2:ENST00000337195.9_3:exon11:c.C1277G:p.A426G,CTBP2:ENST00000411419.6_3:exon11:c.C1277G:p.A426G,CTBP2:ENST00000494626.6_3:exon11:c.C1277G:p.A426G,CTBP2:ENST00000531469.5_3:exon11:c.C1277G:p.A426G</t>
        </is>
      </c>
      <c r="Q142" t="n">
        <v>6.47e-05</v>
      </c>
      <c r="R142" t="n">
        <v>-1</v>
      </c>
      <c r="S142" t="n">
        <v>-1</v>
      </c>
      <c r="T142" t="n">
        <v>-1</v>
      </c>
      <c r="U142" t="n">
        <v>-1</v>
      </c>
      <c r="V142" t="inlineStr">
        <is>
          <t>8/12</t>
        </is>
      </c>
      <c r="W142" t="inlineStr">
        <is>
          <t>.</t>
        </is>
      </c>
      <c r="X142" t="inlineStr">
        <is>
          <t>.</t>
        </is>
      </c>
      <c r="Y142" t="inlineStr">
        <is>
          <t>.</t>
        </is>
      </c>
      <c r="Z142" t="inlineStr">
        <is>
          <t>5/7</t>
        </is>
      </c>
      <c r="AA142" t="inlineStr">
        <is>
          <t>Uncertain significance</t>
        </is>
      </c>
      <c r="AB142" t="inlineStr">
        <is>
          <t>.</t>
        </is>
      </c>
      <c r="AC142" t="inlineStr">
        <is>
          <t>0/1</t>
        </is>
      </c>
      <c r="AD142" t="inlineStr">
        <is>
          <t>82</t>
        </is>
      </c>
      <c r="AE142" t="inlineStr">
        <is>
          <t>0.655184958473335</t>
        </is>
      </c>
      <c r="AF142" t="inlineStr">
        <is>
          <t>C-terminal binding protein 2</t>
        </is>
      </c>
      <c r="AG142" t="inlineStr">
        <is>
          <t xml:space="preserve">FUNCTION: Corepressor targeting diverse transcription regulators. Functions in brown adipose tissue (BAT) differentiation (By similarity). {ECO:0000250}.; </t>
        </is>
      </c>
      <c r="AH142" t="inlineStr">
        <is>
          <t>.</t>
        </is>
      </c>
      <c r="AI142" t="inlineStr">
        <is>
          <t>.</t>
        </is>
      </c>
      <c r="AJ142" t="inlineStr">
        <is>
          <t>.</t>
        </is>
      </c>
      <c r="AK142" t="inlineStr">
        <is>
          <t>.</t>
        </is>
      </c>
      <c r="AL142" t="inlineStr">
        <is>
          <t>NGS_LowStringency</t>
        </is>
      </c>
    </row>
    <row r="143">
      <c r="A143" t="inlineStr"/>
      <c r="B143">
        <f>HYPERLINK("https://genome.ucsc.edu/cgi-bin/hgTracks?db=hg19&amp;position=chr10%3A126678163%2D126678163", "chr10:126678163")</f>
        <v/>
      </c>
      <c r="C143" t="inlineStr">
        <is>
          <t>chr10</t>
        </is>
      </c>
      <c r="D143" t="n">
        <v>126678163</v>
      </c>
      <c r="E143" t="n">
        <v>126678163</v>
      </c>
      <c r="F143" t="inlineStr">
        <is>
          <t>G</t>
        </is>
      </c>
      <c r="G143" t="inlineStr">
        <is>
          <t>A</t>
        </is>
      </c>
      <c r="H143" t="inlineStr">
        <is>
          <t>2220.64</t>
        </is>
      </c>
      <c r="I143" t="inlineStr">
        <is>
          <t>244</t>
        </is>
      </c>
      <c r="J143" t="inlineStr">
        <is>
          <t>175,69</t>
        </is>
      </c>
      <c r="K143" t="inlineStr">
        <is>
          <t>.</t>
        </is>
      </c>
      <c r="L143">
        <f>HYPERLINK("https://www.ncbi.nlm.nih.gov/snp/rs796932553", "rs796932553")</f>
        <v/>
      </c>
      <c r="M143">
        <f>HYPERLINK("https://www.genecards.org/Search/Keyword?queryString=%5Baliases%5D(%20CTBP2%20)&amp;keywords=CTBP2", "CTBP2")</f>
        <v/>
      </c>
      <c r="N143" t="inlineStr">
        <is>
          <t>exonic</t>
        </is>
      </c>
      <c r="O143" t="inlineStr">
        <is>
          <t>nonsynonymous SNV</t>
        </is>
      </c>
      <c r="P143" t="inlineStr">
        <is>
          <t>CTBP2:NM_001363508:exon9:c.C1466T:p.A489V,CTBP2:NM_022802:exon9:c.C2882T:p.A961V,CTBP2:NM_001321013:exon10:c.C1262T:p.A421V,CTBP2:NM_001083914:exon11:c.C1262T:p.A421V,CTBP2:NM_001290214:exon11:c.C1262T:p.A421V,CTBP2:NM_001290215:exon11:c.C1262T:p.A421V,CTBP2:NM_001321012:exon11:c.C1262T:p.A421V,CTBP2:NM_001321014:exon11:c.C1262T:p.A421V,CTBP2:NM_001329:exon11:c.C1262T:p.A421V;CTBP2:uc001lid.4:exon9:c.C1466T:p.A489V,CTBP2:uc001lie.4:exon9:c.C2882T:p.A961V,CTBP2:uc001lif.4:exon11:c.C1262T:p.A421V,CTBP2:uc001lih.4:exon11:c.C1262T:p.A421V,CTBP2:uc009yak.3:exon11:c.C1262T:p.A421V,CTBP2:uc009yal.3:exon11:c.C1262T:p.A421V;CTBP2:ENST00000309035.11_5:exon9:c.C2882T:p.A961V,CTBP2:ENST00000334808.10_4:exon9:c.C1466T:p.A489V,CTBP2:ENST00000337195.9_3:exon11:c.C1262T:p.A421V,CTBP2:ENST00000411419.6_3:exon11:c.C1262T:p.A421V,CTBP2:ENST00000494626.6_3:exon11:c.C1262T:p.A421V,CTBP2:ENST00000531469.5_3:exon11:c.C1262T:p.A421V</t>
        </is>
      </c>
      <c r="Q143" t="n">
        <v>2.59e-05</v>
      </c>
      <c r="R143" t="n">
        <v>-1</v>
      </c>
      <c r="S143" t="n">
        <v>-1</v>
      </c>
      <c r="T143" t="n">
        <v>-1</v>
      </c>
      <c r="U143" t="n">
        <v>-1</v>
      </c>
      <c r="V143" t="inlineStr">
        <is>
          <t>6/12</t>
        </is>
      </c>
      <c r="W143" t="inlineStr">
        <is>
          <t>.</t>
        </is>
      </c>
      <c r="X143" t="inlineStr">
        <is>
          <t>.</t>
        </is>
      </c>
      <c r="Y143" t="inlineStr">
        <is>
          <t>.</t>
        </is>
      </c>
      <c r="Z143" t="inlineStr">
        <is>
          <t>3/7</t>
        </is>
      </c>
      <c r="AA143" t="inlineStr">
        <is>
          <t>Uncertain significance</t>
        </is>
      </c>
      <c r="AB143" t="inlineStr">
        <is>
          <t>.</t>
        </is>
      </c>
      <c r="AC143" t="inlineStr">
        <is>
          <t>.</t>
        </is>
      </c>
      <c r="AD143" t="inlineStr">
        <is>
          <t>82</t>
        </is>
      </c>
      <c r="AE143" t="inlineStr">
        <is>
          <t>0.655184958473335</t>
        </is>
      </c>
      <c r="AF143" t="inlineStr">
        <is>
          <t>C-terminal binding protein 2</t>
        </is>
      </c>
      <c r="AG143" t="inlineStr">
        <is>
          <t xml:space="preserve">FUNCTION: Corepressor targeting diverse transcription regulators. Functions in brown adipose tissue (BAT) differentiation (By similarity). {ECO:0000250}.; </t>
        </is>
      </c>
      <c r="AH143" t="inlineStr">
        <is>
          <t>.</t>
        </is>
      </c>
      <c r="AI143" t="inlineStr">
        <is>
          <t>.</t>
        </is>
      </c>
      <c r="AJ143" t="inlineStr">
        <is>
          <t>.</t>
        </is>
      </c>
      <c r="AK143" t="inlineStr">
        <is>
          <t>.</t>
        </is>
      </c>
      <c r="AL143" t="inlineStr">
        <is>
          <t>NGS_LowStringency</t>
        </is>
      </c>
    </row>
    <row r="144">
      <c r="A144" t="inlineStr"/>
      <c r="B144">
        <f>HYPERLINK("https://genome.ucsc.edu/cgi-bin/hgTracks?db=hg19&amp;position=chr10%3A126678182%2D126678182", "chr10:126678182")</f>
        <v/>
      </c>
      <c r="C144" t="inlineStr">
        <is>
          <t>chr10</t>
        </is>
      </c>
      <c r="D144" t="n">
        <v>126678182</v>
      </c>
      <c r="E144" t="n">
        <v>126678182</v>
      </c>
      <c r="F144" t="inlineStr">
        <is>
          <t>G</t>
        </is>
      </c>
      <c r="G144" t="inlineStr">
        <is>
          <t>C</t>
        </is>
      </c>
      <c r="H144" t="inlineStr">
        <is>
          <t>1775.64</t>
        </is>
      </c>
      <c r="I144" t="inlineStr">
        <is>
          <t>200</t>
        </is>
      </c>
      <c r="J144" t="inlineStr">
        <is>
          <t>147,53</t>
        </is>
      </c>
      <c r="K144" t="inlineStr">
        <is>
          <t>.</t>
        </is>
      </c>
      <c r="L144">
        <f>HYPERLINK("https://www.ncbi.nlm.nih.gov/snp/rs1021788055", "rs1021788055")</f>
        <v/>
      </c>
      <c r="M144">
        <f>HYPERLINK("https://www.genecards.org/Search/Keyword?queryString=%5Baliases%5D(%20CTBP2%20)&amp;keywords=CTBP2", "CTBP2")</f>
        <v/>
      </c>
      <c r="N144" t="inlineStr">
        <is>
          <t>exonic</t>
        </is>
      </c>
      <c r="O144" t="inlineStr">
        <is>
          <t>nonsynonymous SNV</t>
        </is>
      </c>
      <c r="P144" t="inlineStr">
        <is>
          <t>CTBP2:NM_001363508:exon9:c.C1447G:p.H483D,CTBP2:NM_022802:exon9:c.C2863G:p.H955D,CTBP2:NM_001321013:exon10:c.C1243G:p.H415D,CTBP2:NM_001083914:exon11:c.C1243G:p.H415D,CTBP2:NM_001290214:exon11:c.C1243G:p.H415D,CTBP2:NM_001290215:exon11:c.C1243G:p.H415D,CTBP2:NM_001321012:exon11:c.C1243G:p.H415D,CTBP2:NM_001321014:exon11:c.C1243G:p.H415D,CTBP2:NM_001329:exon11:c.C1243G:p.H415D;CTBP2:uc001lid.4:exon9:c.C1447G:p.H483D,CTBP2:uc001lie.4:exon9:c.C2863G:p.H955D,CTBP2:uc001lif.4:exon11:c.C1243G:p.H415D,CTBP2:uc001lih.4:exon11:c.C1243G:p.H415D,CTBP2:uc009yak.3:exon11:c.C1243G:p.H415D,CTBP2:uc009yal.3:exon11:c.C1243G:p.H415D;CTBP2:ENST00000309035.11_5:exon9:c.C2863G:p.H955D,CTBP2:ENST00000334808.10_4:exon9:c.C1447G:p.H483D,CTBP2:ENST00000337195.9_3:exon11:c.C1243G:p.H415D,CTBP2:ENST00000411419.6_3:exon11:c.C1243G:p.H415D,CTBP2:ENST00000494626.6_3:exon11:c.C1243G:p.H415D,CTBP2:ENST00000531469.5_3:exon11:c.C1243G:p.H415D</t>
        </is>
      </c>
      <c r="Q144" t="n">
        <v>-1</v>
      </c>
      <c r="R144" t="n">
        <v>-1</v>
      </c>
      <c r="S144" t="n">
        <v>-1</v>
      </c>
      <c r="T144" t="n">
        <v>-1</v>
      </c>
      <c r="U144" t="n">
        <v>-1</v>
      </c>
      <c r="V144" t="inlineStr">
        <is>
          <t>10/12</t>
        </is>
      </c>
      <c r="W144" t="inlineStr">
        <is>
          <t>.</t>
        </is>
      </c>
      <c r="X144" t="inlineStr">
        <is>
          <t>.</t>
        </is>
      </c>
      <c r="Y144" t="inlineStr">
        <is>
          <t>.</t>
        </is>
      </c>
      <c r="Z144" t="inlineStr">
        <is>
          <t>5/7</t>
        </is>
      </c>
      <c r="AA144" t="inlineStr">
        <is>
          <t>Uncertain significance</t>
        </is>
      </c>
      <c r="AB144" t="inlineStr">
        <is>
          <t>.</t>
        </is>
      </c>
      <c r="AC144" t="inlineStr">
        <is>
          <t>.</t>
        </is>
      </c>
      <c r="AD144" t="inlineStr">
        <is>
          <t>82</t>
        </is>
      </c>
      <c r="AE144" t="inlineStr">
        <is>
          <t>0.655184958473335</t>
        </is>
      </c>
      <c r="AF144" t="inlineStr">
        <is>
          <t>C-terminal binding protein 2</t>
        </is>
      </c>
      <c r="AG144" t="inlineStr">
        <is>
          <t xml:space="preserve">FUNCTION: Corepressor targeting diverse transcription regulators. Functions in brown adipose tissue (BAT) differentiation (By similarity). {ECO:0000250}.; </t>
        </is>
      </c>
      <c r="AH144" t="inlineStr">
        <is>
          <t>.</t>
        </is>
      </c>
      <c r="AI144" t="inlineStr">
        <is>
          <t>.</t>
        </is>
      </c>
      <c r="AJ144" t="inlineStr">
        <is>
          <t>.</t>
        </is>
      </c>
      <c r="AK144" t="inlineStr">
        <is>
          <t>.</t>
        </is>
      </c>
      <c r="AL144" t="inlineStr">
        <is>
          <t>NGS_LowStringency</t>
        </is>
      </c>
    </row>
    <row r="145">
      <c r="A145" t="inlineStr"/>
      <c r="B145">
        <f>HYPERLINK("https://genome.ucsc.edu/cgi-bin/hgTracks?db=hg19&amp;position=chr10%3A126678211%2D126678211", "chr10:126678211")</f>
        <v/>
      </c>
      <c r="C145" t="inlineStr">
        <is>
          <t>chr10</t>
        </is>
      </c>
      <c r="D145" t="n">
        <v>126678211</v>
      </c>
      <c r="E145" t="n">
        <v>126678211</v>
      </c>
      <c r="F145" t="inlineStr">
        <is>
          <t>C</t>
        </is>
      </c>
      <c r="G145" t="inlineStr">
        <is>
          <t>T</t>
        </is>
      </c>
      <c r="H145" t="inlineStr">
        <is>
          <t>1408.64</t>
        </is>
      </c>
      <c r="I145" t="inlineStr">
        <is>
          <t>141</t>
        </is>
      </c>
      <c r="J145" t="inlineStr">
        <is>
          <t>100,41</t>
        </is>
      </c>
      <c r="K145" t="inlineStr">
        <is>
          <t>.</t>
        </is>
      </c>
      <c r="L145">
        <f>HYPERLINK("https://www.ncbi.nlm.nih.gov/snp/rs1048828483", "rs1048828483")</f>
        <v/>
      </c>
      <c r="M145">
        <f>HYPERLINK("https://www.genecards.org/Search/Keyword?queryString=%5Baliases%5D(%20CTBP2%20)&amp;keywords=CTBP2", "CTBP2")</f>
        <v/>
      </c>
      <c r="N145" t="inlineStr">
        <is>
          <t>exonic</t>
        </is>
      </c>
      <c r="O145" t="inlineStr">
        <is>
          <t>nonsynonymous SNV</t>
        </is>
      </c>
      <c r="P145" t="inlineStr">
        <is>
          <t>CTBP2:NM_001363508:exon9:c.G1418A:p.G473E,CTBP2:NM_022802:exon9:c.G2834A:p.G945E,CTBP2:NM_001321013:exon10:c.G1214A:p.G405E,CTBP2:NM_001083914:exon11:c.G1214A:p.G405E,CTBP2:NM_001290214:exon11:c.G1214A:p.G405E,CTBP2:NM_001290215:exon11:c.G1214A:p.G405E,CTBP2:NM_001321012:exon11:c.G1214A:p.G405E,CTBP2:NM_001321014:exon11:c.G1214A:p.G405E,CTBP2:NM_001329:exon11:c.G1214A:p.G405E;CTBP2:uc001lid.4:exon9:c.G1418A:p.G473E,CTBP2:uc001lie.4:exon9:c.G2834A:p.G945E,CTBP2:uc001lif.4:exon11:c.G1214A:p.G405E,CTBP2:uc001lih.4:exon11:c.G1214A:p.G405E,CTBP2:uc009yak.3:exon11:c.G1214A:p.G405E,CTBP2:uc009yal.3:exon11:c.G1214A:p.G405E;CTBP2:ENST00000309035.11_5:exon9:c.G2834A:p.G945E,CTBP2:ENST00000334808.10_4:exon9:c.G1418A:p.G473E,CTBP2:ENST00000337195.9_3:exon11:c.G1214A:p.G405E,CTBP2:ENST00000411419.6_3:exon11:c.G1214A:p.G405E,CTBP2:ENST00000494626.6_3:exon11:c.G1214A:p.G405E,CTBP2:ENST00000531469.5_3:exon11:c.G1214A:p.G405E</t>
        </is>
      </c>
      <c r="Q145" t="n">
        <v>-1</v>
      </c>
      <c r="R145" t="n">
        <v>-1</v>
      </c>
      <c r="S145" t="n">
        <v>-1</v>
      </c>
      <c r="T145" t="n">
        <v>-1</v>
      </c>
      <c r="U145" t="n">
        <v>-1</v>
      </c>
      <c r="V145" t="inlineStr">
        <is>
          <t>10/12</t>
        </is>
      </c>
      <c r="W145" t="inlineStr">
        <is>
          <t>.</t>
        </is>
      </c>
      <c r="X145" t="inlineStr">
        <is>
          <t>.</t>
        </is>
      </c>
      <c r="Y145" t="inlineStr">
        <is>
          <t>.</t>
        </is>
      </c>
      <c r="Z145" t="inlineStr">
        <is>
          <t>4/7</t>
        </is>
      </c>
      <c r="AA145" t="inlineStr">
        <is>
          <t>Uncertain significance</t>
        </is>
      </c>
      <c r="AB145" t="inlineStr">
        <is>
          <t>.</t>
        </is>
      </c>
      <c r="AC145" t="inlineStr">
        <is>
          <t>0/1</t>
        </is>
      </c>
      <c r="AD145" t="inlineStr">
        <is>
          <t>82</t>
        </is>
      </c>
      <c r="AE145" t="inlineStr">
        <is>
          <t>0.655184958473335</t>
        </is>
      </c>
      <c r="AF145" t="inlineStr">
        <is>
          <t>C-terminal binding protein 2</t>
        </is>
      </c>
      <c r="AG145" t="inlineStr">
        <is>
          <t xml:space="preserve">FUNCTION: Corepressor targeting diverse transcription regulators. Functions in brown adipose tissue (BAT) differentiation (By similarity). {ECO:0000250}.; </t>
        </is>
      </c>
      <c r="AH145" t="inlineStr">
        <is>
          <t>.</t>
        </is>
      </c>
      <c r="AI145" t="inlineStr">
        <is>
          <t>.</t>
        </is>
      </c>
      <c r="AJ145" t="inlineStr">
        <is>
          <t>.</t>
        </is>
      </c>
      <c r="AK145" t="inlineStr">
        <is>
          <t>.</t>
        </is>
      </c>
      <c r="AL145" t="inlineStr">
        <is>
          <t>NGS_LowStringency</t>
        </is>
      </c>
    </row>
    <row r="146">
      <c r="A146" t="inlineStr"/>
      <c r="B146">
        <f>HYPERLINK("https://genome.ucsc.edu/cgi-bin/hgTracks?db=hg19&amp;position=chr10%3A126678217%2D126678217", "chr10:126678217")</f>
        <v/>
      </c>
      <c r="C146" t="inlineStr">
        <is>
          <t>chr10</t>
        </is>
      </c>
      <c r="D146" t="n">
        <v>126678217</v>
      </c>
      <c r="E146" t="n">
        <v>126678217</v>
      </c>
      <c r="F146" t="inlineStr">
        <is>
          <t>A</t>
        </is>
      </c>
      <c r="G146" t="inlineStr">
        <is>
          <t>C</t>
        </is>
      </c>
      <c r="H146" t="inlineStr">
        <is>
          <t>951.64</t>
        </is>
      </c>
      <c r="I146" t="inlineStr">
        <is>
          <t>130</t>
        </is>
      </c>
      <c r="J146" t="inlineStr">
        <is>
          <t>100,30</t>
        </is>
      </c>
      <c r="K146" t="inlineStr">
        <is>
          <t>.</t>
        </is>
      </c>
      <c r="L146">
        <f>HYPERLINK("https://www.ncbi.nlm.nih.gov/snp/rs909045814", "rs909045814")</f>
        <v/>
      </c>
      <c r="M146">
        <f>HYPERLINK("https://www.genecards.org/Search/Keyword?queryString=%5Baliases%5D(%20CTBP2%20)&amp;keywords=CTBP2", "CTBP2")</f>
        <v/>
      </c>
      <c r="N146" t="inlineStr">
        <is>
          <t>exonic</t>
        </is>
      </c>
      <c r="O146" t="inlineStr">
        <is>
          <t>nonsynonymous SNV</t>
        </is>
      </c>
      <c r="P146" t="inlineStr">
        <is>
          <t>CTBP2:NM_001363508:exon9:c.T1412G:p.M471R,CTBP2:NM_022802:exon9:c.T2828G:p.M943R,CTBP2:NM_001321013:exon10:c.T1208G:p.M403R,CTBP2:NM_001083914:exon11:c.T1208G:p.M403R,CTBP2:NM_001290214:exon11:c.T1208G:p.M403R,CTBP2:NM_001290215:exon11:c.T1208G:p.M403R,CTBP2:NM_001321012:exon11:c.T1208G:p.M403R,CTBP2:NM_001321014:exon11:c.T1208G:p.M403R,CTBP2:NM_001329:exon11:c.T1208G:p.M403R;CTBP2:uc001lid.4:exon9:c.T1412G:p.M471R,CTBP2:uc001lie.4:exon9:c.T2828G:p.M943R,CTBP2:uc001lif.4:exon11:c.T1208G:p.M403R,CTBP2:uc001lih.4:exon11:c.T1208G:p.M403R,CTBP2:uc009yak.3:exon11:c.T1208G:p.M403R,CTBP2:uc009yal.3:exon11:c.T1208G:p.M403R;CTBP2:ENST00000309035.11_5:exon9:c.T2828G:p.M943R,CTBP2:ENST00000334808.10_4:exon9:c.T1412G:p.M471R,CTBP2:ENST00000337195.9_3:exon11:c.T1208G:p.M403R,CTBP2:ENST00000411419.6_3:exon11:c.T1208G:p.M403R,CTBP2:ENST00000494626.6_3:exon11:c.T1208G:p.M403R,CTBP2:ENST00000531469.5_3:exon11:c.T1208G:p.M403R</t>
        </is>
      </c>
      <c r="Q146" t="n">
        <v>3.88e-05</v>
      </c>
      <c r="R146" t="n">
        <v>-1</v>
      </c>
      <c r="S146" t="n">
        <v>-1</v>
      </c>
      <c r="T146" t="n">
        <v>-1</v>
      </c>
      <c r="U146" t="n">
        <v>-1</v>
      </c>
      <c r="V146" t="inlineStr">
        <is>
          <t>5/12</t>
        </is>
      </c>
      <c r="W146" t="inlineStr">
        <is>
          <t>.</t>
        </is>
      </c>
      <c r="X146" t="inlineStr">
        <is>
          <t>.</t>
        </is>
      </c>
      <c r="Y146" t="inlineStr">
        <is>
          <t>.</t>
        </is>
      </c>
      <c r="Z146" t="inlineStr">
        <is>
          <t>6/7</t>
        </is>
      </c>
      <c r="AA146" t="inlineStr">
        <is>
          <t>Uncertain significance</t>
        </is>
      </c>
      <c r="AB146" t="inlineStr">
        <is>
          <t>.</t>
        </is>
      </c>
      <c r="AC146" t="inlineStr">
        <is>
          <t>.</t>
        </is>
      </c>
      <c r="AD146" t="inlineStr">
        <is>
          <t>82</t>
        </is>
      </c>
      <c r="AE146" t="inlineStr">
        <is>
          <t>0.655184958473335</t>
        </is>
      </c>
      <c r="AF146" t="inlineStr">
        <is>
          <t>C-terminal binding protein 2</t>
        </is>
      </c>
      <c r="AG146" t="inlineStr">
        <is>
          <t xml:space="preserve">FUNCTION: Corepressor targeting diverse transcription regulators. Functions in brown adipose tissue (BAT) differentiation (By similarity). {ECO:0000250}.; </t>
        </is>
      </c>
      <c r="AH146" t="inlineStr">
        <is>
          <t>.</t>
        </is>
      </c>
      <c r="AI146" t="inlineStr">
        <is>
          <t>.</t>
        </is>
      </c>
      <c r="AJ146" t="inlineStr">
        <is>
          <t>.</t>
        </is>
      </c>
      <c r="AK146" t="inlineStr">
        <is>
          <t>.</t>
        </is>
      </c>
      <c r="AL146" t="inlineStr">
        <is>
          <t>NGS_LowStringency</t>
        </is>
      </c>
    </row>
    <row r="147">
      <c r="A147" t="inlineStr"/>
      <c r="B147">
        <f>HYPERLINK("https://genome.ucsc.edu/cgi-bin/hgTracks?db=hg19&amp;position=chr10%3A126678226%2D126678226", "chr10:126678226")</f>
        <v/>
      </c>
      <c r="C147" t="inlineStr">
        <is>
          <t>chr10</t>
        </is>
      </c>
      <c r="D147" t="n">
        <v>126678226</v>
      </c>
      <c r="E147" t="n">
        <v>126678226</v>
      </c>
      <c r="F147" t="inlineStr">
        <is>
          <t>G</t>
        </is>
      </c>
      <c r="G147" t="inlineStr">
        <is>
          <t>-</t>
        </is>
      </c>
      <c r="H147" t="inlineStr">
        <is>
          <t>894.60</t>
        </is>
      </c>
      <c r="I147" t="inlineStr">
        <is>
          <t>119</t>
        </is>
      </c>
      <c r="J147" t="inlineStr">
        <is>
          <t>91,28</t>
        </is>
      </c>
      <c r="K147" t="inlineStr">
        <is>
          <t>.</t>
        </is>
      </c>
      <c r="L147" t="inlineStr">
        <is>
          <t>.</t>
        </is>
      </c>
      <c r="M147">
        <f>HYPERLINK("https://www.genecards.org/Search/Keyword?queryString=%5Baliases%5D(%20CTBP2%20)&amp;keywords=CTBP2", "CTBP2")</f>
        <v/>
      </c>
      <c r="N147" t="inlineStr">
        <is>
          <t>exonic</t>
        </is>
      </c>
      <c r="O147" t="inlineStr">
        <is>
          <t>frameshift deletion</t>
        </is>
      </c>
      <c r="P147" t="inlineStr">
        <is>
          <t>CTBP2:NM_001363508:exon9:c.1403delC:p.P468Lfs*14,CTBP2:NM_022802:exon9:c.2819delC:p.P940Lfs*14,CTBP2:NM_001321013:exon10:c.1199delC:p.P400Lfs*14,CTBP2:NM_001083914:exon11:c.1199delC:p.P400Lfs*14,CTBP2:NM_001290214:exon11:c.1199delC:p.P400Lfs*14,CTBP2:NM_001290215:exon11:c.1199delC:p.P400Lfs*14,CTBP2:NM_001321012:exon11:c.1199delC:p.P400Lfs*14,CTBP2:NM_001321014:exon11:c.1199delC:p.P400Lfs*14,CTBP2:NM_001329:exon11:c.1199delC:p.P400Lfs*14;CTBP2:uc001lid.4:exon9:c.1403delC:p.P468Lfs*14,CTBP2:uc001lie.4:exon9:c.2819delC:p.P940Lfs*14,CTBP2:uc001lif.4:exon11:c.1199delC:p.P400Lfs*14,CTBP2:uc001lih.4:exon11:c.1199delC:p.P400Lfs*14,CTBP2:uc009yak.3:exon11:c.1199delC:p.P400Lfs*14,CTBP2:uc009yal.3:exon11:c.1199delC:p.P400Lfs*14;CTBP2:ENST00000309035.11_5:exon9:c.2819delC:p.P940Lfs*14,CTBP2:ENST00000334808.10_4:exon9:c.1403delC:p.P468Lfs*14,CTBP2:ENST00000337195.9_3:exon11:c.1199delC:p.P400Lfs*14,CTBP2:ENST00000411419.6_3:exon11:c.1199delC:p.P400Lfs*14,CTBP2:ENST00000494626.6_3:exon11:c.1199delC:p.P400Lfs*14,CTBP2:ENST00000531469.5_3:exon11:c.1199delC:p.P400Lfs*14</t>
        </is>
      </c>
      <c r="Q147" t="n">
        <v>3.88e-05</v>
      </c>
      <c r="R147" t="n">
        <v>-1</v>
      </c>
      <c r="S147" t="n">
        <v>-1</v>
      </c>
      <c r="T147" t="n">
        <v>-1</v>
      </c>
      <c r="U147" t="n">
        <v>-1</v>
      </c>
      <c r="V147" t="inlineStr">
        <is>
          <t>.</t>
        </is>
      </c>
      <c r="W147" t="inlineStr">
        <is>
          <t>.</t>
        </is>
      </c>
      <c r="X147" t="inlineStr">
        <is>
          <t>.</t>
        </is>
      </c>
      <c r="Y147" t="inlineStr">
        <is>
          <t>.</t>
        </is>
      </c>
      <c r="Z147" t="inlineStr">
        <is>
          <t>.</t>
        </is>
      </c>
      <c r="AA147" t="inlineStr">
        <is>
          <t>.</t>
        </is>
      </c>
      <c r="AB147" t="inlineStr">
        <is>
          <t>.</t>
        </is>
      </c>
      <c r="AC147" t="inlineStr">
        <is>
          <t>.</t>
        </is>
      </c>
      <c r="AD147" t="inlineStr">
        <is>
          <t>82</t>
        </is>
      </c>
      <c r="AE147" t="inlineStr">
        <is>
          <t>0.655184958473335</t>
        </is>
      </c>
      <c r="AF147" t="inlineStr">
        <is>
          <t>C-terminal binding protein 2</t>
        </is>
      </c>
      <c r="AG147" t="inlineStr">
        <is>
          <t xml:space="preserve">FUNCTION: Corepressor targeting diverse transcription regulators. Functions in brown adipose tissue (BAT) differentiation (By similarity). {ECO:0000250}.; </t>
        </is>
      </c>
      <c r="AH147" t="inlineStr">
        <is>
          <t>.</t>
        </is>
      </c>
      <c r="AI147" t="inlineStr">
        <is>
          <t>.</t>
        </is>
      </c>
      <c r="AJ147" t="inlineStr">
        <is>
          <t>.</t>
        </is>
      </c>
      <c r="AK147" t="inlineStr">
        <is>
          <t>.</t>
        </is>
      </c>
      <c r="AL147" t="inlineStr">
        <is>
          <t>NGS_LowStringency</t>
        </is>
      </c>
    </row>
    <row r="148">
      <c r="A148" t="inlineStr"/>
      <c r="B148">
        <f>HYPERLINK("https://genome.ucsc.edu/cgi-bin/hgTracks?db=hg19&amp;position=chr10%3A126682443%2D126682443", "chr10:126682443")</f>
        <v/>
      </c>
      <c r="C148" t="inlineStr">
        <is>
          <t>chr10</t>
        </is>
      </c>
      <c r="D148" t="n">
        <v>126682443</v>
      </c>
      <c r="E148" t="n">
        <v>126682443</v>
      </c>
      <c r="F148" t="inlineStr">
        <is>
          <t>G</t>
        </is>
      </c>
      <c r="G148" t="inlineStr">
        <is>
          <t>T</t>
        </is>
      </c>
      <c r="H148" t="inlineStr">
        <is>
          <t>788.06</t>
        </is>
      </c>
      <c r="I148" t="inlineStr">
        <is>
          <t>25</t>
        </is>
      </c>
      <c r="J148" t="inlineStr">
        <is>
          <t>0,25</t>
        </is>
      </c>
      <c r="K148" t="inlineStr">
        <is>
          <t>.</t>
        </is>
      </c>
      <c r="L148">
        <f>HYPERLINK("https://www.ncbi.nlm.nih.gov/snp/rs76582415", "rs76582415")</f>
        <v/>
      </c>
      <c r="M148">
        <f>HYPERLINK("https://www.genecards.org/Search/Keyword?queryString=%5Baliases%5D(%20CTBP2%20)&amp;keywords=CTBP2", "CTBP2")</f>
        <v/>
      </c>
      <c r="N148" t="inlineStr">
        <is>
          <t>exonic</t>
        </is>
      </c>
      <c r="O148" t="inlineStr">
        <is>
          <t>nonsynonymous SNV</t>
        </is>
      </c>
      <c r="P148" t="inlineStr">
        <is>
          <t>CTBP2:NM_001363508:exon6:c.C1096A:p.H366N,CTBP2:NM_022802:exon6:c.C2512A:p.H838N,CTBP2:NM_001321013:exon7:c.C892A:p.H298N,CTBP2:NM_001083914:exon8:c.C892A:p.H298N,CTBP2:NM_001290214:exon8:c.C892A:p.H298N,CTBP2:NM_001290215:exon8:c.C892A:p.H298N,CTBP2:NM_001321012:exon8:c.C892A:p.H298N,CTBP2:NM_001321014:exon8:c.C892A:p.H298N,CTBP2:NM_001329:exon8:c.C892A:p.H298N;CTBP2:uc001lid.4:exon6:c.C1096A:p.H366N,CTBP2:uc001lie.4:exon6:c.C2512A:p.H838N,CTBP2:uc001lif.4:exon8:c.C892A:p.H298N,CTBP2:uc001lih.4:exon8:c.C892A:p.H298N,CTBP2:uc009yak.3:exon8:c.C892A:p.H298N,CTBP2:uc009yal.3:exon8:c.C892A:p.H298N;CTBP2:ENST00000309035.11_5:exon6:c.C2512A:p.H838N,CTBP2:ENST00000334808.10_4:exon6:c.C1096A:p.H366N,CTBP2:ENST00000337195.9_3:exon8:c.C892A:p.H298N,CTBP2:ENST00000411419.6_3:exon8:c.C892A:p.H298N,CTBP2:ENST00000494626.6_3:exon8:c.C892A:p.H298N,CTBP2:ENST00000531469.5_3:exon8:c.C892A:p.H298N</t>
        </is>
      </c>
      <c r="Q148" t="n">
        <v>2.59e-05</v>
      </c>
      <c r="R148" t="n">
        <v>-1</v>
      </c>
      <c r="S148" t="n">
        <v>-1</v>
      </c>
      <c r="T148" t="n">
        <v>-1</v>
      </c>
      <c r="U148" t="n">
        <v>-1</v>
      </c>
      <c r="V148" t="inlineStr">
        <is>
          <t>7/11</t>
        </is>
      </c>
      <c r="W148" t="inlineStr">
        <is>
          <t>.</t>
        </is>
      </c>
      <c r="X148" t="inlineStr">
        <is>
          <t>.</t>
        </is>
      </c>
      <c r="Y148" t="inlineStr">
        <is>
          <t>.</t>
        </is>
      </c>
      <c r="Z148" t="inlineStr">
        <is>
          <t>3/7</t>
        </is>
      </c>
      <c r="AA148" t="inlineStr">
        <is>
          <t>Uncertain significance</t>
        </is>
      </c>
      <c r="AB148" t="inlineStr">
        <is>
          <t>.</t>
        </is>
      </c>
      <c r="AC148" t="inlineStr">
        <is>
          <t>.</t>
        </is>
      </c>
      <c r="AD148" t="inlineStr">
        <is>
          <t>82</t>
        </is>
      </c>
      <c r="AE148" t="inlineStr">
        <is>
          <t>0.655184958473335</t>
        </is>
      </c>
      <c r="AF148" t="inlineStr">
        <is>
          <t>C-terminal binding protein 2</t>
        </is>
      </c>
      <c r="AG148" t="inlineStr">
        <is>
          <t xml:space="preserve">FUNCTION: Corepressor targeting diverse transcription regulators. Functions in brown adipose tissue (BAT) differentiation (By similarity). {ECO:0000250}.; </t>
        </is>
      </c>
      <c r="AH148" t="inlineStr">
        <is>
          <t>.</t>
        </is>
      </c>
      <c r="AI148" t="inlineStr">
        <is>
          <t>.</t>
        </is>
      </c>
      <c r="AJ148" t="inlineStr">
        <is>
          <t>.</t>
        </is>
      </c>
      <c r="AK148" t="inlineStr">
        <is>
          <t>.</t>
        </is>
      </c>
      <c r="AL148" t="inlineStr">
        <is>
          <t>.</t>
        </is>
      </c>
    </row>
    <row r="149">
      <c r="A149" t="inlineStr"/>
      <c r="B149">
        <f>HYPERLINK("https://genome.ucsc.edu/cgi-bin/hgTracks?db=hg19&amp;position=chr10%3A126682485%2D126682485", "chr10:126682485")</f>
        <v/>
      </c>
      <c r="C149" t="inlineStr">
        <is>
          <t>chr10</t>
        </is>
      </c>
      <c r="D149" t="n">
        <v>126682485</v>
      </c>
      <c r="E149" t="n">
        <v>126682485</v>
      </c>
      <c r="F149" t="inlineStr">
        <is>
          <t>C</t>
        </is>
      </c>
      <c r="G149" t="inlineStr">
        <is>
          <t>T</t>
        </is>
      </c>
      <c r="H149" t="inlineStr">
        <is>
          <t>697.64</t>
        </is>
      </c>
      <c r="I149" t="inlineStr">
        <is>
          <t>20</t>
        </is>
      </c>
      <c r="J149" t="inlineStr">
        <is>
          <t>3,17</t>
        </is>
      </c>
      <c r="K149" t="inlineStr">
        <is>
          <t>.</t>
        </is>
      </c>
      <c r="L149">
        <f>HYPERLINK("https://www.ncbi.nlm.nih.gov/snp/rs773594829", "rs773594829")</f>
        <v/>
      </c>
      <c r="M149">
        <f>HYPERLINK("https://www.genecards.org/Search/Keyword?queryString=%5Baliases%5D(%20CTBP2%20)&amp;keywords=CTBP2", "CTBP2")</f>
        <v/>
      </c>
      <c r="N149" t="inlineStr">
        <is>
          <t>exonic</t>
        </is>
      </c>
      <c r="O149" t="inlineStr">
        <is>
          <t>nonsynonymous SNV</t>
        </is>
      </c>
      <c r="P149" t="inlineStr">
        <is>
          <t>CTBP2:NM_001363508:exon6:c.G1054A:p.A352T,CTBP2:NM_022802:exon6:c.G2470A:p.A824T,CTBP2:NM_001321013:exon7:c.G850A:p.A284T,CTBP2:NM_001083914:exon8:c.G850A:p.A284T,CTBP2:NM_001290214:exon8:c.G850A:p.A284T,CTBP2:NM_001290215:exon8:c.G850A:p.A284T,CTBP2:NM_001321012:exon8:c.G850A:p.A284T,CTBP2:NM_001321014:exon8:c.G850A:p.A284T,CTBP2:NM_001329:exon8:c.G850A:p.A284T;CTBP2:uc001lid.4:exon6:c.G1054A:p.A352T,CTBP2:uc001lie.4:exon6:c.G2470A:p.A824T,CTBP2:uc001lif.4:exon8:c.G850A:p.A284T,CTBP2:uc001lih.4:exon8:c.G850A:p.A284T,CTBP2:uc009yak.3:exon8:c.G850A:p.A284T,CTBP2:uc009yal.3:exon8:c.G850A:p.A284T;CTBP2:ENST00000309035.11_5:exon6:c.G2470A:p.A824T,CTBP2:ENST00000334808.10_4:exon6:c.G1054A:p.A352T,CTBP2:ENST00000337195.9_3:exon8:c.G850A:p.A284T,CTBP2:ENST00000411419.6_3:exon8:c.G850A:p.A284T,CTBP2:ENST00000494626.6_3:exon8:c.G850A:p.A284T,CTBP2:ENST00000531469.5_3:exon8:c.G850A:p.A284T</t>
        </is>
      </c>
      <c r="Q149" t="n">
        <v>6.5e-06</v>
      </c>
      <c r="R149" t="n">
        <v>-1</v>
      </c>
      <c r="S149" t="n">
        <v>-1</v>
      </c>
      <c r="T149" t="n">
        <v>-1</v>
      </c>
      <c r="U149" t="n">
        <v>-1</v>
      </c>
      <c r="V149" t="inlineStr">
        <is>
          <t>11/12</t>
        </is>
      </c>
      <c r="W149" t="inlineStr">
        <is>
          <t>.</t>
        </is>
      </c>
      <c r="X149" t="inlineStr">
        <is>
          <t>.</t>
        </is>
      </c>
      <c r="Y149" t="inlineStr">
        <is>
          <t>.</t>
        </is>
      </c>
      <c r="Z149" t="inlineStr">
        <is>
          <t>2/7</t>
        </is>
      </c>
      <c r="AA149" t="inlineStr">
        <is>
          <t>Uncertain significance</t>
        </is>
      </c>
      <c r="AB149" t="inlineStr">
        <is>
          <t>.</t>
        </is>
      </c>
      <c r="AC149" t="inlineStr">
        <is>
          <t>.</t>
        </is>
      </c>
      <c r="AD149" t="inlineStr">
        <is>
          <t>82</t>
        </is>
      </c>
      <c r="AE149" t="inlineStr">
        <is>
          <t>0.655184958473335</t>
        </is>
      </c>
      <c r="AF149" t="inlineStr">
        <is>
          <t>C-terminal binding protein 2</t>
        </is>
      </c>
      <c r="AG149" t="inlineStr">
        <is>
          <t xml:space="preserve">FUNCTION: Corepressor targeting diverse transcription regulators. Functions in brown adipose tissue (BAT) differentiation (By similarity). {ECO:0000250}.; </t>
        </is>
      </c>
      <c r="AH149" t="inlineStr">
        <is>
          <t>.</t>
        </is>
      </c>
      <c r="AI149" t="inlineStr">
        <is>
          <t>.</t>
        </is>
      </c>
      <c r="AJ149" t="inlineStr">
        <is>
          <t>.</t>
        </is>
      </c>
      <c r="AK149" t="inlineStr">
        <is>
          <t>.</t>
        </is>
      </c>
      <c r="AL149" t="inlineStr">
        <is>
          <t>.</t>
        </is>
      </c>
    </row>
    <row r="150">
      <c r="A150" t="inlineStr"/>
      <c r="B150">
        <f>HYPERLINK("https://genome.ucsc.edu/cgi-bin/hgTracks?db=hg19&amp;position=chr10%3A126682486%2D126682486", "chr10:126682486")</f>
        <v/>
      </c>
      <c r="C150" t="inlineStr">
        <is>
          <t>chr10</t>
        </is>
      </c>
      <c r="D150" t="n">
        <v>126682486</v>
      </c>
      <c r="E150" t="n">
        <v>126682486</v>
      </c>
      <c r="F150" t="inlineStr">
        <is>
          <t>T</t>
        </is>
      </c>
      <c r="G150" t="inlineStr">
        <is>
          <t>G</t>
        </is>
      </c>
      <c r="H150" t="inlineStr">
        <is>
          <t>772.10</t>
        </is>
      </c>
      <c r="I150" t="inlineStr">
        <is>
          <t>20</t>
        </is>
      </c>
      <c r="J150" t="inlineStr">
        <is>
          <t>0,3,17</t>
        </is>
      </c>
      <c r="K150" t="inlineStr">
        <is>
          <t>.</t>
        </is>
      </c>
      <c r="L150">
        <f>HYPERLINK("https://www.ncbi.nlm.nih.gov/snp/rs76949963", "rs76949963")</f>
        <v/>
      </c>
      <c r="M150">
        <f>HYPERLINK("https://www.genecards.org/Search/Keyword?queryString=%5Baliases%5D(%20CTBP2%20)&amp;keywords=CTBP2", "CTBP2")</f>
        <v/>
      </c>
      <c r="N150" t="inlineStr">
        <is>
          <t>exonic</t>
        </is>
      </c>
      <c r="O150" t="inlineStr">
        <is>
          <t>nonsynonymous SNV</t>
        </is>
      </c>
      <c r="P150" t="inlineStr">
        <is>
          <t>CTBP2:NM_001363508:exon6:c.A1053C:p.Q351H,CTBP2:NM_022802:exon6:c.A2469C:p.Q823H,CTBP2:NM_001321013:exon7:c.A849C:p.Q283H,CTBP2:NM_001083914:exon8:c.A849C:p.Q283H,CTBP2:NM_001290214:exon8:c.A849C:p.Q283H,CTBP2:NM_001290215:exon8:c.A849C:p.Q283H,CTBP2:NM_001321012:exon8:c.A849C:p.Q283H,CTBP2:NM_001321014:exon8:c.A849C:p.Q283H,CTBP2:NM_001329:exon8:c.A849C:p.Q283H;CTBP2:uc001lid.4:exon6:c.A1053C:p.Q351H,CTBP2:uc001lie.4:exon6:c.A2469C:p.Q823H,CTBP2:uc001lif.4:exon8:c.A849C:p.Q283H,CTBP2:uc001lih.4:exon8:c.A849C:p.Q283H,CTBP2:uc009yak.3:exon8:c.A849C:p.Q283H,CTBP2:uc009yal.3:exon8:c.A849C:p.Q283H;CTBP2:ENST00000309035.11_5:exon6:c.A2469C:p.Q823H,CTBP2:ENST00000334808.10_4:exon6:c.A1053C:p.Q351H,CTBP2:ENST00000337195.9_3:exon8:c.A849C:p.Q283H,CTBP2:ENST00000411419.6_3:exon8:c.A849C:p.Q283H,CTBP2:ENST00000494626.6_3:exon8:c.A849C:p.Q283H,CTBP2:ENST00000531469.5_3:exon8:c.A849C:p.Q283H</t>
        </is>
      </c>
      <c r="Q150" t="n">
        <v>-1</v>
      </c>
      <c r="R150" t="n">
        <v>-1</v>
      </c>
      <c r="S150" t="n">
        <v>-1</v>
      </c>
      <c r="T150" t="n">
        <v>-1</v>
      </c>
      <c r="U150" t="n">
        <v>-1</v>
      </c>
      <c r="V150" t="inlineStr">
        <is>
          <t>6/12</t>
        </is>
      </c>
      <c r="W150" t="inlineStr">
        <is>
          <t>.</t>
        </is>
      </c>
      <c r="X150" t="inlineStr">
        <is>
          <t>.</t>
        </is>
      </c>
      <c r="Y150" t="inlineStr">
        <is>
          <t>.</t>
        </is>
      </c>
      <c r="Z150" t="inlineStr">
        <is>
          <t>0/7</t>
        </is>
      </c>
      <c r="AA150" t="inlineStr">
        <is>
          <t>Uncertain significance</t>
        </is>
      </c>
      <c r="AB150" t="inlineStr">
        <is>
          <t>.</t>
        </is>
      </c>
      <c r="AC150" t="inlineStr">
        <is>
          <t>1/2</t>
        </is>
      </c>
      <c r="AD150" t="inlineStr">
        <is>
          <t>82</t>
        </is>
      </c>
      <c r="AE150" t="inlineStr">
        <is>
          <t>0.655184958473335</t>
        </is>
      </c>
      <c r="AF150" t="inlineStr">
        <is>
          <t>C-terminal binding protein 2</t>
        </is>
      </c>
      <c r="AG150" t="inlineStr">
        <is>
          <t xml:space="preserve">FUNCTION: Corepressor targeting diverse transcription regulators. Functions in brown adipose tissue (BAT) differentiation (By similarity). {ECO:0000250}.; </t>
        </is>
      </c>
      <c r="AH150" t="inlineStr">
        <is>
          <t>.</t>
        </is>
      </c>
      <c r="AI150" t="inlineStr">
        <is>
          <t>.</t>
        </is>
      </c>
      <c r="AJ150" t="inlineStr">
        <is>
          <t>.</t>
        </is>
      </c>
      <c r="AK150" t="inlineStr">
        <is>
          <t>.</t>
        </is>
      </c>
      <c r="AL150" t="inlineStr">
        <is>
          <t>.</t>
        </is>
      </c>
    </row>
    <row r="151">
      <c r="A151" t="inlineStr"/>
      <c r="B151">
        <f>HYPERLINK("https://genome.ucsc.edu/cgi-bin/hgTracks?db=hg19&amp;position=chr10%3A126682493%2D126682493", "chr10:126682493")</f>
        <v/>
      </c>
      <c r="C151" t="inlineStr">
        <is>
          <t>chr10</t>
        </is>
      </c>
      <c r="D151" t="n">
        <v>126682493</v>
      </c>
      <c r="E151" t="n">
        <v>126682493</v>
      </c>
      <c r="F151" t="inlineStr">
        <is>
          <t>A</t>
        </is>
      </c>
      <c r="G151" t="inlineStr">
        <is>
          <t>C</t>
        </is>
      </c>
      <c r="H151" t="inlineStr">
        <is>
          <t>655.64</t>
        </is>
      </c>
      <c r="I151" t="inlineStr">
        <is>
          <t>19</t>
        </is>
      </c>
      <c r="J151" t="inlineStr">
        <is>
          <t>3,16</t>
        </is>
      </c>
      <c r="K151" t="inlineStr">
        <is>
          <t>.</t>
        </is>
      </c>
      <c r="L151">
        <f>HYPERLINK("https://www.ncbi.nlm.nih.gov/snp/rs796983487", "rs796983487")</f>
        <v/>
      </c>
      <c r="M151">
        <f>HYPERLINK("https://www.genecards.org/Search/Keyword?queryString=%5Baliases%5D(%20CTBP2%20)&amp;keywords=CTBP2", "CTBP2")</f>
        <v/>
      </c>
      <c r="N151" t="inlineStr">
        <is>
          <t>exonic</t>
        </is>
      </c>
      <c r="O151" t="inlineStr">
        <is>
          <t>stopgain</t>
        </is>
      </c>
      <c r="P151" t="inlineStr">
        <is>
          <t>CTBP2:NM_001363508:exon6:c.T1046G:p.L349X,CTBP2:NM_022802:exon6:c.T2462G:p.L821X,CTBP2:NM_001321013:exon7:c.T842G:p.L281X,CTBP2:NM_001083914:exon8:c.T842G:p.L281X,CTBP2:NM_001290214:exon8:c.T842G:p.L281X,CTBP2:NM_001290215:exon8:c.T842G:p.L281X,CTBP2:NM_001321012:exon8:c.T842G:p.L281X,CTBP2:NM_001321014:exon8:c.T842G:p.L281X,CTBP2:NM_001329:exon8:c.T842G:p.L281X;CTBP2:uc001lid.4:exon6:c.T1046G:p.L349X,CTBP2:uc001lie.4:exon6:c.T2462G:p.L821X,CTBP2:uc001lif.4:exon8:c.T842G:p.L281X,CTBP2:uc001lih.4:exon8:c.T842G:p.L281X,CTBP2:uc009yak.3:exon8:c.T842G:p.L281X,CTBP2:uc009yal.3:exon8:c.T842G:p.L281X;CTBP2:ENST00000309035.11_5:exon6:c.T2462G:p.L821X,CTBP2:ENST00000334808.10_4:exon6:c.T1046G:p.L349X,CTBP2:ENST00000337195.9_3:exon8:c.T842G:p.L281X,CTBP2:ENST00000411419.6_3:exon8:c.T842G:p.L281X,CTBP2:ENST00000494626.6_3:exon8:c.T842G:p.L281X,CTBP2:ENST00000531469.5_3:exon8:c.T842G:p.L281X</t>
        </is>
      </c>
      <c r="Q151" t="n">
        <v>-1</v>
      </c>
      <c r="R151" t="n">
        <v>-1</v>
      </c>
      <c r="S151" t="n">
        <v>-1</v>
      </c>
      <c r="T151" t="n">
        <v>-1</v>
      </c>
      <c r="U151" t="n">
        <v>-1</v>
      </c>
      <c r="V151" t="inlineStr">
        <is>
          <t>3/3</t>
        </is>
      </c>
      <c r="W151" t="inlineStr">
        <is>
          <t>.</t>
        </is>
      </c>
      <c r="X151" t="inlineStr">
        <is>
          <t>.</t>
        </is>
      </c>
      <c r="Y151" t="inlineStr">
        <is>
          <t>.</t>
        </is>
      </c>
      <c r="Z151" t="inlineStr">
        <is>
          <t>3/7</t>
        </is>
      </c>
      <c r="AA151" t="inlineStr">
        <is>
          <t>Uncertain significance</t>
        </is>
      </c>
      <c r="AB151" t="inlineStr">
        <is>
          <t>.</t>
        </is>
      </c>
      <c r="AC151" t="inlineStr">
        <is>
          <t>.</t>
        </is>
      </c>
      <c r="AD151" t="inlineStr">
        <is>
          <t>82</t>
        </is>
      </c>
      <c r="AE151" t="inlineStr">
        <is>
          <t>0.655184958473335</t>
        </is>
      </c>
      <c r="AF151" t="inlineStr">
        <is>
          <t>C-terminal binding protein 2</t>
        </is>
      </c>
      <c r="AG151" t="inlineStr">
        <is>
          <t xml:space="preserve">FUNCTION: Corepressor targeting diverse transcription regulators. Functions in brown adipose tissue (BAT) differentiation (By similarity). {ECO:0000250}.; </t>
        </is>
      </c>
      <c r="AH151" t="inlineStr">
        <is>
          <t>.</t>
        </is>
      </c>
      <c r="AI151" t="inlineStr">
        <is>
          <t>.</t>
        </is>
      </c>
      <c r="AJ151" t="inlineStr">
        <is>
          <t>.</t>
        </is>
      </c>
      <c r="AK151" t="inlineStr">
        <is>
          <t>.</t>
        </is>
      </c>
      <c r="AL151" t="inlineStr">
        <is>
          <t>.</t>
        </is>
      </c>
    </row>
    <row r="152">
      <c r="A152" t="inlineStr"/>
      <c r="B152">
        <f>HYPERLINK("https://genome.ucsc.edu/cgi-bin/hgTracks?db=hg19&amp;position=chr10%3A126683058%2D126683058", "chr10:126683058")</f>
        <v/>
      </c>
      <c r="C152" t="inlineStr">
        <is>
          <t>chr10</t>
        </is>
      </c>
      <c r="D152" t="n">
        <v>126683058</v>
      </c>
      <c r="E152" t="n">
        <v>126683058</v>
      </c>
      <c r="F152" t="inlineStr">
        <is>
          <t>T</t>
        </is>
      </c>
      <c r="G152" t="inlineStr">
        <is>
          <t>G</t>
        </is>
      </c>
      <c r="H152" t="inlineStr">
        <is>
          <t>1692.64</t>
        </is>
      </c>
      <c r="I152" t="inlineStr">
        <is>
          <t>108</t>
        </is>
      </c>
      <c r="J152" t="inlineStr">
        <is>
          <t>63,45</t>
        </is>
      </c>
      <c r="K152" t="inlineStr">
        <is>
          <t>.</t>
        </is>
      </c>
      <c r="L152">
        <f>HYPERLINK("https://www.ncbi.nlm.nih.gov/snp/rs913075834", "rs913075834")</f>
        <v/>
      </c>
      <c r="M152">
        <f>HYPERLINK("https://www.genecards.org/Search/Keyword?queryString=%5Baliases%5D(%20CTBP2%20)&amp;keywords=CTBP2", "CTBP2")</f>
        <v/>
      </c>
      <c r="N152" t="inlineStr">
        <is>
          <t>exonic</t>
        </is>
      </c>
      <c r="O152" t="inlineStr">
        <is>
          <t>nonsynonymous SNV</t>
        </is>
      </c>
      <c r="P152" t="inlineStr">
        <is>
          <t>CTBP2:NM_001363508:exon5:c.A964C:p.N322H,CTBP2:NM_022802:exon5:c.A2380C:p.N794H,CTBP2:NM_001321013:exon6:c.A760C:p.N254H,CTBP2:NM_001083914:exon7:c.A760C:p.N254H,CTBP2:NM_001290214:exon7:c.A760C:p.N254H,CTBP2:NM_001290215:exon7:c.A760C:p.N254H,CTBP2:NM_001321012:exon7:c.A760C:p.N254H,CTBP2:NM_001321014:exon7:c.A760C:p.N254H,CTBP2:NM_001329:exon7:c.A760C:p.N254H;CTBP2:uc001lid.4:exon5:c.A964C:p.N322H,CTBP2:uc001lie.4:exon5:c.A2380C:p.N794H,CTBP2:uc001lif.4:exon7:c.A760C:p.N254H,CTBP2:uc001lih.4:exon7:c.A760C:p.N254H,CTBP2:uc009yak.3:exon7:c.A760C:p.N254H,CTBP2:uc009yal.3:exon7:c.A760C:p.N254H;CTBP2:ENST00000309035.11_5:exon5:c.A2380C:p.N794H,CTBP2:ENST00000334808.10_4:exon5:c.A964C:p.N322H,CTBP2:ENST00000337195.9_3:exon7:c.A760C:p.N254H,CTBP2:ENST00000411419.6_3:exon7:c.A760C:p.N254H,CTBP2:ENST00000494626.6_3:exon7:c.A760C:p.N254H,CTBP2:ENST00000531469.5_3:exon7:c.A760C:p.N254H</t>
        </is>
      </c>
      <c r="Q152" t="n">
        <v>-1</v>
      </c>
      <c r="R152" t="n">
        <v>-1</v>
      </c>
      <c r="S152" t="n">
        <v>-1</v>
      </c>
      <c r="T152" t="n">
        <v>-1</v>
      </c>
      <c r="U152" t="n">
        <v>-1</v>
      </c>
      <c r="V152" t="inlineStr">
        <is>
          <t>10/12</t>
        </is>
      </c>
      <c r="W152" t="inlineStr">
        <is>
          <t>.</t>
        </is>
      </c>
      <c r="X152" t="inlineStr">
        <is>
          <t>.</t>
        </is>
      </c>
      <c r="Y152" t="inlineStr">
        <is>
          <t>.</t>
        </is>
      </c>
      <c r="Z152" t="inlineStr">
        <is>
          <t>7/7</t>
        </is>
      </c>
      <c r="AA152" t="inlineStr">
        <is>
          <t>Uncertain significance</t>
        </is>
      </c>
      <c r="AB152" t="inlineStr">
        <is>
          <t>.</t>
        </is>
      </c>
      <c r="AC152" t="inlineStr">
        <is>
          <t>.</t>
        </is>
      </c>
      <c r="AD152" t="inlineStr">
        <is>
          <t>82</t>
        </is>
      </c>
      <c r="AE152" t="inlineStr">
        <is>
          <t>0.655184958473335</t>
        </is>
      </c>
      <c r="AF152" t="inlineStr">
        <is>
          <t>C-terminal binding protein 2</t>
        </is>
      </c>
      <c r="AG152" t="inlineStr">
        <is>
          <t xml:space="preserve">FUNCTION: Corepressor targeting diverse transcription regulators. Functions in brown adipose tissue (BAT) differentiation (By similarity). {ECO:0000250}.; </t>
        </is>
      </c>
      <c r="AH152" t="inlineStr">
        <is>
          <t>.</t>
        </is>
      </c>
      <c r="AI152" t="inlineStr">
        <is>
          <t>.</t>
        </is>
      </c>
      <c r="AJ152" t="inlineStr">
        <is>
          <t>.</t>
        </is>
      </c>
      <c r="AK152" t="inlineStr">
        <is>
          <t>.</t>
        </is>
      </c>
      <c r="AL152" t="inlineStr">
        <is>
          <t>.</t>
        </is>
      </c>
    </row>
    <row r="153">
      <c r="A153" t="inlineStr"/>
      <c r="B153">
        <f>HYPERLINK("https://genome.ucsc.edu/cgi-bin/hgTracks?db=hg19&amp;position=chr10%3A126683070%2D126683070", "chr10:126683070")</f>
        <v/>
      </c>
      <c r="C153" t="inlineStr">
        <is>
          <t>chr10</t>
        </is>
      </c>
      <c r="D153" t="n">
        <v>126683070</v>
      </c>
      <c r="E153" t="n">
        <v>126683070</v>
      </c>
      <c r="F153" t="inlineStr">
        <is>
          <t>G</t>
        </is>
      </c>
      <c r="G153" t="inlineStr">
        <is>
          <t>A</t>
        </is>
      </c>
      <c r="H153" t="inlineStr">
        <is>
          <t>2148.64</t>
        </is>
      </c>
      <c r="I153" t="inlineStr">
        <is>
          <t>136</t>
        </is>
      </c>
      <c r="J153" t="inlineStr">
        <is>
          <t>79,57</t>
        </is>
      </c>
      <c r="K153" t="inlineStr">
        <is>
          <t>.</t>
        </is>
      </c>
      <c r="L153">
        <f>HYPERLINK("https://www.ncbi.nlm.nih.gov/snp/rs978705792", "rs978705792")</f>
        <v/>
      </c>
      <c r="M153">
        <f>HYPERLINK("https://www.genecards.org/Search/Keyword?queryString=%5Baliases%5D(%20CTBP2%20)&amp;keywords=CTBP2", "CTBP2")</f>
        <v/>
      </c>
      <c r="N153" t="inlineStr">
        <is>
          <t>exonic</t>
        </is>
      </c>
      <c r="O153" t="inlineStr">
        <is>
          <t>nonsynonymous SNV</t>
        </is>
      </c>
      <c r="P153" t="inlineStr">
        <is>
          <t>CTBP2:NM_001363508:exon5:c.C952T:p.H318Y,CTBP2:NM_022802:exon5:c.C2368T:p.H790Y,CTBP2:NM_001321013:exon6:c.C748T:p.H250Y,CTBP2:NM_001083914:exon7:c.C748T:p.H250Y,CTBP2:NM_001290214:exon7:c.C748T:p.H250Y,CTBP2:NM_001290215:exon7:c.C748T:p.H250Y,CTBP2:NM_001321012:exon7:c.C748T:p.H250Y,CTBP2:NM_001321014:exon7:c.C748T:p.H250Y,CTBP2:NM_001329:exon7:c.C748T:p.H250Y;CTBP2:uc001lid.4:exon5:c.C952T:p.H318Y,CTBP2:uc001lie.4:exon5:c.C2368T:p.H790Y,CTBP2:uc001lif.4:exon7:c.C748T:p.H250Y,CTBP2:uc001lih.4:exon7:c.C748T:p.H250Y,CTBP2:uc009yak.3:exon7:c.C748T:p.H250Y,CTBP2:uc009yal.3:exon7:c.C748T:p.H250Y;CTBP2:ENST00000309035.11_5:exon5:c.C2368T:p.H790Y,CTBP2:ENST00000334808.10_4:exon5:c.C952T:p.H318Y,CTBP2:ENST00000337195.9_3:exon7:c.C748T:p.H250Y,CTBP2:ENST00000411419.6_3:exon7:c.C748T:p.H250Y,CTBP2:ENST00000494626.6_3:exon7:c.C748T:p.H250Y,CTBP2:ENST00000531469.5_3:exon7:c.C748T:p.H250Y</t>
        </is>
      </c>
      <c r="Q153" t="n">
        <v>-1</v>
      </c>
      <c r="R153" t="n">
        <v>-1</v>
      </c>
      <c r="S153" t="n">
        <v>-1</v>
      </c>
      <c r="T153" t="n">
        <v>-1</v>
      </c>
      <c r="U153" t="n">
        <v>-1</v>
      </c>
      <c r="V153" t="inlineStr">
        <is>
          <t>5/12</t>
        </is>
      </c>
      <c r="W153" t="inlineStr">
        <is>
          <t>.</t>
        </is>
      </c>
      <c r="X153" t="inlineStr">
        <is>
          <t>.</t>
        </is>
      </c>
      <c r="Y153" t="inlineStr">
        <is>
          <t>.</t>
        </is>
      </c>
      <c r="Z153" t="inlineStr">
        <is>
          <t>7/7</t>
        </is>
      </c>
      <c r="AA153" t="inlineStr">
        <is>
          <t>Uncertain significance</t>
        </is>
      </c>
      <c r="AB153" t="inlineStr">
        <is>
          <t>.</t>
        </is>
      </c>
      <c r="AC153" t="inlineStr">
        <is>
          <t>.</t>
        </is>
      </c>
      <c r="AD153" t="inlineStr">
        <is>
          <t>82</t>
        </is>
      </c>
      <c r="AE153" t="inlineStr">
        <is>
          <t>0.655184958473335</t>
        </is>
      </c>
      <c r="AF153" t="inlineStr">
        <is>
          <t>C-terminal binding protein 2</t>
        </is>
      </c>
      <c r="AG153" t="inlineStr">
        <is>
          <t xml:space="preserve">FUNCTION: Corepressor targeting diverse transcription regulators. Functions in brown adipose tissue (BAT) differentiation (By similarity). {ECO:0000250}.; </t>
        </is>
      </c>
      <c r="AH153" t="inlineStr">
        <is>
          <t>.</t>
        </is>
      </c>
      <c r="AI153" t="inlineStr">
        <is>
          <t>.</t>
        </is>
      </c>
      <c r="AJ153" t="inlineStr">
        <is>
          <t>.</t>
        </is>
      </c>
      <c r="AK153" t="inlineStr">
        <is>
          <t>.</t>
        </is>
      </c>
      <c r="AL153" t="inlineStr">
        <is>
          <t>.</t>
        </is>
      </c>
    </row>
    <row r="154">
      <c r="A154" t="inlineStr"/>
      <c r="B154">
        <f>HYPERLINK("https://genome.ucsc.edu/cgi-bin/hgTracks?db=hg19&amp;position=chr10%3A126683071%2D126683071", "chr10:126683071")</f>
        <v/>
      </c>
      <c r="C154" t="inlineStr">
        <is>
          <t>chr10</t>
        </is>
      </c>
      <c r="D154" t="n">
        <v>126683071</v>
      </c>
      <c r="E154" t="n">
        <v>126683071</v>
      </c>
      <c r="F154" t="inlineStr">
        <is>
          <t>G</t>
        </is>
      </c>
      <c r="G154" t="inlineStr">
        <is>
          <t>C</t>
        </is>
      </c>
      <c r="H154" t="inlineStr">
        <is>
          <t>3214.64</t>
        </is>
      </c>
      <c r="I154" t="inlineStr">
        <is>
          <t>138</t>
        </is>
      </c>
      <c r="J154" t="inlineStr">
        <is>
          <t>57,81</t>
        </is>
      </c>
      <c r="K154" t="inlineStr">
        <is>
          <t>.</t>
        </is>
      </c>
      <c r="L154">
        <f>HYPERLINK("https://www.ncbi.nlm.nih.gov/snp/rs61870306", "rs61870306")</f>
        <v/>
      </c>
      <c r="M154">
        <f>HYPERLINK("https://www.genecards.org/Search/Keyword?queryString=%5Baliases%5D(%20CTBP2%20)&amp;keywords=CTBP2", "CTBP2")</f>
        <v/>
      </c>
      <c r="N154" t="inlineStr">
        <is>
          <t>exonic</t>
        </is>
      </c>
      <c r="O154" t="inlineStr">
        <is>
          <t>nonsynonymous SNV</t>
        </is>
      </c>
      <c r="P154" t="inlineStr">
        <is>
          <t>CTBP2:NM_001363508:exon5:c.C951G:p.N317K,CTBP2:NM_022802:exon5:c.C2367G:p.N789K,CTBP2:NM_001321013:exon6:c.C747G:p.N249K,CTBP2:NM_001083914:exon7:c.C747G:p.N249K,CTBP2:NM_001290214:exon7:c.C747G:p.N249K,CTBP2:NM_001290215:exon7:c.C747G:p.N249K,CTBP2:NM_001321012:exon7:c.C747G:p.N249K,CTBP2:NM_001321014:exon7:c.C747G:p.N249K,CTBP2:NM_001329:exon7:c.C747G:p.N249K;CTBP2:uc001lid.4:exon5:c.C951G:p.N317K,CTBP2:uc001lie.4:exon5:c.C2367G:p.N789K,CTBP2:uc001lif.4:exon7:c.C747G:p.N249K,CTBP2:uc001lih.4:exon7:c.C747G:p.N249K,CTBP2:uc009yak.3:exon7:c.C747G:p.N249K,CTBP2:uc009yal.3:exon7:c.C747G:p.N249K;CTBP2:ENST00000309035.11_5:exon5:c.C2367G:p.N789K,CTBP2:ENST00000334808.10_4:exon5:c.C951G:p.N317K,CTBP2:ENST00000337195.9_3:exon7:c.C747G:p.N249K,CTBP2:ENST00000411419.6_3:exon7:c.C747G:p.N249K,CTBP2:ENST00000494626.6_3:exon7:c.C747G:p.N249K,CTBP2:ENST00000531469.5_3:exon7:c.C747G:p.N249K</t>
        </is>
      </c>
      <c r="Q154" t="n">
        <v>6.5e-06</v>
      </c>
      <c r="R154" t="n">
        <v>-1</v>
      </c>
      <c r="S154" t="n">
        <v>-1</v>
      </c>
      <c r="T154" t="n">
        <v>-1</v>
      </c>
      <c r="U154" t="n">
        <v>-1</v>
      </c>
      <c r="V154" t="inlineStr">
        <is>
          <t>9/12</t>
        </is>
      </c>
      <c r="W154" t="inlineStr">
        <is>
          <t>.</t>
        </is>
      </c>
      <c r="X154" t="inlineStr">
        <is>
          <t>.</t>
        </is>
      </c>
      <c r="Y154" t="inlineStr">
        <is>
          <t>.</t>
        </is>
      </c>
      <c r="Z154" t="inlineStr">
        <is>
          <t>4/7</t>
        </is>
      </c>
      <c r="AA154" t="inlineStr">
        <is>
          <t>Uncertain significance</t>
        </is>
      </c>
      <c r="AB154" t="inlineStr">
        <is>
          <t>.</t>
        </is>
      </c>
      <c r="AC154" t="inlineStr">
        <is>
          <t>.</t>
        </is>
      </c>
      <c r="AD154" t="inlineStr">
        <is>
          <t>82</t>
        </is>
      </c>
      <c r="AE154" t="inlineStr">
        <is>
          <t>0.655184958473335</t>
        </is>
      </c>
      <c r="AF154" t="inlineStr">
        <is>
          <t>C-terminal binding protein 2</t>
        </is>
      </c>
      <c r="AG154" t="inlineStr">
        <is>
          <t xml:space="preserve">FUNCTION: Corepressor targeting diverse transcription regulators. Functions in brown adipose tissue (BAT) differentiation (By similarity). {ECO:0000250}.; </t>
        </is>
      </c>
      <c r="AH154" t="inlineStr">
        <is>
          <t>.</t>
        </is>
      </c>
      <c r="AI154" t="inlineStr">
        <is>
          <t>.</t>
        </is>
      </c>
      <c r="AJ154" t="inlineStr">
        <is>
          <t>.</t>
        </is>
      </c>
      <c r="AK154" t="inlineStr">
        <is>
          <t>.</t>
        </is>
      </c>
      <c r="AL154" t="inlineStr">
        <is>
          <t>.</t>
        </is>
      </c>
    </row>
    <row r="155">
      <c r="A155" t="inlineStr"/>
      <c r="B155">
        <f>HYPERLINK("https://genome.ucsc.edu/cgi-bin/hgTracks?db=hg19&amp;position=chr10%3A126683074%2D126683074", "chr10:126683074")</f>
        <v/>
      </c>
      <c r="C155" t="inlineStr">
        <is>
          <t>chr10</t>
        </is>
      </c>
      <c r="D155" t="n">
        <v>126683074</v>
      </c>
      <c r="E155" t="n">
        <v>126683074</v>
      </c>
      <c r="F155" t="inlineStr">
        <is>
          <t>A</t>
        </is>
      </c>
      <c r="G155" t="inlineStr">
        <is>
          <t>T</t>
        </is>
      </c>
      <c r="H155" t="inlineStr">
        <is>
          <t>2159.64</t>
        </is>
      </c>
      <c r="I155" t="inlineStr">
        <is>
          <t>142</t>
        </is>
      </c>
      <c r="J155" t="inlineStr">
        <is>
          <t>84,58</t>
        </is>
      </c>
      <c r="K155" t="inlineStr">
        <is>
          <t>.</t>
        </is>
      </c>
      <c r="L155">
        <f>HYPERLINK("https://www.ncbi.nlm.nih.gov/snp/rs937366751", "rs937366751")</f>
        <v/>
      </c>
      <c r="M155">
        <f>HYPERLINK("https://www.genecards.org/Search/Keyword?queryString=%5Baliases%5D(%20CTBP2%20)&amp;keywords=CTBP2", "CTBP2")</f>
        <v/>
      </c>
      <c r="N155" t="inlineStr">
        <is>
          <t>exonic</t>
        </is>
      </c>
      <c r="O155" t="inlineStr">
        <is>
          <t>nonsynonymous SNV</t>
        </is>
      </c>
      <c r="P155" t="inlineStr">
        <is>
          <t>CTBP2:NM_001363508:exon5:c.T948A:p.H316Q,CTBP2:NM_022802:exon5:c.T2364A:p.H788Q,CTBP2:NM_001321013:exon6:c.T744A:p.H248Q,CTBP2:NM_001083914:exon7:c.T744A:p.H248Q,CTBP2:NM_001290214:exon7:c.T744A:p.H248Q,CTBP2:NM_001290215:exon7:c.T744A:p.H248Q,CTBP2:NM_001321012:exon7:c.T744A:p.H248Q,CTBP2:NM_001321014:exon7:c.T744A:p.H248Q,CTBP2:NM_001329:exon7:c.T744A:p.H248Q;CTBP2:uc001lid.4:exon5:c.T948A:p.H316Q,CTBP2:uc001lie.4:exon5:c.T2364A:p.H788Q,CTBP2:uc001lif.4:exon7:c.T744A:p.H248Q,CTBP2:uc001lih.4:exon7:c.T744A:p.H248Q,CTBP2:uc009yak.3:exon7:c.T744A:p.H248Q,CTBP2:uc009yal.3:exon7:c.T744A:p.H248Q;CTBP2:ENST00000309035.11_5:exon5:c.T2364A:p.H788Q,CTBP2:ENST00000334808.10_4:exon5:c.T948A:p.H316Q,CTBP2:ENST00000337195.9_3:exon7:c.T744A:p.H248Q,CTBP2:ENST00000411419.6_3:exon7:c.T744A:p.H248Q,CTBP2:ENST00000494626.6_3:exon7:c.T744A:p.H248Q,CTBP2:ENST00000531469.5_3:exon7:c.T744A:p.H248Q</t>
        </is>
      </c>
      <c r="Q155" t="n">
        <v>-1</v>
      </c>
      <c r="R155" t="n">
        <v>-1</v>
      </c>
      <c r="S155" t="n">
        <v>-1</v>
      </c>
      <c r="T155" t="n">
        <v>-1</v>
      </c>
      <c r="U155" t="n">
        <v>-1</v>
      </c>
      <c r="V155" t="inlineStr">
        <is>
          <t>7/12</t>
        </is>
      </c>
      <c r="W155" t="inlineStr">
        <is>
          <t>.</t>
        </is>
      </c>
      <c r="X155" t="inlineStr">
        <is>
          <t>.</t>
        </is>
      </c>
      <c r="Y155" t="inlineStr">
        <is>
          <t>.</t>
        </is>
      </c>
      <c r="Z155" t="inlineStr">
        <is>
          <t>2/7</t>
        </is>
      </c>
      <c r="AA155" t="inlineStr">
        <is>
          <t>Uncertain significance</t>
        </is>
      </c>
      <c r="AB155" t="inlineStr">
        <is>
          <t>.</t>
        </is>
      </c>
      <c r="AC155" t="inlineStr">
        <is>
          <t>.</t>
        </is>
      </c>
      <c r="AD155" t="inlineStr">
        <is>
          <t>82</t>
        </is>
      </c>
      <c r="AE155" t="inlineStr">
        <is>
          <t>0.655184958473335</t>
        </is>
      </c>
      <c r="AF155" t="inlineStr">
        <is>
          <t>C-terminal binding protein 2</t>
        </is>
      </c>
      <c r="AG155" t="inlineStr">
        <is>
          <t xml:space="preserve">FUNCTION: Corepressor targeting diverse transcription regulators. Functions in brown adipose tissue (BAT) differentiation (By similarity). {ECO:0000250}.; </t>
        </is>
      </c>
      <c r="AH155" t="inlineStr">
        <is>
          <t>.</t>
        </is>
      </c>
      <c r="AI155" t="inlineStr">
        <is>
          <t>.</t>
        </is>
      </c>
      <c r="AJ155" t="inlineStr">
        <is>
          <t>.</t>
        </is>
      </c>
      <c r="AK155" t="inlineStr">
        <is>
          <t>.</t>
        </is>
      </c>
      <c r="AL155" t="inlineStr">
        <is>
          <t>.</t>
        </is>
      </c>
    </row>
    <row r="156">
      <c r="A156" t="inlineStr"/>
      <c r="B156">
        <f>HYPERLINK("https://genome.ucsc.edu/cgi-bin/hgTracks?db=hg19&amp;position=chr10%3A126683075%2D126683075", "chr10:126683075")</f>
        <v/>
      </c>
      <c r="C156" t="inlineStr">
        <is>
          <t>chr10</t>
        </is>
      </c>
      <c r="D156" t="n">
        <v>126683075</v>
      </c>
      <c r="E156" t="n">
        <v>126683075</v>
      </c>
      <c r="F156" t="inlineStr">
        <is>
          <t>T</t>
        </is>
      </c>
      <c r="G156" t="inlineStr">
        <is>
          <t>A</t>
        </is>
      </c>
      <c r="H156" t="inlineStr">
        <is>
          <t>1865.64</t>
        </is>
      </c>
      <c r="I156" t="inlineStr">
        <is>
          <t>143</t>
        </is>
      </c>
      <c r="J156" t="inlineStr">
        <is>
          <t>71,72</t>
        </is>
      </c>
      <c r="K156" t="inlineStr">
        <is>
          <t>.</t>
        </is>
      </c>
      <c r="L156">
        <f>HYPERLINK("https://www.ncbi.nlm.nih.gov/snp/rs80273852", "rs80273852")</f>
        <v/>
      </c>
      <c r="M156">
        <f>HYPERLINK("https://www.genecards.org/Search/Keyword?queryString=%5Baliases%5D(%20CTBP2%20)&amp;keywords=CTBP2", "CTBP2")</f>
        <v/>
      </c>
      <c r="N156" t="inlineStr">
        <is>
          <t>exonic</t>
        </is>
      </c>
      <c r="O156" t="inlineStr">
        <is>
          <t>nonsynonymous SNV</t>
        </is>
      </c>
      <c r="P156" t="inlineStr">
        <is>
          <t>CTBP2:NM_001363508:exon5:c.A947T:p.H316L,CTBP2:NM_022802:exon5:c.A2363T:p.H788L,CTBP2:NM_001321013:exon6:c.A743T:p.H248L,CTBP2:NM_001083914:exon7:c.A743T:p.H248L,CTBP2:NM_001290214:exon7:c.A743T:p.H248L,CTBP2:NM_001290215:exon7:c.A743T:p.H248L,CTBP2:NM_001321012:exon7:c.A743T:p.H248L,CTBP2:NM_001321014:exon7:c.A743T:p.H248L,CTBP2:NM_001329:exon7:c.A743T:p.H248L;CTBP2:uc001lid.4:exon5:c.A947T:p.H316L,CTBP2:uc001lie.4:exon5:c.A2363T:p.H788L,CTBP2:uc001lif.4:exon7:c.A743T:p.H248L,CTBP2:uc001lih.4:exon7:c.A743T:p.H248L,CTBP2:uc009yak.3:exon7:c.A743T:p.H248L,CTBP2:uc009yal.3:exon7:c.A743T:p.H248L;CTBP2:ENST00000309035.11_5:exon5:c.A2363T:p.H788L,CTBP2:ENST00000334808.10_4:exon5:c.A947T:p.H316L,CTBP2:ENST00000337195.9_3:exon7:c.A743T:p.H248L,CTBP2:ENST00000411419.6_3:exon7:c.A743T:p.H248L,CTBP2:ENST00000494626.6_3:exon7:c.A743T:p.H248L,CTBP2:ENST00000531469.5_3:exon7:c.A743T:p.H248L</t>
        </is>
      </c>
      <c r="Q156" t="n">
        <v>6.5e-06</v>
      </c>
      <c r="R156" t="n">
        <v>-1</v>
      </c>
      <c r="S156" t="n">
        <v>-1</v>
      </c>
      <c r="T156" t="n">
        <v>-1</v>
      </c>
      <c r="U156" t="n">
        <v>-1</v>
      </c>
      <c r="V156" t="inlineStr">
        <is>
          <t>8/12</t>
        </is>
      </c>
      <c r="W156" t="inlineStr">
        <is>
          <t>.</t>
        </is>
      </c>
      <c r="X156" t="inlineStr">
        <is>
          <t>.</t>
        </is>
      </c>
      <c r="Y156" t="inlineStr">
        <is>
          <t>.</t>
        </is>
      </c>
      <c r="Z156" t="inlineStr">
        <is>
          <t>6/7</t>
        </is>
      </c>
      <c r="AA156" t="inlineStr">
        <is>
          <t>Uncertain significance</t>
        </is>
      </c>
      <c r="AB156" t="inlineStr">
        <is>
          <t>.</t>
        </is>
      </c>
      <c r="AC156" t="inlineStr">
        <is>
          <t>0/1</t>
        </is>
      </c>
      <c r="AD156" t="inlineStr">
        <is>
          <t>82</t>
        </is>
      </c>
      <c r="AE156" t="inlineStr">
        <is>
          <t>0.655184958473335</t>
        </is>
      </c>
      <c r="AF156" t="inlineStr">
        <is>
          <t>C-terminal binding protein 2</t>
        </is>
      </c>
      <c r="AG156" t="inlineStr">
        <is>
          <t xml:space="preserve">FUNCTION: Corepressor targeting diverse transcription regulators. Functions in brown adipose tissue (BAT) differentiation (By similarity). {ECO:0000250}.; </t>
        </is>
      </c>
      <c r="AH156" t="inlineStr">
        <is>
          <t>.</t>
        </is>
      </c>
      <c r="AI156" t="inlineStr">
        <is>
          <t>.</t>
        </is>
      </c>
      <c r="AJ156" t="inlineStr">
        <is>
          <t>.</t>
        </is>
      </c>
      <c r="AK156" t="inlineStr">
        <is>
          <t>.</t>
        </is>
      </c>
      <c r="AL156" t="inlineStr">
        <is>
          <t>.</t>
        </is>
      </c>
    </row>
    <row r="157">
      <c r="A157" t="inlineStr"/>
      <c r="B157">
        <f>HYPERLINK("https://genome.ucsc.edu/cgi-bin/hgTracks?db=hg19&amp;position=chr10%3A126683087%2D126683087", "chr10:126683087")</f>
        <v/>
      </c>
      <c r="C157" t="inlineStr">
        <is>
          <t>chr10</t>
        </is>
      </c>
      <c r="D157" t="n">
        <v>126683087</v>
      </c>
      <c r="E157" t="n">
        <v>126683087</v>
      </c>
      <c r="F157" t="inlineStr">
        <is>
          <t>T</t>
        </is>
      </c>
      <c r="G157" t="inlineStr">
        <is>
          <t>C</t>
        </is>
      </c>
      <c r="H157" t="inlineStr">
        <is>
          <t>4179.64</t>
        </is>
      </c>
      <c r="I157" t="inlineStr">
        <is>
          <t>184</t>
        </is>
      </c>
      <c r="J157" t="inlineStr">
        <is>
          <t>77,107</t>
        </is>
      </c>
      <c r="K157" t="inlineStr">
        <is>
          <t>.</t>
        </is>
      </c>
      <c r="L157">
        <f>HYPERLINK("https://www.ncbi.nlm.nih.gov/snp/rs61870307", "rs61870307")</f>
        <v/>
      </c>
      <c r="M157">
        <f>HYPERLINK("https://www.genecards.org/Search/Keyword?queryString=%5Baliases%5D(%20CTBP2%20)&amp;keywords=CTBP2", "CTBP2")</f>
        <v/>
      </c>
      <c r="N157" t="inlineStr">
        <is>
          <t>exonic</t>
        </is>
      </c>
      <c r="O157" t="inlineStr">
        <is>
          <t>nonsynonymous SNV</t>
        </is>
      </c>
      <c r="P157" t="inlineStr">
        <is>
          <t>CTBP2:NM_001363508:exon5:c.A935G:p.N312S,CTBP2:NM_022802:exon5:c.A2351G:p.N784S,CTBP2:NM_001321013:exon6:c.A731G:p.N244S,CTBP2:NM_001083914:exon7:c.A731G:p.N244S,CTBP2:NM_001290214:exon7:c.A731G:p.N244S,CTBP2:NM_001290215:exon7:c.A731G:p.N244S,CTBP2:NM_001321012:exon7:c.A731G:p.N244S,CTBP2:NM_001321014:exon7:c.A731G:p.N244S,CTBP2:NM_001329:exon7:c.A731G:p.N244S;CTBP2:uc001lid.4:exon5:c.A935G:p.N312S,CTBP2:uc001lie.4:exon5:c.A2351G:p.N784S,CTBP2:uc001lif.4:exon7:c.A731G:p.N244S,CTBP2:uc001lih.4:exon7:c.A731G:p.N244S,CTBP2:uc009yak.3:exon7:c.A731G:p.N244S,CTBP2:uc009yal.3:exon7:c.A731G:p.N244S;CTBP2:ENST00000309035.11_5:exon5:c.A2351G:p.N784S,CTBP2:ENST00000334808.10_4:exon5:c.A935G:p.N312S,CTBP2:ENST00000337195.9_3:exon7:c.A731G:p.N244S,CTBP2:ENST00000411419.6_3:exon7:c.A731G:p.N244S,CTBP2:ENST00000494626.6_3:exon7:c.A731G:p.N244S,CTBP2:ENST00000531469.5_3:exon7:c.A731G:p.N244S</t>
        </is>
      </c>
      <c r="Q157" t="n">
        <v>3.23e-05</v>
      </c>
      <c r="R157" t="n">
        <v>-1</v>
      </c>
      <c r="S157" t="n">
        <v>-1</v>
      </c>
      <c r="T157" t="n">
        <v>-1</v>
      </c>
      <c r="U157" t="n">
        <v>-1</v>
      </c>
      <c r="V157" t="inlineStr">
        <is>
          <t>5/12</t>
        </is>
      </c>
      <c r="W157" t="inlineStr">
        <is>
          <t>.</t>
        </is>
      </c>
      <c r="X157" t="inlineStr">
        <is>
          <t>.</t>
        </is>
      </c>
      <c r="Y157" t="inlineStr">
        <is>
          <t>.</t>
        </is>
      </c>
      <c r="Z157" t="inlineStr">
        <is>
          <t>3/7</t>
        </is>
      </c>
      <c r="AA157" t="inlineStr">
        <is>
          <t>Uncertain significance</t>
        </is>
      </c>
      <c r="AB157" t="inlineStr">
        <is>
          <t>.</t>
        </is>
      </c>
      <c r="AC157" t="inlineStr">
        <is>
          <t>.</t>
        </is>
      </c>
      <c r="AD157" t="inlineStr">
        <is>
          <t>82</t>
        </is>
      </c>
      <c r="AE157" t="inlineStr">
        <is>
          <t>0.655184958473335</t>
        </is>
      </c>
      <c r="AF157" t="inlineStr">
        <is>
          <t>C-terminal binding protein 2</t>
        </is>
      </c>
      <c r="AG157" t="inlineStr">
        <is>
          <t xml:space="preserve">FUNCTION: Corepressor targeting diverse transcription regulators. Functions in brown adipose tissue (BAT) differentiation (By similarity). {ECO:0000250}.; </t>
        </is>
      </c>
      <c r="AH157" t="inlineStr">
        <is>
          <t>.</t>
        </is>
      </c>
      <c r="AI157" t="inlineStr">
        <is>
          <t>.</t>
        </is>
      </c>
      <c r="AJ157" t="inlineStr">
        <is>
          <t>.</t>
        </is>
      </c>
      <c r="AK157" t="inlineStr">
        <is>
          <t>.</t>
        </is>
      </c>
      <c r="AL157" t="inlineStr">
        <is>
          <t>.</t>
        </is>
      </c>
    </row>
    <row r="158">
      <c r="A158" t="inlineStr"/>
      <c r="B158">
        <f>HYPERLINK("https://genome.ucsc.edu/cgi-bin/hgTracks?db=hg19&amp;position=chr10%3A126683099%2D126683099", "chr10:126683099")</f>
        <v/>
      </c>
      <c r="C158" t="inlineStr">
        <is>
          <t>chr10</t>
        </is>
      </c>
      <c r="D158" t="n">
        <v>126683099</v>
      </c>
      <c r="E158" t="n">
        <v>126683099</v>
      </c>
      <c r="F158" t="inlineStr">
        <is>
          <t>G</t>
        </is>
      </c>
      <c r="G158" t="inlineStr">
        <is>
          <t>A</t>
        </is>
      </c>
      <c r="H158" t="inlineStr">
        <is>
          <t>3390.64</t>
        </is>
      </c>
      <c r="I158" t="inlineStr">
        <is>
          <t>222</t>
        </is>
      </c>
      <c r="J158" t="inlineStr">
        <is>
          <t>126,96</t>
        </is>
      </c>
      <c r="K158" t="inlineStr">
        <is>
          <t>.</t>
        </is>
      </c>
      <c r="L158">
        <f>HYPERLINK("https://www.ncbi.nlm.nih.gov/snp/rs374871777", "rs374871777")</f>
        <v/>
      </c>
      <c r="M158">
        <f>HYPERLINK("https://www.genecards.org/Search/Keyword?queryString=%5Baliases%5D(%20CTBP2%20)&amp;keywords=CTBP2", "CTBP2")</f>
        <v/>
      </c>
      <c r="N158" t="inlineStr">
        <is>
          <t>exonic</t>
        </is>
      </c>
      <c r="O158" t="inlineStr">
        <is>
          <t>nonsynonymous SNV</t>
        </is>
      </c>
      <c r="P158" t="inlineStr">
        <is>
          <t>CTBP2:NM_001363508:exon5:c.C923T:p.S308F,CTBP2:NM_022802:exon5:c.C2339T:p.S780F,CTBP2:NM_001321013:exon6:c.C719T:p.S240F,CTBP2:NM_001083914:exon7:c.C719T:p.S240F,CTBP2:NM_001290214:exon7:c.C719T:p.S240F,CTBP2:NM_001290215:exon7:c.C719T:p.S240F,CTBP2:NM_001321012:exon7:c.C719T:p.S240F,CTBP2:NM_001321014:exon7:c.C719T:p.S240F,CTBP2:NM_001329:exon7:c.C719T:p.S240F;CTBP2:uc001lid.4:exon5:c.C923T:p.S308F,CTBP2:uc001lie.4:exon5:c.C2339T:p.S780F,CTBP2:uc001lif.4:exon7:c.C719T:p.S240F,CTBP2:uc001lih.4:exon7:c.C719T:p.S240F,CTBP2:uc009yak.3:exon7:c.C719T:p.S240F,CTBP2:uc009yal.3:exon7:c.C719T:p.S240F;CTBP2:ENST00000309035.11_5:exon5:c.C2339T:p.S780F,CTBP2:ENST00000334808.10_4:exon5:c.C923T:p.S308F,CTBP2:ENST00000337195.9_3:exon7:c.C719T:p.S240F,CTBP2:ENST00000411419.6_3:exon7:c.C719T:p.S240F,CTBP2:ENST00000494626.6_3:exon7:c.C719T:p.S240F,CTBP2:ENST00000531469.5_3:exon7:c.C719T:p.S240F</t>
        </is>
      </c>
      <c r="Q158" t="n">
        <v>6.5e-06</v>
      </c>
      <c r="R158" t="n">
        <v>-1</v>
      </c>
      <c r="S158" t="n">
        <v>-1</v>
      </c>
      <c r="T158" t="n">
        <v>-1</v>
      </c>
      <c r="U158" t="n">
        <v>-1</v>
      </c>
      <c r="V158" t="inlineStr">
        <is>
          <t>10/12</t>
        </is>
      </c>
      <c r="W158" t="inlineStr">
        <is>
          <t>.</t>
        </is>
      </c>
      <c r="X158" t="inlineStr">
        <is>
          <t>.</t>
        </is>
      </c>
      <c r="Y158" t="inlineStr">
        <is>
          <t>.</t>
        </is>
      </c>
      <c r="Z158" t="inlineStr">
        <is>
          <t>7/7</t>
        </is>
      </c>
      <c r="AA158" t="inlineStr">
        <is>
          <t>Uncertain significance</t>
        </is>
      </c>
      <c r="AB158" t="inlineStr">
        <is>
          <t>.</t>
        </is>
      </c>
      <c r="AC158" t="inlineStr">
        <is>
          <t>.</t>
        </is>
      </c>
      <c r="AD158" t="inlineStr">
        <is>
          <t>82</t>
        </is>
      </c>
      <c r="AE158" t="inlineStr">
        <is>
          <t>0.655184958473335</t>
        </is>
      </c>
      <c r="AF158" t="inlineStr">
        <is>
          <t>C-terminal binding protein 2</t>
        </is>
      </c>
      <c r="AG158" t="inlineStr">
        <is>
          <t xml:space="preserve">FUNCTION: Corepressor targeting diverse transcription regulators. Functions in brown adipose tissue (BAT) differentiation (By similarity). {ECO:0000250}.; </t>
        </is>
      </c>
      <c r="AH158" t="inlineStr">
        <is>
          <t>.</t>
        </is>
      </c>
      <c r="AI158" t="inlineStr">
        <is>
          <t>.</t>
        </is>
      </c>
      <c r="AJ158" t="inlineStr">
        <is>
          <t>.</t>
        </is>
      </c>
      <c r="AK158" t="inlineStr">
        <is>
          <t>.</t>
        </is>
      </c>
      <c r="AL158" t="inlineStr">
        <is>
          <t>.</t>
        </is>
      </c>
    </row>
    <row r="159">
      <c r="A159" t="inlineStr"/>
      <c r="B159">
        <f>HYPERLINK("https://genome.ucsc.edu/cgi-bin/hgTracks?db=hg19&amp;position=chr10%3A126683103%2D126683103", "chr10:126683103")</f>
        <v/>
      </c>
      <c r="C159" t="inlineStr">
        <is>
          <t>chr10</t>
        </is>
      </c>
      <c r="D159" t="n">
        <v>126683103</v>
      </c>
      <c r="E159" t="n">
        <v>126683103</v>
      </c>
      <c r="F159" t="inlineStr">
        <is>
          <t>C</t>
        </is>
      </c>
      <c r="G159" t="inlineStr">
        <is>
          <t>T</t>
        </is>
      </c>
      <c r="H159" t="inlineStr">
        <is>
          <t>2400.64</t>
        </is>
      </c>
      <c r="I159" t="inlineStr">
        <is>
          <t>226</t>
        </is>
      </c>
      <c r="J159" t="inlineStr">
        <is>
          <t>120,106</t>
        </is>
      </c>
      <c r="K159" t="inlineStr">
        <is>
          <t>.</t>
        </is>
      </c>
      <c r="L159">
        <f>HYPERLINK("https://www.ncbi.nlm.nih.gov/snp/rs77603788", "rs77603788")</f>
        <v/>
      </c>
      <c r="M159">
        <f>HYPERLINK("https://www.genecards.org/Search/Keyword?queryString=%5Baliases%5D(%20CTBP2%20)&amp;keywords=CTBP2", "CTBP2")</f>
        <v/>
      </c>
      <c r="N159" t="inlineStr">
        <is>
          <t>exonic</t>
        </is>
      </c>
      <c r="O159" t="inlineStr">
        <is>
          <t>nonsynonymous SNV</t>
        </is>
      </c>
      <c r="P159" t="inlineStr">
        <is>
          <t>CTBP2:NM_001363508:exon5:c.G919A:p.V307I,CTBP2:NM_022802:exon5:c.G2335A:p.V779I,CTBP2:NM_001321013:exon6:c.G715A:p.V239I,CTBP2:NM_001083914:exon7:c.G715A:p.V239I,CTBP2:NM_001290214:exon7:c.G715A:p.V239I,CTBP2:NM_001290215:exon7:c.G715A:p.V239I,CTBP2:NM_001321012:exon7:c.G715A:p.V239I,CTBP2:NM_001321014:exon7:c.G715A:p.V239I,CTBP2:NM_001329:exon7:c.G715A:p.V239I;CTBP2:uc001lid.4:exon5:c.G919A:p.V307I,CTBP2:uc001lie.4:exon5:c.G2335A:p.V779I,CTBP2:uc001lif.4:exon7:c.G715A:p.V239I,CTBP2:uc001lih.4:exon7:c.G715A:p.V239I,CTBP2:uc009yak.3:exon7:c.G715A:p.V239I,CTBP2:uc009yal.3:exon7:c.G715A:p.V239I;CTBP2:ENST00000309035.11_5:exon5:c.G2335A:p.V779I,CTBP2:ENST00000334808.10_4:exon5:c.G919A:p.V307I,CTBP2:ENST00000337195.9_3:exon7:c.G715A:p.V239I,CTBP2:ENST00000411419.6_3:exon7:c.G715A:p.V239I,CTBP2:ENST00000494626.6_3:exon7:c.G715A:p.V239I,CTBP2:ENST00000531469.5_3:exon7:c.G715A:p.V239I</t>
        </is>
      </c>
      <c r="Q159" t="n">
        <v>4.53e-05</v>
      </c>
      <c r="R159" t="n">
        <v>-1</v>
      </c>
      <c r="S159" t="n">
        <v>-1</v>
      </c>
      <c r="T159" t="n">
        <v>-1</v>
      </c>
      <c r="U159" t="n">
        <v>-1</v>
      </c>
      <c r="V159" t="inlineStr">
        <is>
          <t>5/12</t>
        </is>
      </c>
      <c r="W159" t="inlineStr">
        <is>
          <t>.</t>
        </is>
      </c>
      <c r="X159" t="inlineStr">
        <is>
          <t>.</t>
        </is>
      </c>
      <c r="Y159" t="inlineStr">
        <is>
          <t>.</t>
        </is>
      </c>
      <c r="Z159" t="inlineStr">
        <is>
          <t>5/7</t>
        </is>
      </c>
      <c r="AA159" t="inlineStr">
        <is>
          <t>Uncertain significance</t>
        </is>
      </c>
      <c r="AB159" t="inlineStr">
        <is>
          <t>.</t>
        </is>
      </c>
      <c r="AC159" t="inlineStr">
        <is>
          <t>0/1</t>
        </is>
      </c>
      <c r="AD159" t="inlineStr">
        <is>
          <t>82</t>
        </is>
      </c>
      <c r="AE159" t="inlineStr">
        <is>
          <t>0.655184958473335</t>
        </is>
      </c>
      <c r="AF159" t="inlineStr">
        <is>
          <t>C-terminal binding protein 2</t>
        </is>
      </c>
      <c r="AG159" t="inlineStr">
        <is>
          <t xml:space="preserve">FUNCTION: Corepressor targeting diverse transcription regulators. Functions in brown adipose tissue (BAT) differentiation (By similarity). {ECO:0000250}.; </t>
        </is>
      </c>
      <c r="AH159" t="inlineStr">
        <is>
          <t>.</t>
        </is>
      </c>
      <c r="AI159" t="inlineStr">
        <is>
          <t>.</t>
        </is>
      </c>
      <c r="AJ159" t="inlineStr">
        <is>
          <t>.</t>
        </is>
      </c>
      <c r="AK159" t="inlineStr">
        <is>
          <t>.</t>
        </is>
      </c>
      <c r="AL159" t="inlineStr">
        <is>
          <t>.</t>
        </is>
      </c>
    </row>
    <row r="160">
      <c r="A160" t="inlineStr"/>
      <c r="B160">
        <f>HYPERLINK("https://genome.ucsc.edu/cgi-bin/hgTracks?db=hg19&amp;position=chr10%3A126683111%2D126683111", "chr10:126683111")</f>
        <v/>
      </c>
      <c r="C160" t="inlineStr">
        <is>
          <t>chr10</t>
        </is>
      </c>
      <c r="D160" t="n">
        <v>126683111</v>
      </c>
      <c r="E160" t="n">
        <v>126683111</v>
      </c>
      <c r="F160" t="inlineStr">
        <is>
          <t>C</t>
        </is>
      </c>
      <c r="G160" t="inlineStr">
        <is>
          <t>T</t>
        </is>
      </c>
      <c r="H160" t="inlineStr">
        <is>
          <t>2495.64</t>
        </is>
      </c>
      <c r="I160" t="inlineStr">
        <is>
          <t>210</t>
        </is>
      </c>
      <c r="J160" t="inlineStr">
        <is>
          <t>105,105</t>
        </is>
      </c>
      <c r="K160" t="inlineStr">
        <is>
          <t>.</t>
        </is>
      </c>
      <c r="L160">
        <f>HYPERLINK("https://www.ncbi.nlm.nih.gov/snp/rs78155918", "rs78155918")</f>
        <v/>
      </c>
      <c r="M160">
        <f>HYPERLINK("https://www.genecards.org/Search/Keyword?queryString=%5Baliases%5D(%20CTBP2%20)&amp;keywords=CTBP2", "CTBP2")</f>
        <v/>
      </c>
      <c r="N160" t="inlineStr">
        <is>
          <t>exonic</t>
        </is>
      </c>
      <c r="O160" t="inlineStr">
        <is>
          <t>nonsynonymous SNV</t>
        </is>
      </c>
      <c r="P160" t="inlineStr">
        <is>
          <t>CTBP2:NM_001363508:exon5:c.G911A:p.S304N,CTBP2:NM_022802:exon5:c.G2327A:p.S776N,CTBP2:NM_001321013:exon6:c.G707A:p.S236N,CTBP2:NM_001083914:exon7:c.G707A:p.S236N,CTBP2:NM_001290214:exon7:c.G707A:p.S236N,CTBP2:NM_001290215:exon7:c.G707A:p.S236N,CTBP2:NM_001321012:exon7:c.G707A:p.S236N,CTBP2:NM_001321014:exon7:c.G707A:p.S236N,CTBP2:NM_001329:exon7:c.G707A:p.S236N;CTBP2:uc001lid.4:exon5:c.G911A:p.S304N,CTBP2:uc001lie.4:exon5:c.G2327A:p.S776N,CTBP2:uc001lif.4:exon7:c.G707A:p.S236N,CTBP2:uc001lih.4:exon7:c.G707A:p.S236N,CTBP2:uc009yak.3:exon7:c.G707A:p.S236N,CTBP2:uc009yal.3:exon7:c.G707A:p.S236N;CTBP2:ENST00000309035.11_5:exon5:c.G2327A:p.S776N,CTBP2:ENST00000334808.10_4:exon5:c.G911A:p.S304N,CTBP2:ENST00000337195.9_3:exon7:c.G707A:p.S236N,CTBP2:ENST00000411419.6_3:exon7:c.G707A:p.S236N,CTBP2:ENST00000494626.6_3:exon7:c.G707A:p.S236N,CTBP2:ENST00000531469.5_3:exon7:c.G707A:p.S236N</t>
        </is>
      </c>
      <c r="Q160" t="n">
        <v>1.29e-05</v>
      </c>
      <c r="R160" t="n">
        <v>-1</v>
      </c>
      <c r="S160" t="n">
        <v>-1</v>
      </c>
      <c r="T160" t="n">
        <v>-1</v>
      </c>
      <c r="U160" t="n">
        <v>-1</v>
      </c>
      <c r="V160" t="inlineStr">
        <is>
          <t>11/12</t>
        </is>
      </c>
      <c r="W160" t="inlineStr">
        <is>
          <t>.</t>
        </is>
      </c>
      <c r="X160" t="inlineStr">
        <is>
          <t>.</t>
        </is>
      </c>
      <c r="Y160" t="inlineStr">
        <is>
          <t>.</t>
        </is>
      </c>
      <c r="Z160" t="inlineStr">
        <is>
          <t>5/7</t>
        </is>
      </c>
      <c r="AA160" t="inlineStr">
        <is>
          <t>Uncertain significance</t>
        </is>
      </c>
      <c r="AB160" t="inlineStr">
        <is>
          <t>.</t>
        </is>
      </c>
      <c r="AC160" t="inlineStr">
        <is>
          <t>0/1</t>
        </is>
      </c>
      <c r="AD160" t="inlineStr">
        <is>
          <t>82</t>
        </is>
      </c>
      <c r="AE160" t="inlineStr">
        <is>
          <t>0.655184958473335</t>
        </is>
      </c>
      <c r="AF160" t="inlineStr">
        <is>
          <t>C-terminal binding protein 2</t>
        </is>
      </c>
      <c r="AG160" t="inlineStr">
        <is>
          <t xml:space="preserve">FUNCTION: Corepressor targeting diverse transcription regulators. Functions in brown adipose tissue (BAT) differentiation (By similarity). {ECO:0000250}.; </t>
        </is>
      </c>
      <c r="AH160" t="inlineStr">
        <is>
          <t>.</t>
        </is>
      </c>
      <c r="AI160" t="inlineStr">
        <is>
          <t>.</t>
        </is>
      </c>
      <c r="AJ160" t="inlineStr">
        <is>
          <t>.</t>
        </is>
      </c>
      <c r="AK160" t="inlineStr">
        <is>
          <t>.</t>
        </is>
      </c>
      <c r="AL160" t="inlineStr">
        <is>
          <t>.</t>
        </is>
      </c>
    </row>
    <row r="161">
      <c r="A161" t="inlineStr"/>
      <c r="B161">
        <f>HYPERLINK("https://genome.ucsc.edu/cgi-bin/hgTracks?db=hg19&amp;position=chr10%3A126683123%2D126683123", "chr10:126683123")</f>
        <v/>
      </c>
      <c r="C161" t="inlineStr">
        <is>
          <t>chr10</t>
        </is>
      </c>
      <c r="D161" t="n">
        <v>126683123</v>
      </c>
      <c r="E161" t="n">
        <v>126683123</v>
      </c>
      <c r="F161" t="inlineStr">
        <is>
          <t>A</t>
        </is>
      </c>
      <c r="G161" t="inlineStr">
        <is>
          <t>C</t>
        </is>
      </c>
      <c r="H161" t="inlineStr">
        <is>
          <t>3843.64</t>
        </is>
      </c>
      <c r="I161" t="inlineStr">
        <is>
          <t>241</t>
        </is>
      </c>
      <c r="J161" t="inlineStr">
        <is>
          <t>134,107</t>
        </is>
      </c>
      <c r="K161" t="inlineStr">
        <is>
          <t>.</t>
        </is>
      </c>
      <c r="L161">
        <f>HYPERLINK("https://www.ncbi.nlm.nih.gov/snp/rs79936509", "rs79936509")</f>
        <v/>
      </c>
      <c r="M161">
        <f>HYPERLINK("https://www.genecards.org/Search/Keyword?queryString=%5Baliases%5D(%20CTBP2%20)&amp;keywords=CTBP2", "CTBP2")</f>
        <v/>
      </c>
      <c r="N161" t="inlineStr">
        <is>
          <t>exonic</t>
        </is>
      </c>
      <c r="O161" t="inlineStr">
        <is>
          <t>nonsynonymous SNV</t>
        </is>
      </c>
      <c r="P161" t="inlineStr">
        <is>
          <t>CTBP2:NM_001363508:exon5:c.T899G:p.L300W,CTBP2:NM_022802:exon5:c.T2315G:p.L772W,CTBP2:NM_001321013:exon6:c.T695G:p.L232W,CTBP2:NM_001083914:exon7:c.T695G:p.L232W,CTBP2:NM_001290214:exon7:c.T695G:p.L232W,CTBP2:NM_001290215:exon7:c.T695G:p.L232W,CTBP2:NM_001321012:exon7:c.T695G:p.L232W,CTBP2:NM_001321014:exon7:c.T695G:p.L232W,CTBP2:NM_001329:exon7:c.T695G:p.L232W;CTBP2:uc001lid.4:exon5:c.T899G:p.L300W,CTBP2:uc001lie.4:exon5:c.T2315G:p.L772W,CTBP2:uc001lif.4:exon7:c.T695G:p.L232W,CTBP2:uc001lih.4:exon7:c.T695G:p.L232W,CTBP2:uc009yak.3:exon7:c.T695G:p.L232W,CTBP2:uc009yal.3:exon7:c.T695G:p.L232W;CTBP2:ENST00000309035.11_5:exon5:c.T2315G:p.L772W,CTBP2:ENST00000334808.10_4:exon5:c.T899G:p.L300W,CTBP2:ENST00000337195.9_3:exon7:c.T695G:p.L232W,CTBP2:ENST00000411419.6_3:exon7:c.T695G:p.L232W,CTBP2:ENST00000494626.6_3:exon7:c.T695G:p.L232W,CTBP2:ENST00000531469.5_3:exon7:c.T695G:p.L232W</t>
        </is>
      </c>
      <c r="Q161" t="n">
        <v>3.23e-05</v>
      </c>
      <c r="R161" t="n">
        <v>-1</v>
      </c>
      <c r="S161" t="n">
        <v>-1</v>
      </c>
      <c r="T161" t="n">
        <v>-1</v>
      </c>
      <c r="U161" t="n">
        <v>-1</v>
      </c>
      <c r="V161" t="inlineStr">
        <is>
          <t>10/12</t>
        </is>
      </c>
      <c r="W161" t="inlineStr">
        <is>
          <t>.</t>
        </is>
      </c>
      <c r="X161" t="inlineStr">
        <is>
          <t>.</t>
        </is>
      </c>
      <c r="Y161" t="inlineStr">
        <is>
          <t>.</t>
        </is>
      </c>
      <c r="Z161" t="inlineStr">
        <is>
          <t>7/7</t>
        </is>
      </c>
      <c r="AA161" t="inlineStr">
        <is>
          <t>Uncertain significance</t>
        </is>
      </c>
      <c r="AB161" t="inlineStr">
        <is>
          <t>.</t>
        </is>
      </c>
      <c r="AC161" t="inlineStr">
        <is>
          <t>0/1</t>
        </is>
      </c>
      <c r="AD161" t="inlineStr">
        <is>
          <t>82</t>
        </is>
      </c>
      <c r="AE161" t="inlineStr">
        <is>
          <t>0.655184958473335</t>
        </is>
      </c>
      <c r="AF161" t="inlineStr">
        <is>
          <t>C-terminal binding protein 2</t>
        </is>
      </c>
      <c r="AG161" t="inlineStr">
        <is>
          <t xml:space="preserve">FUNCTION: Corepressor targeting diverse transcription regulators. Functions in brown adipose tissue (BAT) differentiation (By similarity). {ECO:0000250}.; </t>
        </is>
      </c>
      <c r="AH161" t="inlineStr">
        <is>
          <t>.</t>
        </is>
      </c>
      <c r="AI161" t="inlineStr">
        <is>
          <t>.</t>
        </is>
      </c>
      <c r="AJ161" t="inlineStr">
        <is>
          <t>.</t>
        </is>
      </c>
      <c r="AK161" t="inlineStr">
        <is>
          <t>.</t>
        </is>
      </c>
      <c r="AL161" t="inlineStr">
        <is>
          <t>.</t>
        </is>
      </c>
    </row>
    <row r="162">
      <c r="A162" t="inlineStr"/>
      <c r="B162">
        <f>HYPERLINK("https://genome.ucsc.edu/cgi-bin/hgTracks?db=hg19&amp;position=chr10%3A126683132%2D126683132", "chr10:126683132")</f>
        <v/>
      </c>
      <c r="C162" t="inlineStr">
        <is>
          <t>chr10</t>
        </is>
      </c>
      <c r="D162" t="n">
        <v>126683132</v>
      </c>
      <c r="E162" t="n">
        <v>126683132</v>
      </c>
      <c r="F162" t="inlineStr">
        <is>
          <t>A</t>
        </is>
      </c>
      <c r="G162" t="inlineStr">
        <is>
          <t>T</t>
        </is>
      </c>
      <c r="H162" t="inlineStr">
        <is>
          <t>5208.64</t>
        </is>
      </c>
      <c r="I162" t="inlineStr">
        <is>
          <t>244</t>
        </is>
      </c>
      <c r="J162" t="inlineStr">
        <is>
          <t>107,137</t>
        </is>
      </c>
      <c r="K162" t="inlineStr">
        <is>
          <t>.</t>
        </is>
      </c>
      <c r="L162">
        <f>HYPERLINK("https://www.ncbi.nlm.nih.gov/snp/rs150320719", "rs150320719")</f>
        <v/>
      </c>
      <c r="M162">
        <f>HYPERLINK("https://www.genecards.org/Search/Keyword?queryString=%5Baliases%5D(%20CTBP2%20)&amp;keywords=CTBP2", "CTBP2")</f>
        <v/>
      </c>
      <c r="N162" t="inlineStr">
        <is>
          <t>exonic</t>
        </is>
      </c>
      <c r="O162" t="inlineStr">
        <is>
          <t>nonsynonymous SNV</t>
        </is>
      </c>
      <c r="P162" t="inlineStr">
        <is>
          <t>CTBP2:NM_001363508:exon5:c.T890A:p.L297Q,CTBP2:NM_022802:exon5:c.T2306A:p.L769Q,CTBP2:NM_001321013:exon6:c.T686A:p.L229Q,CTBP2:NM_001083914:exon7:c.T686A:p.L229Q,CTBP2:NM_001290214:exon7:c.T686A:p.L229Q,CTBP2:NM_001290215:exon7:c.T686A:p.L229Q,CTBP2:NM_001321012:exon7:c.T686A:p.L229Q,CTBP2:NM_001321014:exon7:c.T686A:p.L229Q,CTBP2:NM_001329:exon7:c.T686A:p.L229Q;CTBP2:uc001lid.4:exon5:c.T890A:p.L297Q,CTBP2:uc001lie.4:exon5:c.T2306A:p.L769Q,CTBP2:uc001lif.4:exon7:c.T686A:p.L229Q,CTBP2:uc001lih.4:exon7:c.T686A:p.L229Q,CTBP2:uc009yak.3:exon7:c.T686A:p.L229Q,CTBP2:uc009yal.3:exon7:c.T686A:p.L229Q;CTBP2:ENST00000309035.11_5:exon5:c.T2306A:p.L769Q,CTBP2:ENST00000334808.10_4:exon5:c.T890A:p.L297Q,CTBP2:ENST00000337195.9_3:exon7:c.T686A:p.L229Q,CTBP2:ENST00000411419.6_3:exon7:c.T686A:p.L229Q,CTBP2:ENST00000494626.6_3:exon7:c.T686A:p.L229Q,CTBP2:ENST00000531469.5_3:exon7:c.T686A:p.L229Q</t>
        </is>
      </c>
      <c r="Q162" t="n">
        <v>1.29e-05</v>
      </c>
      <c r="R162" t="n">
        <v>-1</v>
      </c>
      <c r="S162" t="n">
        <v>-1</v>
      </c>
      <c r="T162" t="n">
        <v>-1</v>
      </c>
      <c r="U162" t="n">
        <v>-1</v>
      </c>
      <c r="V162" t="inlineStr">
        <is>
          <t>11/12</t>
        </is>
      </c>
      <c r="W162" t="inlineStr">
        <is>
          <t>.</t>
        </is>
      </c>
      <c r="X162" t="inlineStr">
        <is>
          <t>.</t>
        </is>
      </c>
      <c r="Y162" t="inlineStr">
        <is>
          <t>.</t>
        </is>
      </c>
      <c r="Z162" t="inlineStr">
        <is>
          <t>7/7</t>
        </is>
      </c>
      <c r="AA162" t="inlineStr">
        <is>
          <t>Uncertain significance</t>
        </is>
      </c>
      <c r="AB162" t="inlineStr">
        <is>
          <t>.</t>
        </is>
      </c>
      <c r="AC162" t="inlineStr">
        <is>
          <t>0/1</t>
        </is>
      </c>
      <c r="AD162" t="inlineStr">
        <is>
          <t>82</t>
        </is>
      </c>
      <c r="AE162" t="inlineStr">
        <is>
          <t>0.655184958473335</t>
        </is>
      </c>
      <c r="AF162" t="inlineStr">
        <is>
          <t>C-terminal binding protein 2</t>
        </is>
      </c>
      <c r="AG162" t="inlineStr">
        <is>
          <t xml:space="preserve">FUNCTION: Corepressor targeting diverse transcription regulators. Functions in brown adipose tissue (BAT) differentiation (By similarity). {ECO:0000250}.; </t>
        </is>
      </c>
      <c r="AH162" t="inlineStr">
        <is>
          <t>.</t>
        </is>
      </c>
      <c r="AI162" t="inlineStr">
        <is>
          <t>.</t>
        </is>
      </c>
      <c r="AJ162" t="inlineStr">
        <is>
          <t>.</t>
        </is>
      </c>
      <c r="AK162" t="inlineStr">
        <is>
          <t>.</t>
        </is>
      </c>
      <c r="AL162" t="inlineStr">
        <is>
          <t>.</t>
        </is>
      </c>
    </row>
    <row r="163">
      <c r="A163" t="inlineStr"/>
      <c r="B163">
        <f>HYPERLINK("https://genome.ucsc.edu/cgi-bin/hgTracks?db=hg19&amp;position=chr10%3A126683146%2D126683146", "chr10:126683146")</f>
        <v/>
      </c>
      <c r="C163" t="inlineStr">
        <is>
          <t>chr10</t>
        </is>
      </c>
      <c r="D163" t="n">
        <v>126683146</v>
      </c>
      <c r="E163" t="n">
        <v>126683146</v>
      </c>
      <c r="F163" t="inlineStr">
        <is>
          <t>C</t>
        </is>
      </c>
      <c r="G163" t="inlineStr">
        <is>
          <t>A</t>
        </is>
      </c>
      <c r="H163" t="inlineStr">
        <is>
          <t>6078.64</t>
        </is>
      </c>
      <c r="I163" t="inlineStr">
        <is>
          <t>264</t>
        </is>
      </c>
      <c r="J163" t="inlineStr">
        <is>
          <t>107,157</t>
        </is>
      </c>
      <c r="K163" t="inlineStr">
        <is>
          <t>.</t>
        </is>
      </c>
      <c r="L163">
        <f>HYPERLINK("https://www.ncbi.nlm.nih.gov/snp/rs80025996", "rs80025996")</f>
        <v/>
      </c>
      <c r="M163">
        <f>HYPERLINK("https://www.genecards.org/Search/Keyword?queryString=%5Baliases%5D(%20CTBP2%20)&amp;keywords=CTBP2", "CTBP2")</f>
        <v/>
      </c>
      <c r="N163" t="inlineStr">
        <is>
          <t>exonic</t>
        </is>
      </c>
      <c r="O163" t="inlineStr">
        <is>
          <t>nonsynonymous SNV</t>
        </is>
      </c>
      <c r="P163" t="inlineStr">
        <is>
          <t>CTBP2:NM_001363508:exon5:c.G876T:p.Q292H,CTBP2:NM_022802:exon5:c.G2292T:p.Q764H,CTBP2:NM_001321013:exon6:c.G672T:p.Q224H,CTBP2:NM_001083914:exon7:c.G672T:p.Q224H,CTBP2:NM_001290214:exon7:c.G672T:p.Q224H,CTBP2:NM_001290215:exon7:c.G672T:p.Q224H,CTBP2:NM_001321012:exon7:c.G672T:p.Q224H,CTBP2:NM_001321014:exon7:c.G672T:p.Q224H,CTBP2:NM_001329:exon7:c.G672T:p.Q224H;CTBP2:uc001lid.4:exon5:c.G876T:p.Q292H,CTBP2:uc001lie.4:exon5:c.G2292T:p.Q764H,CTBP2:uc001lif.4:exon7:c.G672T:p.Q224H,CTBP2:uc001lih.4:exon7:c.G672T:p.Q224H,CTBP2:uc009yak.3:exon7:c.G672T:p.Q224H,CTBP2:uc009yal.3:exon7:c.G672T:p.Q224H;CTBP2:ENST00000309035.11_5:exon5:c.G2292T:p.Q764H,CTBP2:ENST00000334808.10_4:exon5:c.G876T:p.Q292H,CTBP2:ENST00000337195.9_3:exon7:c.G672T:p.Q224H,CTBP2:ENST00000411419.6_3:exon7:c.G672T:p.Q224H,CTBP2:ENST00000494626.6_3:exon7:c.G672T:p.Q224H,CTBP2:ENST00000531469.5_3:exon7:c.G672T:p.Q224H</t>
        </is>
      </c>
      <c r="Q163" t="n">
        <v>1.94e-05</v>
      </c>
      <c r="R163" t="n">
        <v>-1</v>
      </c>
      <c r="S163" t="n">
        <v>-1</v>
      </c>
      <c r="T163" t="n">
        <v>-1</v>
      </c>
      <c r="U163" t="n">
        <v>-1</v>
      </c>
      <c r="V163" t="inlineStr">
        <is>
          <t>9/12</t>
        </is>
      </c>
      <c r="W163" t="inlineStr">
        <is>
          <t>.</t>
        </is>
      </c>
      <c r="X163" t="inlineStr">
        <is>
          <t>.</t>
        </is>
      </c>
      <c r="Y163" t="inlineStr">
        <is>
          <t>.</t>
        </is>
      </c>
      <c r="Z163" t="inlineStr">
        <is>
          <t>3/7</t>
        </is>
      </c>
      <c r="AA163" t="inlineStr">
        <is>
          <t>Uncertain significance</t>
        </is>
      </c>
      <c r="AB163" t="inlineStr">
        <is>
          <t>.</t>
        </is>
      </c>
      <c r="AC163" t="inlineStr">
        <is>
          <t>.</t>
        </is>
      </c>
      <c r="AD163" t="inlineStr">
        <is>
          <t>82</t>
        </is>
      </c>
      <c r="AE163" t="inlineStr">
        <is>
          <t>0.655184958473335</t>
        </is>
      </c>
      <c r="AF163" t="inlineStr">
        <is>
          <t>C-terminal binding protein 2</t>
        </is>
      </c>
      <c r="AG163" t="inlineStr">
        <is>
          <t xml:space="preserve">FUNCTION: Corepressor targeting diverse transcription regulators. Functions in brown adipose tissue (BAT) differentiation (By similarity). {ECO:0000250}.; </t>
        </is>
      </c>
      <c r="AH163" t="inlineStr">
        <is>
          <t>.</t>
        </is>
      </c>
      <c r="AI163" t="inlineStr">
        <is>
          <t>.</t>
        </is>
      </c>
      <c r="AJ163" t="inlineStr">
        <is>
          <t>.</t>
        </is>
      </c>
      <c r="AK163" t="inlineStr">
        <is>
          <t>.</t>
        </is>
      </c>
      <c r="AL163" t="inlineStr">
        <is>
          <t>.</t>
        </is>
      </c>
    </row>
    <row r="164">
      <c r="A164" t="inlineStr"/>
      <c r="B164">
        <f>HYPERLINK("https://genome.ucsc.edu/cgi-bin/hgTracks?db=hg19&amp;position=chr10%3A126683151%2D126683151", "chr10:126683151")</f>
        <v/>
      </c>
      <c r="C164" t="inlineStr">
        <is>
          <t>chr10</t>
        </is>
      </c>
      <c r="D164" t="n">
        <v>126683151</v>
      </c>
      <c r="E164" t="n">
        <v>126683151</v>
      </c>
      <c r="F164" t="inlineStr">
        <is>
          <t>C</t>
        </is>
      </c>
      <c r="G164" t="inlineStr">
        <is>
          <t>T</t>
        </is>
      </c>
      <c r="H164" t="inlineStr">
        <is>
          <t>3842.64</t>
        </is>
      </c>
      <c r="I164" t="inlineStr">
        <is>
          <t>275</t>
        </is>
      </c>
      <c r="J164" t="inlineStr">
        <is>
          <t>169,106</t>
        </is>
      </c>
      <c r="K164" t="inlineStr">
        <is>
          <t>.</t>
        </is>
      </c>
      <c r="L164">
        <f>HYPERLINK("https://www.ncbi.nlm.nih.gov/snp/rs76203768", "rs76203768")</f>
        <v/>
      </c>
      <c r="M164">
        <f>HYPERLINK("https://www.genecards.org/Search/Keyword?queryString=%5Baliases%5D(%20CTBP2%20)&amp;keywords=CTBP2", "CTBP2")</f>
        <v/>
      </c>
      <c r="N164" t="inlineStr">
        <is>
          <t>exonic</t>
        </is>
      </c>
      <c r="O164" t="inlineStr">
        <is>
          <t>nonsynonymous SNV</t>
        </is>
      </c>
      <c r="P164" t="inlineStr">
        <is>
          <t>CTBP2:NM_001363508:exon5:c.G871A:p.V291M,CTBP2:NM_022802:exon5:c.G2287A:p.V763M,CTBP2:NM_001321013:exon6:c.G667A:p.V223M,CTBP2:NM_001083914:exon7:c.G667A:p.V223M,CTBP2:NM_001290214:exon7:c.G667A:p.V223M,CTBP2:NM_001290215:exon7:c.G667A:p.V223M,CTBP2:NM_001321012:exon7:c.G667A:p.V223M,CTBP2:NM_001321014:exon7:c.G667A:p.V223M,CTBP2:NM_001329:exon7:c.G667A:p.V223M;CTBP2:uc001lid.4:exon5:c.G871A:p.V291M,CTBP2:uc001lie.4:exon5:c.G2287A:p.V763M,CTBP2:uc001lif.4:exon7:c.G667A:p.V223M,CTBP2:uc001lih.4:exon7:c.G667A:p.V223M,CTBP2:uc009yak.3:exon7:c.G667A:p.V223M,CTBP2:uc009yal.3:exon7:c.G667A:p.V223M;CTBP2:ENST00000309035.11_5:exon5:c.G2287A:p.V763M,CTBP2:ENST00000334808.10_4:exon5:c.G871A:p.V291M,CTBP2:ENST00000337195.9_3:exon7:c.G667A:p.V223M,CTBP2:ENST00000411419.6_3:exon7:c.G667A:p.V223M,CTBP2:ENST00000494626.6_3:exon7:c.G667A:p.V223M,CTBP2:ENST00000531469.5_3:exon7:c.G667A:p.V223M</t>
        </is>
      </c>
      <c r="Q164" t="n">
        <v>4.53e-05</v>
      </c>
      <c r="R164" t="n">
        <v>-1</v>
      </c>
      <c r="S164" t="n">
        <v>-1</v>
      </c>
      <c r="T164" t="n">
        <v>-1</v>
      </c>
      <c r="U164" t="n">
        <v>-1</v>
      </c>
      <c r="V164" t="inlineStr">
        <is>
          <t>7/12</t>
        </is>
      </c>
      <c r="W164" t="inlineStr">
        <is>
          <t>.</t>
        </is>
      </c>
      <c r="X164" t="inlineStr">
        <is>
          <t>.</t>
        </is>
      </c>
      <c r="Y164" t="inlineStr">
        <is>
          <t>.</t>
        </is>
      </c>
      <c r="Z164" t="inlineStr">
        <is>
          <t>5/7</t>
        </is>
      </c>
      <c r="AA164" t="inlineStr">
        <is>
          <t>Uncertain significance</t>
        </is>
      </c>
      <c r="AB164" t="inlineStr">
        <is>
          <t>.</t>
        </is>
      </c>
      <c r="AC164" t="inlineStr">
        <is>
          <t>.</t>
        </is>
      </c>
      <c r="AD164" t="inlineStr">
        <is>
          <t>82</t>
        </is>
      </c>
      <c r="AE164" t="inlineStr">
        <is>
          <t>0.655184958473335</t>
        </is>
      </c>
      <c r="AF164" t="inlineStr">
        <is>
          <t>C-terminal binding protein 2</t>
        </is>
      </c>
      <c r="AG164" t="inlineStr">
        <is>
          <t xml:space="preserve">FUNCTION: Corepressor targeting diverse transcription regulators. Functions in brown adipose tissue (BAT) differentiation (By similarity). {ECO:0000250}.; </t>
        </is>
      </c>
      <c r="AH164" t="inlineStr">
        <is>
          <t>.</t>
        </is>
      </c>
      <c r="AI164" t="inlineStr">
        <is>
          <t>.</t>
        </is>
      </c>
      <c r="AJ164" t="inlineStr">
        <is>
          <t>.</t>
        </is>
      </c>
      <c r="AK164" t="inlineStr">
        <is>
          <t>.</t>
        </is>
      </c>
      <c r="AL164" t="inlineStr">
        <is>
          <t>.</t>
        </is>
      </c>
    </row>
    <row r="165">
      <c r="A165" t="inlineStr"/>
      <c r="B165">
        <f>HYPERLINK("https://genome.ucsc.edu/cgi-bin/hgTracks?db=hg19&amp;position=chr10%3A126683162%2D126683162", "chr10:126683162")</f>
        <v/>
      </c>
      <c r="C165" t="inlineStr">
        <is>
          <t>chr10</t>
        </is>
      </c>
      <c r="D165" t="n">
        <v>126683162</v>
      </c>
      <c r="E165" t="n">
        <v>126683162</v>
      </c>
      <c r="F165" t="inlineStr">
        <is>
          <t>C</t>
        </is>
      </c>
      <c r="G165" t="inlineStr">
        <is>
          <t>T</t>
        </is>
      </c>
      <c r="H165" t="inlineStr">
        <is>
          <t>3802.64</t>
        </is>
      </c>
      <c r="I165" t="inlineStr">
        <is>
          <t>272</t>
        </is>
      </c>
      <c r="J165" t="inlineStr">
        <is>
          <t>168,104</t>
        </is>
      </c>
      <c r="K165" t="inlineStr">
        <is>
          <t>.</t>
        </is>
      </c>
      <c r="L165">
        <f>HYPERLINK("https://www.ncbi.nlm.nih.gov/snp/rs75420260", "rs75420260")</f>
        <v/>
      </c>
      <c r="M165">
        <f>HYPERLINK("https://www.genecards.org/Search/Keyword?queryString=%5Baliases%5D(%20CTBP2%20)&amp;keywords=CTBP2", "CTBP2")</f>
        <v/>
      </c>
      <c r="N165" t="inlineStr">
        <is>
          <t>exonic</t>
        </is>
      </c>
      <c r="O165" t="inlineStr">
        <is>
          <t>nonsynonymous SNV</t>
        </is>
      </c>
      <c r="P165" t="inlineStr">
        <is>
          <t>CTBP2:NM_001363508:exon5:c.G860A:p.R287Q,CTBP2:NM_022802:exon5:c.G2276A:p.R759Q,CTBP2:NM_001321013:exon6:c.G656A:p.R219Q,CTBP2:NM_001083914:exon7:c.G656A:p.R219Q,CTBP2:NM_001290214:exon7:c.G656A:p.R219Q,CTBP2:NM_001290215:exon7:c.G656A:p.R219Q,CTBP2:NM_001321012:exon7:c.G656A:p.R219Q,CTBP2:NM_001321014:exon7:c.G656A:p.R219Q,CTBP2:NM_001329:exon7:c.G656A:p.R219Q;CTBP2:uc001lid.4:exon5:c.G860A:p.R287Q,CTBP2:uc001lie.4:exon5:c.G2276A:p.R759Q,CTBP2:uc001lif.4:exon7:c.G656A:p.R219Q,CTBP2:uc001lih.4:exon7:c.G656A:p.R219Q,CTBP2:uc009yak.3:exon7:c.G656A:p.R219Q,CTBP2:uc009yal.3:exon7:c.G656A:p.R219Q;CTBP2:ENST00000309035.11_5:exon5:c.G2276A:p.R759Q,CTBP2:ENST00000334808.10_4:exon5:c.G860A:p.R287Q,CTBP2:ENST00000337195.9_3:exon7:c.G656A:p.R219Q,CTBP2:ENST00000411419.6_3:exon7:c.G656A:p.R219Q,CTBP2:ENST00000494626.6_3:exon7:c.G656A:p.R219Q,CTBP2:ENST00000531469.5_3:exon7:c.G656A:p.R219Q</t>
        </is>
      </c>
      <c r="Q165" t="n">
        <v>2.59e-05</v>
      </c>
      <c r="R165" t="n">
        <v>-1</v>
      </c>
      <c r="S165" t="n">
        <v>-1</v>
      </c>
      <c r="T165" t="n">
        <v>-1</v>
      </c>
      <c r="U165" t="n">
        <v>-1</v>
      </c>
      <c r="V165" t="inlineStr">
        <is>
          <t>5/12</t>
        </is>
      </c>
      <c r="W165" t="inlineStr">
        <is>
          <t>.</t>
        </is>
      </c>
      <c r="X165" t="inlineStr">
        <is>
          <t>.</t>
        </is>
      </c>
      <c r="Y165" t="inlineStr">
        <is>
          <t>.</t>
        </is>
      </c>
      <c r="Z165" t="inlineStr">
        <is>
          <t>5/7</t>
        </is>
      </c>
      <c r="AA165" t="inlineStr">
        <is>
          <t>Uncertain significance</t>
        </is>
      </c>
      <c r="AB165" t="inlineStr">
        <is>
          <t>.</t>
        </is>
      </c>
      <c r="AC165" t="inlineStr">
        <is>
          <t>.</t>
        </is>
      </c>
      <c r="AD165" t="inlineStr">
        <is>
          <t>82</t>
        </is>
      </c>
      <c r="AE165" t="inlineStr">
        <is>
          <t>0.655184958473335</t>
        </is>
      </c>
      <c r="AF165" t="inlineStr">
        <is>
          <t>C-terminal binding protein 2</t>
        </is>
      </c>
      <c r="AG165" t="inlineStr">
        <is>
          <t xml:space="preserve">FUNCTION: Corepressor targeting diverse transcription regulators. Functions in brown adipose tissue (BAT) differentiation (By similarity). {ECO:0000250}.; </t>
        </is>
      </c>
      <c r="AH165" t="inlineStr">
        <is>
          <t>.</t>
        </is>
      </c>
      <c r="AI165" t="inlineStr">
        <is>
          <t>.</t>
        </is>
      </c>
      <c r="AJ165" t="inlineStr">
        <is>
          <t>.</t>
        </is>
      </c>
      <c r="AK165" t="inlineStr">
        <is>
          <t>.</t>
        </is>
      </c>
      <c r="AL165" t="inlineStr">
        <is>
          <t>.</t>
        </is>
      </c>
    </row>
    <row r="166">
      <c r="A166" t="inlineStr"/>
      <c r="B166">
        <f>HYPERLINK("https://genome.ucsc.edu/cgi-bin/hgTracks?db=hg19&amp;position=chr10%3A126683190%2D126683190", "chr10:126683190")</f>
        <v/>
      </c>
      <c r="C166" t="inlineStr">
        <is>
          <t>chr10</t>
        </is>
      </c>
      <c r="D166" t="n">
        <v>126683190</v>
      </c>
      <c r="E166" t="n">
        <v>126683190</v>
      </c>
      <c r="F166" t="inlineStr">
        <is>
          <t>C</t>
        </is>
      </c>
      <c r="G166" t="inlineStr">
        <is>
          <t>A</t>
        </is>
      </c>
      <c r="H166" t="inlineStr">
        <is>
          <t>2572.06</t>
        </is>
      </c>
      <c r="I166" t="inlineStr">
        <is>
          <t>62</t>
        </is>
      </c>
      <c r="J166" t="inlineStr">
        <is>
          <t>0,62</t>
        </is>
      </c>
      <c r="K166" t="inlineStr">
        <is>
          <t>.</t>
        </is>
      </c>
      <c r="L166">
        <f>HYPERLINK("https://www.ncbi.nlm.nih.gov/snp/rs78681531", "rs78681531")</f>
        <v/>
      </c>
      <c r="M166">
        <f>HYPERLINK("https://www.genecards.org/Search/Keyword?queryString=%5Baliases%5D(%20CTBP2%20)&amp;keywords=CTBP2", "CTBP2")</f>
        <v/>
      </c>
      <c r="N166" t="inlineStr">
        <is>
          <t>exonic</t>
        </is>
      </c>
      <c r="O166" t="inlineStr">
        <is>
          <t>nonsynonymous SNV</t>
        </is>
      </c>
      <c r="P166" t="inlineStr">
        <is>
          <t>CTBP2:NM_001363508:exon5:c.G832T:p.D278Y,CTBP2:NM_022802:exon5:c.G2248T:p.D750Y,CTBP2:NM_001321013:exon6:c.G628T:p.D210Y,CTBP2:NM_001083914:exon7:c.G628T:p.D210Y,CTBP2:NM_001290214:exon7:c.G628T:p.D210Y,CTBP2:NM_001290215:exon7:c.G628T:p.D210Y,CTBP2:NM_001321012:exon7:c.G628T:p.D210Y,CTBP2:NM_001321014:exon7:c.G628T:p.D210Y,CTBP2:NM_001329:exon7:c.G628T:p.D210Y;CTBP2:uc001lid.4:exon5:c.G832T:p.D278Y,CTBP2:uc001lie.4:exon5:c.G2248T:p.D750Y,CTBP2:uc001lif.4:exon7:c.G628T:p.D210Y,CTBP2:uc001lih.4:exon7:c.G628T:p.D210Y,CTBP2:uc009yak.3:exon7:c.G628T:p.D210Y,CTBP2:uc009yal.3:exon7:c.G628T:p.D210Y;CTBP2:ENST00000309035.11_5:exon5:c.G2248T:p.D750Y,CTBP2:ENST00000334808.10_4:exon5:c.G832T:p.D278Y,CTBP2:ENST00000337195.9_3:exon7:c.G628T:p.D210Y,CTBP2:ENST00000411419.6_3:exon7:c.G628T:p.D210Y,CTBP2:ENST00000494626.6_3:exon7:c.G628T:p.D210Y,CTBP2:ENST00000531469.5_3:exon7:c.G628T:p.D210Y</t>
        </is>
      </c>
      <c r="Q166" t="n">
        <v>2.59e-05</v>
      </c>
      <c r="R166" t="n">
        <v>-1</v>
      </c>
      <c r="S166" t="n">
        <v>-1</v>
      </c>
      <c r="T166" t="n">
        <v>-1</v>
      </c>
      <c r="U166" t="n">
        <v>-1</v>
      </c>
      <c r="V166" t="inlineStr">
        <is>
          <t>11/12</t>
        </is>
      </c>
      <c r="W166" t="inlineStr">
        <is>
          <t>.</t>
        </is>
      </c>
      <c r="X166" t="inlineStr">
        <is>
          <t>.</t>
        </is>
      </c>
      <c r="Y166" t="inlineStr">
        <is>
          <t>.</t>
        </is>
      </c>
      <c r="Z166" t="inlineStr">
        <is>
          <t>6/7</t>
        </is>
      </c>
      <c r="AA166" t="inlineStr">
        <is>
          <t>Uncertain significance</t>
        </is>
      </c>
      <c r="AB166" t="inlineStr">
        <is>
          <t>.</t>
        </is>
      </c>
      <c r="AC166" t="inlineStr">
        <is>
          <t>HOMO</t>
        </is>
      </c>
      <c r="AD166" t="inlineStr">
        <is>
          <t>82</t>
        </is>
      </c>
      <c r="AE166" t="inlineStr">
        <is>
          <t>0.655184958473335</t>
        </is>
      </c>
      <c r="AF166" t="inlineStr">
        <is>
          <t>C-terminal binding protein 2</t>
        </is>
      </c>
      <c r="AG166" t="inlineStr">
        <is>
          <t xml:space="preserve">FUNCTION: Corepressor targeting diverse transcription regulators. Functions in brown adipose tissue (BAT) differentiation (By similarity). {ECO:0000250}.; </t>
        </is>
      </c>
      <c r="AH166" t="inlineStr">
        <is>
          <t>.</t>
        </is>
      </c>
      <c r="AI166" t="inlineStr">
        <is>
          <t>.</t>
        </is>
      </c>
      <c r="AJ166" t="inlineStr">
        <is>
          <t>.</t>
        </is>
      </c>
      <c r="AK166" t="inlineStr">
        <is>
          <t>.</t>
        </is>
      </c>
      <c r="AL166" t="inlineStr">
        <is>
          <t>.</t>
        </is>
      </c>
    </row>
    <row r="167">
      <c r="A167" t="inlineStr"/>
      <c r="B167">
        <f>HYPERLINK("https://genome.ucsc.edu/cgi-bin/hgTracks?db=hg19&amp;position=chr10%3A126683197%2D126683197", "chr10:126683197")</f>
        <v/>
      </c>
      <c r="C167" t="inlineStr">
        <is>
          <t>chr10</t>
        </is>
      </c>
      <c r="D167" t="n">
        <v>126683197</v>
      </c>
      <c r="E167" t="n">
        <v>126683197</v>
      </c>
      <c r="F167" t="inlineStr">
        <is>
          <t>T</t>
        </is>
      </c>
      <c r="G167" t="inlineStr">
        <is>
          <t>C</t>
        </is>
      </c>
      <c r="H167" t="inlineStr">
        <is>
          <t>1098.64</t>
        </is>
      </c>
      <c r="I167" t="inlineStr">
        <is>
          <t>52</t>
        </is>
      </c>
      <c r="J167" t="inlineStr">
        <is>
          <t>7,45</t>
        </is>
      </c>
      <c r="K167" t="inlineStr">
        <is>
          <t>.</t>
        </is>
      </c>
      <c r="L167">
        <f>HYPERLINK("https://www.ncbi.nlm.nih.gov/snp/rs74341800", "rs74341800")</f>
        <v/>
      </c>
      <c r="M167">
        <f>HYPERLINK("https://www.genecards.org/Search/Keyword?queryString=%5Baliases%5D(%20CTBP2%20)&amp;keywords=CTBP2", "CTBP2")</f>
        <v/>
      </c>
      <c r="N167" t="inlineStr">
        <is>
          <t>exonic</t>
        </is>
      </c>
      <c r="O167" t="inlineStr">
        <is>
          <t>nonsynonymous SNV</t>
        </is>
      </c>
      <c r="P167" t="inlineStr">
        <is>
          <t>CTBP2:NM_001363508:exon5:c.A825G:p.I275M,CTBP2:NM_022802:exon5:c.A2241G:p.I747M,CTBP2:NM_001321013:exon6:c.A621G:p.I207M,CTBP2:NM_001083914:exon7:c.A621G:p.I207M,CTBP2:NM_001290214:exon7:c.A621G:p.I207M,CTBP2:NM_001290215:exon7:c.A621G:p.I207M,CTBP2:NM_001321012:exon7:c.A621G:p.I207M,CTBP2:NM_001321014:exon7:c.A621G:p.I207M,CTBP2:NM_001329:exon7:c.A621G:p.I207M;CTBP2:uc001lid.4:exon5:c.A825G:p.I275M,CTBP2:uc001lie.4:exon5:c.A2241G:p.I747M,CTBP2:uc001lif.4:exon7:c.A621G:p.I207M,CTBP2:uc001lih.4:exon7:c.A621G:p.I207M,CTBP2:uc009yak.3:exon7:c.A621G:p.I207M,CTBP2:uc009yal.3:exon7:c.A621G:p.I207M;CTBP2:ENST00000309035.11_5:exon5:c.A2241G:p.I747M,CTBP2:ENST00000334808.10_4:exon5:c.A825G:p.I275M,CTBP2:ENST00000337195.9_3:exon7:c.A621G:p.I207M,CTBP2:ENST00000411419.6_3:exon7:c.A621G:p.I207M,CTBP2:ENST00000494626.6_3:exon7:c.A621G:p.I207M,CTBP2:ENST00000531469.5_3:exon7:c.A621G:p.I207M</t>
        </is>
      </c>
      <c r="Q167" t="n">
        <v>6.5e-06</v>
      </c>
      <c r="R167" t="n">
        <v>-1</v>
      </c>
      <c r="S167" t="n">
        <v>-1</v>
      </c>
      <c r="T167" t="n">
        <v>-1</v>
      </c>
      <c r="U167" t="n">
        <v>-1</v>
      </c>
      <c r="V167" t="inlineStr">
        <is>
          <t>5/12</t>
        </is>
      </c>
      <c r="W167" t="inlineStr">
        <is>
          <t>.</t>
        </is>
      </c>
      <c r="X167" t="inlineStr">
        <is>
          <t>.</t>
        </is>
      </c>
      <c r="Y167" t="inlineStr">
        <is>
          <t>.</t>
        </is>
      </c>
      <c r="Z167" t="inlineStr">
        <is>
          <t>3/7</t>
        </is>
      </c>
      <c r="AA167" t="inlineStr">
        <is>
          <t>Uncertain significance</t>
        </is>
      </c>
      <c r="AB167" t="inlineStr">
        <is>
          <t>.</t>
        </is>
      </c>
      <c r="AC167" t="inlineStr">
        <is>
          <t>0/1</t>
        </is>
      </c>
      <c r="AD167" t="inlineStr">
        <is>
          <t>82</t>
        </is>
      </c>
      <c r="AE167" t="inlineStr">
        <is>
          <t>0.655184958473335</t>
        </is>
      </c>
      <c r="AF167" t="inlineStr">
        <is>
          <t>C-terminal binding protein 2</t>
        </is>
      </c>
      <c r="AG167" t="inlineStr">
        <is>
          <t xml:space="preserve">FUNCTION: Corepressor targeting diverse transcription regulators. Functions in brown adipose tissue (BAT) differentiation (By similarity). {ECO:0000250}.; </t>
        </is>
      </c>
      <c r="AH167" t="inlineStr">
        <is>
          <t>.</t>
        </is>
      </c>
      <c r="AI167" t="inlineStr">
        <is>
          <t>.</t>
        </is>
      </c>
      <c r="AJ167" t="inlineStr">
        <is>
          <t>.</t>
        </is>
      </c>
      <c r="AK167" t="inlineStr">
        <is>
          <t>.</t>
        </is>
      </c>
      <c r="AL167" t="inlineStr">
        <is>
          <t>.</t>
        </is>
      </c>
    </row>
    <row r="168">
      <c r="A168" t="inlineStr"/>
      <c r="B168">
        <f>HYPERLINK("https://genome.ucsc.edu/cgi-bin/hgTracks?db=hg19&amp;position=chr10%3A126686557%2D126686557", "chr10:126686557")</f>
        <v/>
      </c>
      <c r="C168" t="inlineStr">
        <is>
          <t>chr10</t>
        </is>
      </c>
      <c r="D168" t="n">
        <v>126686557</v>
      </c>
      <c r="E168" t="n">
        <v>126686557</v>
      </c>
      <c r="F168" t="inlineStr">
        <is>
          <t>C</t>
        </is>
      </c>
      <c r="G168" t="inlineStr">
        <is>
          <t>T</t>
        </is>
      </c>
      <c r="H168" t="inlineStr">
        <is>
          <t>790.64</t>
        </is>
      </c>
      <c r="I168" t="inlineStr">
        <is>
          <t>46</t>
        </is>
      </c>
      <c r="J168" t="inlineStr">
        <is>
          <t>24,22</t>
        </is>
      </c>
      <c r="K168" t="inlineStr">
        <is>
          <t>.</t>
        </is>
      </c>
      <c r="L168">
        <f>HYPERLINK("https://www.ncbi.nlm.nih.gov/snp/rs1034168031", "rs1034168031")</f>
        <v/>
      </c>
      <c r="M168">
        <f>HYPERLINK("https://www.genecards.org/Search/Keyword?queryString=%5Baliases%5D(%20CTBP2%20)&amp;keywords=CTBP2", "CTBP2")</f>
        <v/>
      </c>
      <c r="N168" t="inlineStr">
        <is>
          <t>exonic</t>
        </is>
      </c>
      <c r="O168" t="inlineStr">
        <is>
          <t>nonsynonymous SNV</t>
        </is>
      </c>
      <c r="P168" t="inlineStr">
        <is>
          <t>CTBP2:NM_001363508:exon4:c.G745A:p.E249K,CTBP2:NM_022802:exon4:c.G2161A:p.E721K,CTBP2:NM_001321013:exon5:c.G541A:p.E181K,CTBP2:NM_001083914:exon6:c.G541A:p.E181K,CTBP2:NM_001290214:exon6:c.G541A:p.E181K,CTBP2:NM_001290215:exon6:c.G541A:p.E181K,CTBP2:NM_001321012:exon6:c.G541A:p.E181K,CTBP2:NM_001321014:exon6:c.G541A:p.E181K,CTBP2:NM_001329:exon6:c.G541A:p.E181K;CTBP2:uc001lid.4:exon4:c.G745A:p.E249K,CTBP2:uc001lie.4:exon4:c.G2161A:p.E721K,CTBP2:uc001lif.4:exon6:c.G541A:p.E181K,CTBP2:uc001lih.4:exon6:c.G541A:p.E181K,CTBP2:uc009yak.3:exon6:c.G541A:p.E181K,CTBP2:uc009yal.3:exon6:c.G541A:p.E181K;CTBP2:ENST00000309035.11_5:exon4:c.G2161A:p.E721K,CTBP2:ENST00000334808.10_4:exon4:c.G745A:p.E249K,CTBP2:ENST00000337195.9_3:exon6:c.G541A:p.E181K,CTBP2:ENST00000411419.6_3:exon6:c.G541A:p.E181K,CTBP2:ENST00000494626.6_3:exon6:c.G541A:p.E181K,CTBP2:ENST00000531469.5_3:exon6:c.G541A:p.E181K</t>
        </is>
      </c>
      <c r="Q168" t="n">
        <v>-1</v>
      </c>
      <c r="R168" t="n">
        <v>-1</v>
      </c>
      <c r="S168" t="n">
        <v>-1</v>
      </c>
      <c r="T168" t="n">
        <v>-1</v>
      </c>
      <c r="U168" t="n">
        <v>-1</v>
      </c>
      <c r="V168" t="inlineStr">
        <is>
          <t>5/12</t>
        </is>
      </c>
      <c r="W168" t="inlineStr">
        <is>
          <t>.</t>
        </is>
      </c>
      <c r="X168" t="inlineStr">
        <is>
          <t>.</t>
        </is>
      </c>
      <c r="Y168" t="inlineStr">
        <is>
          <t>.</t>
        </is>
      </c>
      <c r="Z168" t="inlineStr">
        <is>
          <t>4/7</t>
        </is>
      </c>
      <c r="AA168" t="inlineStr">
        <is>
          <t>Uncertain significance</t>
        </is>
      </c>
      <c r="AB168" t="inlineStr">
        <is>
          <t>.</t>
        </is>
      </c>
      <c r="AC168" t="inlineStr">
        <is>
          <t>0/1</t>
        </is>
      </c>
      <c r="AD168" t="inlineStr">
        <is>
          <t>82</t>
        </is>
      </c>
      <c r="AE168" t="inlineStr">
        <is>
          <t>0.655184958473335</t>
        </is>
      </c>
      <c r="AF168" t="inlineStr">
        <is>
          <t>C-terminal binding protein 2</t>
        </is>
      </c>
      <c r="AG168" t="inlineStr">
        <is>
          <t xml:space="preserve">FUNCTION: Corepressor targeting diverse transcription regulators. Functions in brown adipose tissue (BAT) differentiation (By similarity). {ECO:0000250}.; </t>
        </is>
      </c>
      <c r="AH168" t="inlineStr">
        <is>
          <t>.</t>
        </is>
      </c>
      <c r="AI168" t="inlineStr">
        <is>
          <t>.</t>
        </is>
      </c>
      <c r="AJ168" t="inlineStr">
        <is>
          <t>.</t>
        </is>
      </c>
      <c r="AK168" t="inlineStr">
        <is>
          <t>.</t>
        </is>
      </c>
      <c r="AL168" t="inlineStr">
        <is>
          <t>.</t>
        </is>
      </c>
    </row>
    <row r="169">
      <c r="A169" t="inlineStr"/>
      <c r="B169">
        <f>HYPERLINK("https://genome.ucsc.edu/cgi-bin/hgTracks?db=hg19&amp;position=chr10%3A126686574%2D126686574", "chr10:126686574")</f>
        <v/>
      </c>
      <c r="C169" t="inlineStr">
        <is>
          <t>chr10</t>
        </is>
      </c>
      <c r="D169" t="n">
        <v>126686574</v>
      </c>
      <c r="E169" t="n">
        <v>126686574</v>
      </c>
      <c r="F169" t="inlineStr">
        <is>
          <t>G</t>
        </is>
      </c>
      <c r="G169" t="inlineStr">
        <is>
          <t>A</t>
        </is>
      </c>
      <c r="H169" t="inlineStr">
        <is>
          <t>2047.10</t>
        </is>
      </c>
      <c r="I169" t="inlineStr">
        <is>
          <t>53</t>
        </is>
      </c>
      <c r="J169" t="inlineStr">
        <is>
          <t>1,29,23</t>
        </is>
      </c>
      <c r="K169" t="inlineStr">
        <is>
          <t>.</t>
        </is>
      </c>
      <c r="L169">
        <f>HYPERLINK("https://www.ncbi.nlm.nih.gov/snp/rs76390727", "rs76390727")</f>
        <v/>
      </c>
      <c r="M169">
        <f>HYPERLINK("https://www.genecards.org/Search/Keyword?queryString=%5Baliases%5D(%20CTBP2%20)&amp;keywords=CTBP2", "CTBP2")</f>
        <v/>
      </c>
      <c r="N169" t="inlineStr">
        <is>
          <t>exonic</t>
        </is>
      </c>
      <c r="O169" t="inlineStr">
        <is>
          <t>nonsynonymous SNV</t>
        </is>
      </c>
      <c r="P169" t="inlineStr">
        <is>
          <t>CTBP2:NM_001363508:exon4:c.C728T:p.A243V,CTBP2:NM_022802:exon4:c.C2144T:p.A715V,CTBP2:NM_001321013:exon5:c.C524T:p.A175V,CTBP2:NM_001083914:exon6:c.C524T:p.A175V,CTBP2:NM_001290214:exon6:c.C524T:p.A175V,CTBP2:NM_001290215:exon6:c.C524T:p.A175V,CTBP2:NM_001321012:exon6:c.C524T:p.A175V,CTBP2:NM_001321014:exon6:c.C524T:p.A175V,CTBP2:NM_001329:exon6:c.C524T:p.A175V;CTBP2:uc001lid.4:exon4:c.C728T:p.A243V,CTBP2:uc001lie.4:exon4:c.C2144T:p.A715V,CTBP2:uc001lif.4:exon6:c.C524T:p.A175V,CTBP2:uc001lih.4:exon6:c.C524T:p.A175V,CTBP2:uc009yak.3:exon6:c.C524T:p.A175V,CTBP2:uc009yal.3:exon6:c.C524T:p.A175V;CTBP2:ENST00000309035.11_5:exon4:c.C2144T:p.A715V,CTBP2:ENST00000334808.10_4:exon4:c.C728T:p.A243V,CTBP2:ENST00000337195.9_3:exon6:c.C524T:p.A175V,CTBP2:ENST00000411419.6_3:exon6:c.C524T:p.A175V,CTBP2:ENST00000494626.6_3:exon6:c.C524T:p.A175V,CTBP2:ENST00000531469.5_3:exon6:c.C524T:p.A175V</t>
        </is>
      </c>
      <c r="Q169" t="n">
        <v>2.59e-05</v>
      </c>
      <c r="R169" t="n">
        <v>-1</v>
      </c>
      <c r="S169" t="n">
        <v>-1</v>
      </c>
      <c r="T169" t="n">
        <v>-1</v>
      </c>
      <c r="U169" t="n">
        <v>-1</v>
      </c>
      <c r="V169" t="inlineStr">
        <is>
          <t>6/12</t>
        </is>
      </c>
      <c r="W169" t="inlineStr">
        <is>
          <t>.</t>
        </is>
      </c>
      <c r="X169" t="inlineStr">
        <is>
          <t>.</t>
        </is>
      </c>
      <c r="Y169" t="inlineStr">
        <is>
          <t>.</t>
        </is>
      </c>
      <c r="Z169" t="inlineStr">
        <is>
          <t>4/7</t>
        </is>
      </c>
      <c r="AA169" t="inlineStr">
        <is>
          <t>Uncertain significance</t>
        </is>
      </c>
      <c r="AB169" t="inlineStr">
        <is>
          <t>.</t>
        </is>
      </c>
      <c r="AC169" t="inlineStr">
        <is>
          <t>1/2</t>
        </is>
      </c>
      <c r="AD169" t="inlineStr">
        <is>
          <t>82</t>
        </is>
      </c>
      <c r="AE169" t="inlineStr">
        <is>
          <t>0.655184958473335</t>
        </is>
      </c>
      <c r="AF169" t="inlineStr">
        <is>
          <t>C-terminal binding protein 2</t>
        </is>
      </c>
      <c r="AG169" t="inlineStr">
        <is>
          <t xml:space="preserve">FUNCTION: Corepressor targeting diverse transcription regulators. Functions in brown adipose tissue (BAT) differentiation (By similarity). {ECO:0000250}.; </t>
        </is>
      </c>
      <c r="AH169" t="inlineStr">
        <is>
          <t>.</t>
        </is>
      </c>
      <c r="AI169" t="inlineStr">
        <is>
          <t>GenotypeConflict</t>
        </is>
      </c>
      <c r="AJ169" t="inlineStr">
        <is>
          <t>.</t>
        </is>
      </c>
      <c r="AK169" t="inlineStr">
        <is>
          <t>.</t>
        </is>
      </c>
      <c r="AL169" t="inlineStr">
        <is>
          <t>.</t>
        </is>
      </c>
    </row>
    <row r="170">
      <c r="A170" t="inlineStr"/>
      <c r="B170">
        <f>HYPERLINK("https://genome.ucsc.edu/cgi-bin/hgTracks?db=hg19&amp;position=chr10%3A126686574%2D126686574", "chr10:126686574")</f>
        <v/>
      </c>
      <c r="C170" t="inlineStr">
        <is>
          <t>chr10</t>
        </is>
      </c>
      <c r="D170" t="n">
        <v>126686574</v>
      </c>
      <c r="E170" t="n">
        <v>126686574</v>
      </c>
      <c r="F170" t="inlineStr">
        <is>
          <t>G</t>
        </is>
      </c>
      <c r="G170" t="inlineStr">
        <is>
          <t>T</t>
        </is>
      </c>
      <c r="H170" t="inlineStr">
        <is>
          <t>2047.10</t>
        </is>
      </c>
      <c r="I170" t="inlineStr">
        <is>
          <t>53</t>
        </is>
      </c>
      <c r="J170" t="inlineStr">
        <is>
          <t>1,29,23</t>
        </is>
      </c>
      <c r="K170" t="inlineStr">
        <is>
          <t>.</t>
        </is>
      </c>
      <c r="L170" t="inlineStr">
        <is>
          <t>.</t>
        </is>
      </c>
      <c r="M170">
        <f>HYPERLINK("https://www.genecards.org/Search/Keyword?queryString=%5Baliases%5D(%20CTBP2%20)&amp;keywords=CTBP2", "CTBP2")</f>
        <v/>
      </c>
      <c r="N170" t="inlineStr">
        <is>
          <t>exonic</t>
        </is>
      </c>
      <c r="O170" t="inlineStr">
        <is>
          <t>nonsynonymous SNV</t>
        </is>
      </c>
      <c r="P170" t="inlineStr">
        <is>
          <t>CTBP2:NM_001363508:exon4:c.C728A:p.A243E,CTBP2:NM_022802:exon4:c.C2144A:p.A715E,CTBP2:NM_001321013:exon5:c.C524A:p.A175E,CTBP2:NM_001083914:exon6:c.C524A:p.A175E,CTBP2:NM_001290214:exon6:c.C524A:p.A175E,CTBP2:NM_001290215:exon6:c.C524A:p.A175E,CTBP2:NM_001321012:exon6:c.C524A:p.A175E,CTBP2:NM_001321014:exon6:c.C524A:p.A175E,CTBP2:NM_001329:exon6:c.C524A:p.A175E;CTBP2:uc001lid.4:exon4:c.C728A:p.A243E,CTBP2:uc001lie.4:exon4:c.C2144A:p.A715E,CTBP2:uc001lif.4:exon6:c.C524A:p.A175E,CTBP2:uc001lih.4:exon6:c.C524A:p.A175E,CTBP2:uc009yak.3:exon6:c.C524A:p.A175E,CTBP2:uc009yal.3:exon6:c.C524A:p.A175E;CTBP2:ENST00000309035.11_5:exon4:c.C2144A:p.A715E,CTBP2:ENST00000334808.10_4:exon4:c.C728A:p.A243E,CTBP2:ENST00000337195.9_3:exon6:c.C524A:p.A175E,CTBP2:ENST00000411419.6_3:exon6:c.C524A:p.A175E,CTBP2:ENST00000494626.6_3:exon6:c.C524A:p.A175E,CTBP2:ENST00000531469.5_3:exon6:c.C524A:p.A175E</t>
        </is>
      </c>
      <c r="Q170" t="n">
        <v>-1</v>
      </c>
      <c r="R170" t="n">
        <v>-1</v>
      </c>
      <c r="S170" t="n">
        <v>-1</v>
      </c>
      <c r="T170" t="n">
        <v>-1</v>
      </c>
      <c r="U170" t="n">
        <v>-1</v>
      </c>
      <c r="V170" t="inlineStr">
        <is>
          <t>8/12</t>
        </is>
      </c>
      <c r="W170" t="inlineStr">
        <is>
          <t>.</t>
        </is>
      </c>
      <c r="X170" t="inlineStr">
        <is>
          <t>.</t>
        </is>
      </c>
      <c r="Y170" t="inlineStr">
        <is>
          <t>.</t>
        </is>
      </c>
      <c r="Z170" t="inlineStr">
        <is>
          <t>4/7</t>
        </is>
      </c>
      <c r="AA170" t="inlineStr">
        <is>
          <t>Uncertain significance</t>
        </is>
      </c>
      <c r="AB170" t="inlineStr">
        <is>
          <t>.</t>
        </is>
      </c>
      <c r="AC170" t="inlineStr">
        <is>
          <t>1/2</t>
        </is>
      </c>
      <c r="AD170" t="inlineStr">
        <is>
          <t>82</t>
        </is>
      </c>
      <c r="AE170" t="inlineStr">
        <is>
          <t>0.655184958473335</t>
        </is>
      </c>
      <c r="AF170" t="inlineStr">
        <is>
          <t>C-terminal binding protein 2</t>
        </is>
      </c>
      <c r="AG170" t="inlineStr">
        <is>
          <t xml:space="preserve">FUNCTION: Corepressor targeting diverse transcription regulators. Functions in brown adipose tissue (BAT) differentiation (By similarity). {ECO:0000250}.; </t>
        </is>
      </c>
      <c r="AH170" t="inlineStr">
        <is>
          <t>.</t>
        </is>
      </c>
      <c r="AI170" t="inlineStr">
        <is>
          <t>GenotypeConflict</t>
        </is>
      </c>
      <c r="AJ170" t="inlineStr">
        <is>
          <t>.</t>
        </is>
      </c>
      <c r="AK170" t="inlineStr">
        <is>
          <t>.</t>
        </is>
      </c>
      <c r="AL170" t="inlineStr">
        <is>
          <t>.</t>
        </is>
      </c>
    </row>
    <row r="171">
      <c r="A171" t="inlineStr"/>
      <c r="B171">
        <f>HYPERLINK("https://genome.ucsc.edu/cgi-bin/hgTracks?db=hg19&amp;position=chr10%3A126686575%2D126686575", "chr10:126686575")</f>
        <v/>
      </c>
      <c r="C171" t="inlineStr">
        <is>
          <t>chr10</t>
        </is>
      </c>
      <c r="D171" t="n">
        <v>126686575</v>
      </c>
      <c r="E171" t="n">
        <v>126686575</v>
      </c>
      <c r="F171" t="inlineStr">
        <is>
          <t>C</t>
        </is>
      </c>
      <c r="G171" t="inlineStr">
        <is>
          <t>T</t>
        </is>
      </c>
      <c r="H171" t="inlineStr">
        <is>
          <t>864.64</t>
        </is>
      </c>
      <c r="I171" t="inlineStr">
        <is>
          <t>54</t>
        </is>
      </c>
      <c r="J171" t="inlineStr">
        <is>
          <t>31,23</t>
        </is>
      </c>
      <c r="K171" t="inlineStr">
        <is>
          <t>.</t>
        </is>
      </c>
      <c r="L171" t="inlineStr">
        <is>
          <t>.</t>
        </is>
      </c>
      <c r="M171">
        <f>HYPERLINK("https://www.genecards.org/Search/Keyword?queryString=%5Baliases%5D(%20CTBP2%20)&amp;keywords=CTBP2", "CTBP2")</f>
        <v/>
      </c>
      <c r="N171" t="inlineStr">
        <is>
          <t>exonic</t>
        </is>
      </c>
      <c r="O171" t="inlineStr">
        <is>
          <t>nonsynonymous SNV</t>
        </is>
      </c>
      <c r="P171" t="inlineStr">
        <is>
          <t>CTBP2:NM_001363508:exon4:c.G727A:p.A243T,CTBP2:NM_022802:exon4:c.G2143A:p.A715T,CTBP2:NM_001321013:exon5:c.G523A:p.A175T,CTBP2:NM_001083914:exon6:c.G523A:p.A175T,CTBP2:NM_001290214:exon6:c.G523A:p.A175T,CTBP2:NM_001290215:exon6:c.G523A:p.A175T,CTBP2:NM_001321012:exon6:c.G523A:p.A175T,CTBP2:NM_001321014:exon6:c.G523A:p.A175T,CTBP2:NM_001329:exon6:c.G523A:p.A175T;CTBP2:uc001lid.4:exon4:c.G727A:p.A243T,CTBP2:uc001lie.4:exon4:c.G2143A:p.A715T,CTBP2:uc001lif.4:exon6:c.G523A:p.A175T,CTBP2:uc001lih.4:exon6:c.G523A:p.A175T,CTBP2:uc009yak.3:exon6:c.G523A:p.A175T,CTBP2:uc009yal.3:exon6:c.G523A:p.A175T;CTBP2:ENST00000309035.11_5:exon4:c.G2143A:p.A715T,CTBP2:ENST00000334808.10_4:exon4:c.G727A:p.A243T,CTBP2:ENST00000337195.9_3:exon6:c.G523A:p.A175T,CTBP2:ENST00000411419.6_3:exon6:c.G523A:p.A175T,CTBP2:ENST00000494626.6_3:exon6:c.G523A:p.A175T,CTBP2:ENST00000531469.5_3:exon6:c.G523A:p.A175T</t>
        </is>
      </c>
      <c r="Q171" t="n">
        <v>-1</v>
      </c>
      <c r="R171" t="n">
        <v>-1</v>
      </c>
      <c r="S171" t="n">
        <v>-1</v>
      </c>
      <c r="T171" t="n">
        <v>-1</v>
      </c>
      <c r="U171" t="n">
        <v>-1</v>
      </c>
      <c r="V171" t="inlineStr">
        <is>
          <t>6/12</t>
        </is>
      </c>
      <c r="W171" t="inlineStr">
        <is>
          <t>.</t>
        </is>
      </c>
      <c r="X171" t="inlineStr">
        <is>
          <t>.</t>
        </is>
      </c>
      <c r="Y171" t="inlineStr">
        <is>
          <t>.</t>
        </is>
      </c>
      <c r="Z171" t="inlineStr">
        <is>
          <t>4/7</t>
        </is>
      </c>
      <c r="AA171" t="inlineStr">
        <is>
          <t>Uncertain significance</t>
        </is>
      </c>
      <c r="AB171" t="inlineStr">
        <is>
          <t>.</t>
        </is>
      </c>
      <c r="AC171" t="inlineStr">
        <is>
          <t>.</t>
        </is>
      </c>
      <c r="AD171" t="inlineStr">
        <is>
          <t>82</t>
        </is>
      </c>
      <c r="AE171" t="inlineStr">
        <is>
          <t>0.655184958473335</t>
        </is>
      </c>
      <c r="AF171" t="inlineStr">
        <is>
          <t>C-terminal binding protein 2</t>
        </is>
      </c>
      <c r="AG171" t="inlineStr">
        <is>
          <t xml:space="preserve">FUNCTION: Corepressor targeting diverse transcription regulators. Functions in brown adipose tissue (BAT) differentiation (By similarity). {ECO:0000250}.; </t>
        </is>
      </c>
      <c r="AH171" t="inlineStr">
        <is>
          <t>.</t>
        </is>
      </c>
      <c r="AI171" t="inlineStr">
        <is>
          <t>.</t>
        </is>
      </c>
      <c r="AJ171" t="inlineStr">
        <is>
          <t>.</t>
        </is>
      </c>
      <c r="AK171" t="inlineStr">
        <is>
          <t>.</t>
        </is>
      </c>
      <c r="AL171" t="inlineStr">
        <is>
          <t>.</t>
        </is>
      </c>
    </row>
    <row r="172">
      <c r="A172" t="inlineStr"/>
      <c r="B172">
        <f>HYPERLINK("https://genome.ucsc.edu/cgi-bin/hgTracks?db=hg19&amp;position=chr10%3A126686577%2D126686577", "chr10:126686577")</f>
        <v/>
      </c>
      <c r="C172" t="inlineStr">
        <is>
          <t>chr10</t>
        </is>
      </c>
      <c r="D172" t="n">
        <v>126686577</v>
      </c>
      <c r="E172" t="n">
        <v>126686577</v>
      </c>
      <c r="F172" t="inlineStr">
        <is>
          <t>C</t>
        </is>
      </c>
      <c r="G172" t="inlineStr">
        <is>
          <t>A</t>
        </is>
      </c>
      <c r="H172" t="inlineStr">
        <is>
          <t>911.64</t>
        </is>
      </c>
      <c r="I172" t="inlineStr">
        <is>
          <t>59</t>
        </is>
      </c>
      <c r="J172" t="inlineStr">
        <is>
          <t>34,25</t>
        </is>
      </c>
      <c r="K172" t="inlineStr">
        <is>
          <t>.</t>
        </is>
      </c>
      <c r="L172" t="inlineStr">
        <is>
          <t>.</t>
        </is>
      </c>
      <c r="M172">
        <f>HYPERLINK("https://www.genecards.org/Search/Keyword?queryString=%5Baliases%5D(%20CTBP2%20)&amp;keywords=CTBP2", "CTBP2")</f>
        <v/>
      </c>
      <c r="N172" t="inlineStr">
        <is>
          <t>exonic</t>
        </is>
      </c>
      <c r="O172" t="inlineStr">
        <is>
          <t>nonsynonymous SNV</t>
        </is>
      </c>
      <c r="P172" t="inlineStr">
        <is>
          <t>CTBP2:NM_001363508:exon4:c.G725T:p.G242V,CTBP2:NM_022802:exon4:c.G2141T:p.G714V,CTBP2:NM_001321013:exon5:c.G521T:p.G174V,CTBP2:NM_001083914:exon6:c.G521T:p.G174V,CTBP2:NM_001290214:exon6:c.G521T:p.G174V,CTBP2:NM_001290215:exon6:c.G521T:p.G174V,CTBP2:NM_001321012:exon6:c.G521T:p.G174V,CTBP2:NM_001321014:exon6:c.G521T:p.G174V,CTBP2:NM_001329:exon6:c.G521T:p.G174V;CTBP2:uc001lid.4:exon4:c.G725T:p.G242V,CTBP2:uc001lie.4:exon4:c.G2141T:p.G714V,CTBP2:uc001lif.4:exon6:c.G521T:p.G174V,CTBP2:uc001lih.4:exon6:c.G521T:p.G174V,CTBP2:uc009yak.3:exon6:c.G521T:p.G174V,CTBP2:uc009yal.3:exon6:c.G521T:p.G174V;CTBP2:ENST00000309035.11_5:exon4:c.G2141T:p.G714V,CTBP2:ENST00000334808.10_4:exon4:c.G725T:p.G242V,CTBP2:ENST00000337195.9_3:exon6:c.G521T:p.G174V,CTBP2:ENST00000411419.6_3:exon6:c.G521T:p.G174V,CTBP2:ENST00000494626.6_3:exon6:c.G521T:p.G174V,CTBP2:ENST00000531469.5_3:exon6:c.G521T:p.G174V</t>
        </is>
      </c>
      <c r="Q172" t="n">
        <v>-1</v>
      </c>
      <c r="R172" t="n">
        <v>-1</v>
      </c>
      <c r="S172" t="n">
        <v>-1</v>
      </c>
      <c r="T172" t="n">
        <v>-1</v>
      </c>
      <c r="U172" t="n">
        <v>-1</v>
      </c>
      <c r="V172" t="inlineStr">
        <is>
          <t>8/12</t>
        </is>
      </c>
      <c r="W172" t="inlineStr">
        <is>
          <t>.</t>
        </is>
      </c>
      <c r="X172" t="inlineStr">
        <is>
          <t>.</t>
        </is>
      </c>
      <c r="Y172" t="inlineStr">
        <is>
          <t>.</t>
        </is>
      </c>
      <c r="Z172" t="inlineStr">
        <is>
          <t>4/7</t>
        </is>
      </c>
      <c r="AA172" t="inlineStr">
        <is>
          <t>Uncertain significance</t>
        </is>
      </c>
      <c r="AB172" t="inlineStr">
        <is>
          <t>.</t>
        </is>
      </c>
      <c r="AC172" t="inlineStr">
        <is>
          <t>.</t>
        </is>
      </c>
      <c r="AD172" t="inlineStr">
        <is>
          <t>82</t>
        </is>
      </c>
      <c r="AE172" t="inlineStr">
        <is>
          <t>0.655184958473335</t>
        </is>
      </c>
      <c r="AF172" t="inlineStr">
        <is>
          <t>C-terminal binding protein 2</t>
        </is>
      </c>
      <c r="AG172" t="inlineStr">
        <is>
          <t xml:space="preserve">FUNCTION: Corepressor targeting diverse transcription regulators. Functions in brown adipose tissue (BAT) differentiation (By similarity). {ECO:0000250}.; </t>
        </is>
      </c>
      <c r="AH172" t="inlineStr">
        <is>
          <t>.</t>
        </is>
      </c>
      <c r="AI172" t="inlineStr">
        <is>
          <t>.</t>
        </is>
      </c>
      <c r="AJ172" t="inlineStr">
        <is>
          <t>.</t>
        </is>
      </c>
      <c r="AK172" t="inlineStr">
        <is>
          <t>.</t>
        </is>
      </c>
      <c r="AL172" t="inlineStr">
        <is>
          <t>.</t>
        </is>
      </c>
    </row>
    <row r="173">
      <c r="A173" t="inlineStr"/>
      <c r="B173">
        <f>HYPERLINK("https://genome.ucsc.edu/cgi-bin/hgTracks?db=hg19&amp;position=chr10%3A126686593%2D126686593", "chr10:126686593")</f>
        <v/>
      </c>
      <c r="C173" t="inlineStr">
        <is>
          <t>chr10</t>
        </is>
      </c>
      <c r="D173" t="n">
        <v>126686593</v>
      </c>
      <c r="E173" t="n">
        <v>126686593</v>
      </c>
      <c r="F173" t="inlineStr">
        <is>
          <t>G</t>
        </is>
      </c>
      <c r="G173" t="inlineStr">
        <is>
          <t>A</t>
        </is>
      </c>
      <c r="H173" t="inlineStr">
        <is>
          <t>3774.10</t>
        </is>
      </c>
      <c r="I173" t="inlineStr">
        <is>
          <t>87</t>
        </is>
      </c>
      <c r="J173" t="inlineStr">
        <is>
          <t>1,47,39</t>
        </is>
      </c>
      <c r="K173" t="inlineStr">
        <is>
          <t>.</t>
        </is>
      </c>
      <c r="L173">
        <f>HYPERLINK("https://www.ncbi.nlm.nih.gov/snp/rs78860838", "rs78860838")</f>
        <v/>
      </c>
      <c r="M173">
        <f>HYPERLINK("https://www.genecards.org/Search/Keyword?queryString=%5Baliases%5D(%20CTBP2%20)&amp;keywords=CTBP2", "CTBP2")</f>
        <v/>
      </c>
      <c r="N173" t="inlineStr">
        <is>
          <t>exonic</t>
        </is>
      </c>
      <c r="O173" t="inlineStr">
        <is>
          <t>nonsynonymous SNV</t>
        </is>
      </c>
      <c r="P173" t="inlineStr">
        <is>
          <t>CTBP2:NM_001363508:exon4:c.C709T:p.R237C,CTBP2:NM_022802:exon4:c.C2125T:p.R709C,CTBP2:NM_001321013:exon5:c.C505T:p.R169C,CTBP2:NM_001083914:exon6:c.C505T:p.R169C,CTBP2:NM_001290214:exon6:c.C505T:p.R169C,CTBP2:NM_001290215:exon6:c.C505T:p.R169C,CTBP2:NM_001321012:exon6:c.C505T:p.R169C,CTBP2:NM_001321014:exon6:c.C505T:p.R169C,CTBP2:NM_001329:exon6:c.C505T:p.R169C;CTBP2:uc001lid.4:exon4:c.C709T:p.R237C,CTBP2:uc001lie.4:exon4:c.C2125T:p.R709C,CTBP2:uc001lif.4:exon6:c.C505T:p.R169C,CTBP2:uc001lih.4:exon6:c.C505T:p.R169C,CTBP2:uc009yak.3:exon6:c.C505T:p.R169C,CTBP2:uc009yal.3:exon6:c.C505T:p.R169C;CTBP2:ENST00000309035.11_5:exon4:c.C2125T:p.R709C,CTBP2:ENST00000334808.10_4:exon4:c.C709T:p.R237C,CTBP2:ENST00000337195.9_3:exon6:c.C505T:p.R169C,CTBP2:ENST00000411419.6_3:exon6:c.C505T:p.R169C,CTBP2:ENST00000494626.6_3:exon6:c.C505T:p.R169C,CTBP2:ENST00000531469.5_3:exon6:c.C505T:p.R169C</t>
        </is>
      </c>
      <c r="Q173" t="n">
        <v>2.59e-05</v>
      </c>
      <c r="R173" t="n">
        <v>-1</v>
      </c>
      <c r="S173" t="n">
        <v>-1</v>
      </c>
      <c r="T173" t="n">
        <v>-1</v>
      </c>
      <c r="U173" t="n">
        <v>-1</v>
      </c>
      <c r="V173" t="inlineStr">
        <is>
          <t>7/11</t>
        </is>
      </c>
      <c r="W173" t="inlineStr">
        <is>
          <t>.</t>
        </is>
      </c>
      <c r="X173" t="inlineStr">
        <is>
          <t>.</t>
        </is>
      </c>
      <c r="Y173" t="inlineStr">
        <is>
          <t>.</t>
        </is>
      </c>
      <c r="Z173" t="inlineStr">
        <is>
          <t>3/7</t>
        </is>
      </c>
      <c r="AA173" t="inlineStr">
        <is>
          <t>Uncertain significance</t>
        </is>
      </c>
      <c r="AB173" t="inlineStr">
        <is>
          <t>.</t>
        </is>
      </c>
      <c r="AC173" t="inlineStr">
        <is>
          <t>1/2</t>
        </is>
      </c>
      <c r="AD173" t="inlineStr">
        <is>
          <t>82</t>
        </is>
      </c>
      <c r="AE173" t="inlineStr">
        <is>
          <t>0.655184958473335</t>
        </is>
      </c>
      <c r="AF173" t="inlineStr">
        <is>
          <t>C-terminal binding protein 2</t>
        </is>
      </c>
      <c r="AG173" t="inlineStr">
        <is>
          <t xml:space="preserve">FUNCTION: Corepressor targeting diverse transcription regulators. Functions in brown adipose tissue (BAT) differentiation (By similarity). {ECO:0000250}.; </t>
        </is>
      </c>
      <c r="AH173" t="inlineStr">
        <is>
          <t>.</t>
        </is>
      </c>
      <c r="AI173" t="inlineStr">
        <is>
          <t>.</t>
        </is>
      </c>
      <c r="AJ173" t="inlineStr">
        <is>
          <t>.</t>
        </is>
      </c>
      <c r="AK173" t="inlineStr">
        <is>
          <t>.</t>
        </is>
      </c>
      <c r="AL173" t="inlineStr">
        <is>
          <t>.</t>
        </is>
      </c>
    </row>
    <row r="174">
      <c r="A174" t="inlineStr"/>
      <c r="B174">
        <f>HYPERLINK("https://genome.ucsc.edu/cgi-bin/hgTracks?db=hg19&amp;position=chr10%3A126686593%2D126686593", "chr10:126686593")</f>
        <v/>
      </c>
      <c r="C174" t="inlineStr">
        <is>
          <t>chr10</t>
        </is>
      </c>
      <c r="D174" t="n">
        <v>126686593</v>
      </c>
      <c r="E174" t="n">
        <v>126686593</v>
      </c>
      <c r="F174" t="inlineStr">
        <is>
          <t>G</t>
        </is>
      </c>
      <c r="G174" t="inlineStr">
        <is>
          <t>C</t>
        </is>
      </c>
      <c r="H174" t="inlineStr">
        <is>
          <t>3774.10</t>
        </is>
      </c>
      <c r="I174" t="inlineStr">
        <is>
          <t>87</t>
        </is>
      </c>
      <c r="J174" t="inlineStr">
        <is>
          <t>1,47,39</t>
        </is>
      </c>
      <c r="K174" t="inlineStr">
        <is>
          <t>.</t>
        </is>
      </c>
      <c r="L174" t="inlineStr">
        <is>
          <t>.</t>
        </is>
      </c>
      <c r="M174">
        <f>HYPERLINK("https://www.genecards.org/Search/Keyword?queryString=%5Baliases%5D(%20CTBP2%20)&amp;keywords=CTBP2", "CTBP2")</f>
        <v/>
      </c>
      <c r="N174" t="inlineStr">
        <is>
          <t>exonic</t>
        </is>
      </c>
      <c r="O174" t="inlineStr">
        <is>
          <t>nonsynonymous SNV</t>
        </is>
      </c>
      <c r="P174" t="inlineStr">
        <is>
          <t>CTBP2:NM_001363508:exon4:c.C709G:p.R237G,CTBP2:NM_022802:exon4:c.C2125G:p.R709G,CTBP2:NM_001321013:exon5:c.C505G:p.R169G,CTBP2:NM_001083914:exon6:c.C505G:p.R169G,CTBP2:NM_001290214:exon6:c.C505G:p.R169G,CTBP2:NM_001290215:exon6:c.C505G:p.R169G,CTBP2:NM_001321012:exon6:c.C505G:p.R169G,CTBP2:NM_001321014:exon6:c.C505G:p.R169G,CTBP2:NM_001329:exon6:c.C505G:p.R169G;CTBP2:uc001lid.4:exon4:c.C709G:p.R237G,CTBP2:uc001lie.4:exon4:c.C2125G:p.R709G,CTBP2:uc001lif.4:exon6:c.C505G:p.R169G,CTBP2:uc001lih.4:exon6:c.C505G:p.R169G,CTBP2:uc009yak.3:exon6:c.C505G:p.R169G,CTBP2:uc009yal.3:exon6:c.C505G:p.R169G;CTBP2:ENST00000309035.11_5:exon4:c.C2125G:p.R709G,CTBP2:ENST00000334808.10_4:exon4:c.C709G:p.R237G,CTBP2:ENST00000337195.9_3:exon6:c.C505G:p.R169G,CTBP2:ENST00000411419.6_3:exon6:c.C505G:p.R169G,CTBP2:ENST00000494626.6_3:exon6:c.C505G:p.R169G,CTBP2:ENST00000531469.5_3:exon6:c.C505G:p.R169G</t>
        </is>
      </c>
      <c r="Q174" t="n">
        <v>-1</v>
      </c>
      <c r="R174" t="n">
        <v>-1</v>
      </c>
      <c r="S174" t="n">
        <v>-1</v>
      </c>
      <c r="T174" t="n">
        <v>-1</v>
      </c>
      <c r="U174" t="n">
        <v>-1</v>
      </c>
      <c r="V174" t="inlineStr">
        <is>
          <t>8/12</t>
        </is>
      </c>
      <c r="W174" t="inlineStr">
        <is>
          <t>.</t>
        </is>
      </c>
      <c r="X174" t="inlineStr">
        <is>
          <t>.</t>
        </is>
      </c>
      <c r="Y174" t="inlineStr">
        <is>
          <t>.</t>
        </is>
      </c>
      <c r="Z174" t="inlineStr">
        <is>
          <t>3/7</t>
        </is>
      </c>
      <c r="AA174" t="inlineStr">
        <is>
          <t>Uncertain significance</t>
        </is>
      </c>
      <c r="AB174" t="inlineStr">
        <is>
          <t>.</t>
        </is>
      </c>
      <c r="AC174" t="inlineStr">
        <is>
          <t>1/2</t>
        </is>
      </c>
      <c r="AD174" t="inlineStr">
        <is>
          <t>82</t>
        </is>
      </c>
      <c r="AE174" t="inlineStr">
        <is>
          <t>0.655184958473335</t>
        </is>
      </c>
      <c r="AF174" t="inlineStr">
        <is>
          <t>C-terminal binding protein 2</t>
        </is>
      </c>
      <c r="AG174" t="inlineStr">
        <is>
          <t xml:space="preserve">FUNCTION: Corepressor targeting diverse transcription regulators. Functions in brown adipose tissue (BAT) differentiation (By similarity). {ECO:0000250}.; </t>
        </is>
      </c>
      <c r="AH174" t="inlineStr">
        <is>
          <t>.</t>
        </is>
      </c>
      <c r="AI174" t="inlineStr">
        <is>
          <t>.</t>
        </is>
      </c>
      <c r="AJ174" t="inlineStr">
        <is>
          <t>.</t>
        </is>
      </c>
      <c r="AK174" t="inlineStr">
        <is>
          <t>.</t>
        </is>
      </c>
      <c r="AL174" t="inlineStr">
        <is>
          <t>.</t>
        </is>
      </c>
    </row>
    <row r="175">
      <c r="A175" t="inlineStr"/>
      <c r="B175">
        <f>HYPERLINK("https://genome.ucsc.edu/cgi-bin/hgTracks?db=hg19&amp;position=chr10%3A126686605%2D126686605", "chr10:126686605")</f>
        <v/>
      </c>
      <c r="C175" t="inlineStr">
        <is>
          <t>chr10</t>
        </is>
      </c>
      <c r="D175" t="n">
        <v>126686605</v>
      </c>
      <c r="E175" t="n">
        <v>126686605</v>
      </c>
      <c r="F175" t="inlineStr">
        <is>
          <t>C</t>
        </is>
      </c>
      <c r="G175" t="inlineStr">
        <is>
          <t>T</t>
        </is>
      </c>
      <c r="H175" t="inlineStr">
        <is>
          <t>3126.64</t>
        </is>
      </c>
      <c r="I175" t="inlineStr">
        <is>
          <t>108</t>
        </is>
      </c>
      <c r="J175" t="inlineStr">
        <is>
          <t>21,87</t>
        </is>
      </c>
      <c r="K175" t="inlineStr">
        <is>
          <t>.</t>
        </is>
      </c>
      <c r="L175">
        <f>HYPERLINK("https://www.ncbi.nlm.nih.gov/snp/rs74442958", "rs74442958")</f>
        <v/>
      </c>
      <c r="M175">
        <f>HYPERLINK("https://www.genecards.org/Search/Keyword?queryString=%5Baliases%5D(%20CTBP2%20)&amp;keywords=CTBP2", "CTBP2")</f>
        <v/>
      </c>
      <c r="N175" t="inlineStr">
        <is>
          <t>exonic</t>
        </is>
      </c>
      <c r="O175" t="inlineStr">
        <is>
          <t>nonsynonymous SNV</t>
        </is>
      </c>
      <c r="P175" t="inlineStr">
        <is>
          <t>CTBP2:NM_001363508:exon4:c.G697A:p.V233M,CTBP2:NM_022802:exon4:c.G2113A:p.V705M,CTBP2:NM_001321013:exon5:c.G493A:p.V165M,CTBP2:NM_001083914:exon6:c.G493A:p.V165M,CTBP2:NM_001290214:exon6:c.G493A:p.V165M,CTBP2:NM_001290215:exon6:c.G493A:p.V165M,CTBP2:NM_001321012:exon6:c.G493A:p.V165M,CTBP2:NM_001321014:exon6:c.G493A:p.V165M,CTBP2:NM_001329:exon6:c.G493A:p.V165M;CTBP2:uc001lid.4:exon4:c.G697A:p.V233M,CTBP2:uc001lie.4:exon4:c.G2113A:p.V705M,CTBP2:uc001lif.4:exon6:c.G493A:p.V165M,CTBP2:uc001lih.4:exon6:c.G493A:p.V165M,CTBP2:uc009yak.3:exon6:c.G493A:p.V165M,CTBP2:uc009yal.3:exon6:c.G493A:p.V165M;CTBP2:ENST00000309035.11_5:exon4:c.G2113A:p.V705M,CTBP2:ENST00000334808.10_4:exon4:c.G697A:p.V233M,CTBP2:ENST00000337195.9_3:exon6:c.G493A:p.V165M,CTBP2:ENST00000411419.6_3:exon6:c.G493A:p.V165M,CTBP2:ENST00000494626.6_3:exon6:c.G493A:p.V165M,CTBP2:ENST00000531469.5_3:exon6:c.G493A:p.V165M</t>
        </is>
      </c>
      <c r="Q175" t="n">
        <v>7.7e-05</v>
      </c>
      <c r="R175" t="n">
        <v>-1</v>
      </c>
      <c r="S175" t="n">
        <v>-1</v>
      </c>
      <c r="T175" t="n">
        <v>-1</v>
      </c>
      <c r="U175" t="n">
        <v>-1</v>
      </c>
      <c r="V175" t="inlineStr">
        <is>
          <t>7/11</t>
        </is>
      </c>
      <c r="W175" t="inlineStr">
        <is>
          <t>.</t>
        </is>
      </c>
      <c r="X175" t="inlineStr">
        <is>
          <t>.</t>
        </is>
      </c>
      <c r="Y175" t="inlineStr">
        <is>
          <t>.</t>
        </is>
      </c>
      <c r="Z175" t="inlineStr">
        <is>
          <t>4/7</t>
        </is>
      </c>
      <c r="AA175" t="inlineStr">
        <is>
          <t>Uncertain significance</t>
        </is>
      </c>
      <c r="AB175" t="inlineStr">
        <is>
          <t>.</t>
        </is>
      </c>
      <c r="AC175" t="inlineStr">
        <is>
          <t>0/1</t>
        </is>
      </c>
      <c r="AD175" t="inlineStr">
        <is>
          <t>82</t>
        </is>
      </c>
      <c r="AE175" t="inlineStr">
        <is>
          <t>0.655184958473335</t>
        </is>
      </c>
      <c r="AF175" t="inlineStr">
        <is>
          <t>C-terminal binding protein 2</t>
        </is>
      </c>
      <c r="AG175" t="inlineStr">
        <is>
          <t xml:space="preserve">FUNCTION: Corepressor targeting diverse transcription regulators. Functions in brown adipose tissue (BAT) differentiation (By similarity). {ECO:0000250}.; </t>
        </is>
      </c>
      <c r="AH175" t="inlineStr">
        <is>
          <t>.</t>
        </is>
      </c>
      <c r="AI175" t="inlineStr">
        <is>
          <t>.</t>
        </is>
      </c>
      <c r="AJ175" t="inlineStr">
        <is>
          <t>.</t>
        </is>
      </c>
      <c r="AK175" t="inlineStr">
        <is>
          <t>.</t>
        </is>
      </c>
      <c r="AL175" t="inlineStr">
        <is>
          <t>.</t>
        </is>
      </c>
    </row>
    <row r="176">
      <c r="A176" t="inlineStr"/>
      <c r="B176">
        <f>HYPERLINK("https://genome.ucsc.edu/cgi-bin/hgTracks?db=hg19&amp;position=chr10%3A126686619%2D126686619", "chr10:126686619")</f>
        <v/>
      </c>
      <c r="C176" t="inlineStr">
        <is>
          <t>chr10</t>
        </is>
      </c>
      <c r="D176" t="n">
        <v>126686619</v>
      </c>
      <c r="E176" t="n">
        <v>126686619</v>
      </c>
      <c r="F176" t="inlineStr">
        <is>
          <t>G</t>
        </is>
      </c>
      <c r="G176" t="inlineStr">
        <is>
          <t>T</t>
        </is>
      </c>
      <c r="H176" t="inlineStr">
        <is>
          <t>2393.64</t>
        </is>
      </c>
      <c r="I176" t="inlineStr">
        <is>
          <t>138</t>
        </is>
      </c>
      <c r="J176" t="inlineStr">
        <is>
          <t>74,64</t>
        </is>
      </c>
      <c r="K176" t="inlineStr">
        <is>
          <t>.</t>
        </is>
      </c>
      <c r="L176">
        <f>HYPERLINK("https://www.ncbi.nlm.nih.gov/snp/rs1016903303", "rs1016903303")</f>
        <v/>
      </c>
      <c r="M176">
        <f>HYPERLINK("https://www.genecards.org/Search/Keyword?queryString=%5Baliases%5D(%20CTBP2%20)&amp;keywords=CTBP2", "CTBP2")</f>
        <v/>
      </c>
      <c r="N176" t="inlineStr">
        <is>
          <t>exonic</t>
        </is>
      </c>
      <c r="O176" t="inlineStr">
        <is>
          <t>nonsynonymous SNV</t>
        </is>
      </c>
      <c r="P176" t="inlineStr">
        <is>
          <t>CTBP2:NM_001363508:exon4:c.C683A:p.T228K,CTBP2:NM_022802:exon4:c.C2099A:p.T700K,CTBP2:NM_001321013:exon5:c.C479A:p.T160K,CTBP2:NM_001083914:exon6:c.C479A:p.T160K,CTBP2:NM_001290214:exon6:c.C479A:p.T160K,CTBP2:NM_001290215:exon6:c.C479A:p.T160K,CTBP2:NM_001321012:exon6:c.C479A:p.T160K,CTBP2:NM_001321014:exon6:c.C479A:p.T160K,CTBP2:NM_001329:exon6:c.C479A:p.T160K;CTBP2:uc001lid.4:exon4:c.C683A:p.T228K,CTBP2:uc001lie.4:exon4:c.C2099A:p.T700K,CTBP2:uc001lif.4:exon6:c.C479A:p.T160K,CTBP2:uc001lih.4:exon6:c.C479A:p.T160K,CTBP2:uc009yak.3:exon6:c.C479A:p.T160K,CTBP2:uc009yal.3:exon6:c.C479A:p.T160K;CTBP2:ENST00000309035.11_5:exon4:c.C2099A:p.T700K,CTBP2:ENST00000334808.10_4:exon4:c.C683A:p.T228K,CTBP2:ENST00000337195.9_3:exon6:c.C479A:p.T160K,CTBP2:ENST00000411419.6_3:exon6:c.C479A:p.T160K,CTBP2:ENST00000494626.6_3:exon6:c.C479A:p.T160K,CTBP2:ENST00000531469.5_3:exon6:c.C479A:p.T160K</t>
        </is>
      </c>
      <c r="Q176" t="n">
        <v>-1</v>
      </c>
      <c r="R176" t="n">
        <v>-1</v>
      </c>
      <c r="S176" t="n">
        <v>-1</v>
      </c>
      <c r="T176" t="n">
        <v>-1</v>
      </c>
      <c r="U176" t="n">
        <v>-1</v>
      </c>
      <c r="V176" t="inlineStr">
        <is>
          <t>5/12</t>
        </is>
      </c>
      <c r="W176" t="inlineStr">
        <is>
          <t>.</t>
        </is>
      </c>
      <c r="X176" t="inlineStr">
        <is>
          <t>.</t>
        </is>
      </c>
      <c r="Y176" t="inlineStr">
        <is>
          <t>.</t>
        </is>
      </c>
      <c r="Z176" t="inlineStr">
        <is>
          <t>2/7</t>
        </is>
      </c>
      <c r="AA176" t="inlineStr">
        <is>
          <t>Uncertain significance</t>
        </is>
      </c>
      <c r="AB176" t="inlineStr">
        <is>
          <t>.</t>
        </is>
      </c>
      <c r="AC176" t="inlineStr">
        <is>
          <t>.</t>
        </is>
      </c>
      <c r="AD176" t="inlineStr">
        <is>
          <t>82</t>
        </is>
      </c>
      <c r="AE176" t="inlineStr">
        <is>
          <t>0.655184958473335</t>
        </is>
      </c>
      <c r="AF176" t="inlineStr">
        <is>
          <t>C-terminal binding protein 2</t>
        </is>
      </c>
      <c r="AG176" t="inlineStr">
        <is>
          <t xml:space="preserve">FUNCTION: Corepressor targeting diverse transcription regulators. Functions in brown adipose tissue (BAT) differentiation (By similarity). {ECO:0000250}.; </t>
        </is>
      </c>
      <c r="AH176" t="inlineStr">
        <is>
          <t>.</t>
        </is>
      </c>
      <c r="AI176" t="inlineStr">
        <is>
          <t>.</t>
        </is>
      </c>
      <c r="AJ176" t="inlineStr">
        <is>
          <t>.</t>
        </is>
      </c>
      <c r="AK176" t="inlineStr">
        <is>
          <t>.</t>
        </is>
      </c>
      <c r="AL176" t="inlineStr">
        <is>
          <t>.</t>
        </is>
      </c>
    </row>
    <row r="177">
      <c r="A177" t="inlineStr"/>
      <c r="B177">
        <f>HYPERLINK("https://genome.ucsc.edu/cgi-bin/hgTracks?db=hg19&amp;position=chr10%3A126686629%2D126686629", "chr10:126686629")</f>
        <v/>
      </c>
      <c r="C177" t="inlineStr">
        <is>
          <t>chr10</t>
        </is>
      </c>
      <c r="D177" t="n">
        <v>126686629</v>
      </c>
      <c r="E177" t="n">
        <v>126686629</v>
      </c>
      <c r="F177" t="inlineStr">
        <is>
          <t>G</t>
        </is>
      </c>
      <c r="G177" t="inlineStr">
        <is>
          <t>A</t>
        </is>
      </c>
      <c r="H177" t="inlineStr">
        <is>
          <t>5913.10</t>
        </is>
      </c>
      <c r="I177" t="inlineStr">
        <is>
          <t>139</t>
        </is>
      </c>
      <c r="J177" t="inlineStr">
        <is>
          <t>1,73,65</t>
        </is>
      </c>
      <c r="K177" t="inlineStr">
        <is>
          <t>.</t>
        </is>
      </c>
      <c r="L177">
        <f>HYPERLINK("https://www.ncbi.nlm.nih.gov/snp/rs74523764", "rs74523764")</f>
        <v/>
      </c>
      <c r="M177">
        <f>HYPERLINK("https://www.genecards.org/Search/Keyword?queryString=%5Baliases%5D(%20CTBP2%20)&amp;keywords=CTBP2", "CTBP2")</f>
        <v/>
      </c>
      <c r="N177" t="inlineStr">
        <is>
          <t>exonic</t>
        </is>
      </c>
      <c r="O177" t="inlineStr">
        <is>
          <t>nonsynonymous SNV</t>
        </is>
      </c>
      <c r="P177" t="inlineStr">
        <is>
          <t>CTBP2:NM_001363508:exon4:c.C673T:p.R225W,CTBP2:NM_022802:exon4:c.C2089T:p.R697W,CTBP2:NM_001321013:exon5:c.C469T:p.R157W,CTBP2:NM_001083914:exon6:c.C469T:p.R157W,CTBP2:NM_001290214:exon6:c.C469T:p.R157W,CTBP2:NM_001290215:exon6:c.C469T:p.R157W,CTBP2:NM_001321012:exon6:c.C469T:p.R157W,CTBP2:NM_001321014:exon6:c.C469T:p.R157W,CTBP2:NM_001329:exon6:c.C469T:p.R157W;CTBP2:uc001lid.4:exon4:c.C673T:p.R225W,CTBP2:uc001lie.4:exon4:c.C2089T:p.R697W,CTBP2:uc001lif.4:exon6:c.C469T:p.R157W,CTBP2:uc001lih.4:exon6:c.C469T:p.R157W,CTBP2:uc009yak.3:exon6:c.C469T:p.R157W,CTBP2:uc009yal.3:exon6:c.C469T:p.R157W;CTBP2:ENST00000309035.11_5:exon4:c.C2089T:p.R697W,CTBP2:ENST00000334808.10_4:exon4:c.C673T:p.R225W,CTBP2:ENST00000337195.9_3:exon6:c.C469T:p.R157W,CTBP2:ENST00000411419.6_3:exon6:c.C469T:p.R157W,CTBP2:ENST00000494626.6_3:exon6:c.C469T:p.R157W,CTBP2:ENST00000531469.5_3:exon6:c.C469T:p.R157W</t>
        </is>
      </c>
      <c r="Q177" t="n">
        <v>1.29e-05</v>
      </c>
      <c r="R177" t="n">
        <v>-1</v>
      </c>
      <c r="S177" t="n">
        <v>-1</v>
      </c>
      <c r="T177" t="n">
        <v>-1</v>
      </c>
      <c r="U177" t="n">
        <v>-1</v>
      </c>
      <c r="V177" t="inlineStr">
        <is>
          <t>10/12</t>
        </is>
      </c>
      <c r="W177" t="inlineStr">
        <is>
          <t>.</t>
        </is>
      </c>
      <c r="X177" t="inlineStr">
        <is>
          <t>.</t>
        </is>
      </c>
      <c r="Y177" t="inlineStr">
        <is>
          <t>.</t>
        </is>
      </c>
      <c r="Z177" t="inlineStr">
        <is>
          <t>2/7</t>
        </is>
      </c>
      <c r="AA177" t="inlineStr">
        <is>
          <t>Uncertain significance</t>
        </is>
      </c>
      <c r="AB177" t="inlineStr">
        <is>
          <t>.</t>
        </is>
      </c>
      <c r="AC177" t="inlineStr">
        <is>
          <t>1/2</t>
        </is>
      </c>
      <c r="AD177" t="inlineStr">
        <is>
          <t>82</t>
        </is>
      </c>
      <c r="AE177" t="inlineStr">
        <is>
          <t>0.655184958473335</t>
        </is>
      </c>
      <c r="AF177" t="inlineStr">
        <is>
          <t>C-terminal binding protein 2</t>
        </is>
      </c>
      <c r="AG177" t="inlineStr">
        <is>
          <t xml:space="preserve">FUNCTION: Corepressor targeting diverse transcription regulators. Functions in brown adipose tissue (BAT) differentiation (By similarity). {ECO:0000250}.; </t>
        </is>
      </c>
      <c r="AH177" t="inlineStr">
        <is>
          <t>.</t>
        </is>
      </c>
      <c r="AI177" t="inlineStr">
        <is>
          <t>.</t>
        </is>
      </c>
      <c r="AJ177" t="inlineStr">
        <is>
          <t>.</t>
        </is>
      </c>
      <c r="AK177" t="inlineStr">
        <is>
          <t>.</t>
        </is>
      </c>
      <c r="AL177" t="inlineStr">
        <is>
          <t>.</t>
        </is>
      </c>
    </row>
    <row r="178">
      <c r="A178" t="inlineStr"/>
      <c r="B178">
        <f>HYPERLINK("https://genome.ucsc.edu/cgi-bin/hgTracks?db=hg19&amp;position=chr10%3A126686646%2D126686646", "chr10:126686646")</f>
        <v/>
      </c>
      <c r="C178" t="inlineStr">
        <is>
          <t>chr10</t>
        </is>
      </c>
      <c r="D178" t="n">
        <v>126686646</v>
      </c>
      <c r="E178" t="n">
        <v>126686646</v>
      </c>
      <c r="F178" t="inlineStr">
        <is>
          <t>C</t>
        </is>
      </c>
      <c r="G178" t="inlineStr">
        <is>
          <t>G</t>
        </is>
      </c>
      <c r="H178" t="inlineStr">
        <is>
          <t>2526.64</t>
        </is>
      </c>
      <c r="I178" t="inlineStr">
        <is>
          <t>130</t>
        </is>
      </c>
      <c r="J178" t="inlineStr">
        <is>
          <t>65,65</t>
        </is>
      </c>
      <c r="K178" t="inlineStr">
        <is>
          <t>.</t>
        </is>
      </c>
      <c r="L178">
        <f>HYPERLINK("https://www.ncbi.nlm.nih.gov/snp/rs921417861", "rs921417861")</f>
        <v/>
      </c>
      <c r="M178">
        <f>HYPERLINK("https://www.genecards.org/Search/Keyword?queryString=%5Baliases%5D(%20CTBP2%20)&amp;keywords=CTBP2", "CTBP2")</f>
        <v/>
      </c>
      <c r="N178" t="inlineStr">
        <is>
          <t>exonic</t>
        </is>
      </c>
      <c r="O178" t="inlineStr">
        <is>
          <t>nonsynonymous SNV</t>
        </is>
      </c>
      <c r="P178" t="inlineStr">
        <is>
          <t>CTBP2:NM_001363508:exon4:c.G656C:p.W219S,CTBP2:NM_022802:exon4:c.G2072C:p.W691S,CTBP2:NM_001321013:exon5:c.G452C:p.W151S,CTBP2:NM_001083914:exon6:c.G452C:p.W151S,CTBP2:NM_001290214:exon6:c.G452C:p.W151S,CTBP2:NM_001290215:exon6:c.G452C:p.W151S,CTBP2:NM_001321012:exon6:c.G452C:p.W151S,CTBP2:NM_001321014:exon6:c.G452C:p.W151S,CTBP2:NM_001329:exon6:c.G452C:p.W151S;CTBP2:uc001lid.4:exon4:c.G656C:p.W219S,CTBP2:uc001lie.4:exon4:c.G2072C:p.W691S,CTBP2:uc001lif.4:exon6:c.G452C:p.W151S,CTBP2:uc001lih.4:exon6:c.G452C:p.W151S,CTBP2:uc009yak.3:exon6:c.G452C:p.W151S,CTBP2:uc009yal.3:exon6:c.G452C:p.W151S;CTBP2:ENST00000309035.11_5:exon4:c.G2072C:p.W691S,CTBP2:ENST00000334808.10_4:exon4:c.G656C:p.W219S,CTBP2:ENST00000337195.9_3:exon6:c.G452C:p.W151S,CTBP2:ENST00000411419.6_3:exon6:c.G452C:p.W151S,CTBP2:ENST00000494626.6_3:exon6:c.G452C:p.W151S,CTBP2:ENST00000531469.5_3:exon6:c.G452C:p.W151S</t>
        </is>
      </c>
      <c r="Q178" t="n">
        <v>-1</v>
      </c>
      <c r="R178" t="n">
        <v>-1</v>
      </c>
      <c r="S178" t="n">
        <v>-1</v>
      </c>
      <c r="T178" t="n">
        <v>-1</v>
      </c>
      <c r="U178" t="n">
        <v>-1</v>
      </c>
      <c r="V178" t="inlineStr">
        <is>
          <t>7/12</t>
        </is>
      </c>
      <c r="W178" t="inlineStr">
        <is>
          <t>.</t>
        </is>
      </c>
      <c r="X178" t="inlineStr">
        <is>
          <t>.</t>
        </is>
      </c>
      <c r="Y178" t="inlineStr">
        <is>
          <t>.</t>
        </is>
      </c>
      <c r="Z178" t="inlineStr">
        <is>
          <t>3/7</t>
        </is>
      </c>
      <c r="AA178" t="inlineStr">
        <is>
          <t>Uncertain significance</t>
        </is>
      </c>
      <c r="AB178" t="inlineStr">
        <is>
          <t>.</t>
        </is>
      </c>
      <c r="AC178" t="inlineStr">
        <is>
          <t>.</t>
        </is>
      </c>
      <c r="AD178" t="inlineStr">
        <is>
          <t>82</t>
        </is>
      </c>
      <c r="AE178" t="inlineStr">
        <is>
          <t>0.655184958473335</t>
        </is>
      </c>
      <c r="AF178" t="inlineStr">
        <is>
          <t>C-terminal binding protein 2</t>
        </is>
      </c>
      <c r="AG178" t="inlineStr">
        <is>
          <t xml:space="preserve">FUNCTION: Corepressor targeting diverse transcription regulators. Functions in brown adipose tissue (BAT) differentiation (By similarity). {ECO:0000250}.; </t>
        </is>
      </c>
      <c r="AH178" t="inlineStr">
        <is>
          <t>.</t>
        </is>
      </c>
      <c r="AI178" t="inlineStr">
        <is>
          <t>.</t>
        </is>
      </c>
      <c r="AJ178" t="inlineStr">
        <is>
          <t>.</t>
        </is>
      </c>
      <c r="AK178" t="inlineStr">
        <is>
          <t>.</t>
        </is>
      </c>
      <c r="AL178" t="inlineStr">
        <is>
          <t>.</t>
        </is>
      </c>
    </row>
    <row r="179">
      <c r="A179" t="inlineStr"/>
      <c r="B179">
        <f>HYPERLINK("https://genome.ucsc.edu/cgi-bin/hgTracks?db=hg19&amp;position=chr10%3A126686649%2D126686649", "chr10:126686649")</f>
        <v/>
      </c>
      <c r="C179" t="inlineStr">
        <is>
          <t>chr10</t>
        </is>
      </c>
      <c r="D179" t="n">
        <v>126686649</v>
      </c>
      <c r="E179" t="n">
        <v>126686649</v>
      </c>
      <c r="F179" t="inlineStr">
        <is>
          <t>G</t>
        </is>
      </c>
      <c r="G179" t="inlineStr">
        <is>
          <t>C</t>
        </is>
      </c>
      <c r="H179" t="inlineStr">
        <is>
          <t>2568.64</t>
        </is>
      </c>
      <c r="I179" t="inlineStr">
        <is>
          <t>131</t>
        </is>
      </c>
      <c r="J179" t="inlineStr">
        <is>
          <t>65,66</t>
        </is>
      </c>
      <c r="K179" t="inlineStr">
        <is>
          <t>.</t>
        </is>
      </c>
      <c r="L179">
        <f>HYPERLINK("https://www.ncbi.nlm.nih.gov/snp/rs771702203", "rs771702203")</f>
        <v/>
      </c>
      <c r="M179">
        <f>HYPERLINK("https://www.genecards.org/Search/Keyword?queryString=%5Baliases%5D(%20CTBP2%20)&amp;keywords=CTBP2", "CTBP2")</f>
        <v/>
      </c>
      <c r="N179" t="inlineStr">
        <is>
          <t>exonic</t>
        </is>
      </c>
      <c r="O179" t="inlineStr">
        <is>
          <t>nonsynonymous SNV</t>
        </is>
      </c>
      <c r="P179" t="inlineStr">
        <is>
          <t>CTBP2:NM_001363508:exon4:c.C653G:p.T218R,CTBP2:NM_022802:exon4:c.C2069G:p.T690R,CTBP2:NM_001321013:exon5:c.C449G:p.T150R,CTBP2:NM_001083914:exon6:c.C449G:p.T150R,CTBP2:NM_001290214:exon6:c.C449G:p.T150R,CTBP2:NM_001290215:exon6:c.C449G:p.T150R,CTBP2:NM_001321012:exon6:c.C449G:p.T150R,CTBP2:NM_001321014:exon6:c.C449G:p.T150R,CTBP2:NM_001329:exon6:c.C449G:p.T150R;CTBP2:uc001lid.4:exon4:c.C653G:p.T218R,CTBP2:uc001lie.4:exon4:c.C2069G:p.T690R,CTBP2:uc001lif.4:exon6:c.C449G:p.T150R,CTBP2:uc001lih.4:exon6:c.C449G:p.T150R,CTBP2:uc009yak.3:exon6:c.C449G:p.T150R,CTBP2:uc009yal.3:exon6:c.C449G:p.T150R;CTBP2:ENST00000309035.11_5:exon4:c.C2069G:p.T690R,CTBP2:ENST00000334808.10_4:exon4:c.C653G:p.T218R,CTBP2:ENST00000337195.9_3:exon6:c.C449G:p.T150R,CTBP2:ENST00000411419.6_3:exon6:c.C449G:p.T150R,CTBP2:ENST00000494626.6_3:exon6:c.C449G:p.T150R,CTBP2:ENST00000531469.5_3:exon6:c.C449G:p.T150R</t>
        </is>
      </c>
      <c r="Q179" t="n">
        <v>-1</v>
      </c>
      <c r="R179" t="n">
        <v>-1</v>
      </c>
      <c r="S179" t="n">
        <v>-1</v>
      </c>
      <c r="T179" t="n">
        <v>-1</v>
      </c>
      <c r="U179" t="n">
        <v>-1</v>
      </c>
      <c r="V179" t="inlineStr">
        <is>
          <t>6/12</t>
        </is>
      </c>
      <c r="W179" t="inlineStr">
        <is>
          <t>.</t>
        </is>
      </c>
      <c r="X179" t="inlineStr">
        <is>
          <t>.</t>
        </is>
      </c>
      <c r="Y179" t="inlineStr">
        <is>
          <t>.</t>
        </is>
      </c>
      <c r="Z179" t="inlineStr">
        <is>
          <t>3/7</t>
        </is>
      </c>
      <c r="AA179" t="inlineStr">
        <is>
          <t>Uncertain significance</t>
        </is>
      </c>
      <c r="AB179" t="inlineStr">
        <is>
          <t>.</t>
        </is>
      </c>
      <c r="AC179" t="inlineStr">
        <is>
          <t>.</t>
        </is>
      </c>
      <c r="AD179" t="inlineStr">
        <is>
          <t>82</t>
        </is>
      </c>
      <c r="AE179" t="inlineStr">
        <is>
          <t>0.655184958473335</t>
        </is>
      </c>
      <c r="AF179" t="inlineStr">
        <is>
          <t>C-terminal binding protein 2</t>
        </is>
      </c>
      <c r="AG179" t="inlineStr">
        <is>
          <t xml:space="preserve">FUNCTION: Corepressor targeting diverse transcription regulators. Functions in brown adipose tissue (BAT) differentiation (By similarity). {ECO:0000250}.; </t>
        </is>
      </c>
      <c r="AH179" t="inlineStr">
        <is>
          <t>.</t>
        </is>
      </c>
      <c r="AI179" t="inlineStr">
        <is>
          <t>.</t>
        </is>
      </c>
      <c r="AJ179" t="inlineStr">
        <is>
          <t>.</t>
        </is>
      </c>
      <c r="AK179" t="inlineStr">
        <is>
          <t>.</t>
        </is>
      </c>
      <c r="AL179" t="inlineStr">
        <is>
          <t>.</t>
        </is>
      </c>
    </row>
    <row r="180">
      <c r="A180" t="inlineStr"/>
      <c r="B180">
        <f>HYPERLINK("https://genome.ucsc.edu/cgi-bin/hgTracks?db=hg19&amp;position=chr10%3A126686656%2D126686656", "chr10:126686656")</f>
        <v/>
      </c>
      <c r="C180" t="inlineStr">
        <is>
          <t>chr10</t>
        </is>
      </c>
      <c r="D180" t="n">
        <v>126686656</v>
      </c>
      <c r="E180" t="n">
        <v>126686656</v>
      </c>
      <c r="F180" t="inlineStr">
        <is>
          <t>T</t>
        </is>
      </c>
      <c r="G180" t="inlineStr">
        <is>
          <t>C</t>
        </is>
      </c>
      <c r="H180" t="inlineStr">
        <is>
          <t>2607.64</t>
        </is>
      </c>
      <c r="I180" t="inlineStr">
        <is>
          <t>133</t>
        </is>
      </c>
      <c r="J180" t="inlineStr">
        <is>
          <t>66,67</t>
        </is>
      </c>
      <c r="K180" t="inlineStr">
        <is>
          <t>.</t>
        </is>
      </c>
      <c r="L180">
        <f>HYPERLINK("https://www.ncbi.nlm.nih.gov/snp/rs914098337", "rs914098337")</f>
        <v/>
      </c>
      <c r="M180">
        <f>HYPERLINK("https://www.genecards.org/Search/Keyword?queryString=%5Baliases%5D(%20CTBP2%20)&amp;keywords=CTBP2", "CTBP2")</f>
        <v/>
      </c>
      <c r="N180" t="inlineStr">
        <is>
          <t>exonic</t>
        </is>
      </c>
      <c r="O180" t="inlineStr">
        <is>
          <t>nonsynonymous SNV</t>
        </is>
      </c>
      <c r="P180" t="inlineStr">
        <is>
          <t>CTBP2:NM_001363508:exon4:c.A646G:p.R216G,CTBP2:NM_022802:exon4:c.A2062G:p.R688G,CTBP2:NM_001321013:exon5:c.A442G:p.R148G,CTBP2:NM_001083914:exon6:c.A442G:p.R148G,CTBP2:NM_001290214:exon6:c.A442G:p.R148G,CTBP2:NM_001290215:exon6:c.A442G:p.R148G,CTBP2:NM_001321012:exon6:c.A442G:p.R148G,CTBP2:NM_001321014:exon6:c.A442G:p.R148G,CTBP2:NM_001329:exon6:c.A442G:p.R148G;CTBP2:uc001lid.4:exon4:c.A646G:p.R216G,CTBP2:uc001lie.4:exon4:c.A2062G:p.R688G,CTBP2:uc001lif.4:exon6:c.A442G:p.R148G,CTBP2:uc001lih.4:exon6:c.A442G:p.R148G,CTBP2:uc009yak.3:exon6:c.A442G:p.R148G,CTBP2:uc009yal.3:exon6:c.A442G:p.R148G;CTBP2:ENST00000309035.11_5:exon4:c.A2062G:p.R688G,CTBP2:ENST00000334808.10_4:exon4:c.A646G:p.R216G,CTBP2:ENST00000337195.9_3:exon6:c.A442G:p.R148G,CTBP2:ENST00000411419.6_3:exon6:c.A442G:p.R148G,CTBP2:ENST00000494626.6_3:exon6:c.A442G:p.R148G,CTBP2:ENST00000531469.5_3:exon6:c.A442G:p.R148G</t>
        </is>
      </c>
      <c r="Q180" t="n">
        <v>-1</v>
      </c>
      <c r="R180" t="n">
        <v>-1</v>
      </c>
      <c r="S180" t="n">
        <v>-1</v>
      </c>
      <c r="T180" t="n">
        <v>-1</v>
      </c>
      <c r="U180" t="n">
        <v>-1</v>
      </c>
      <c r="V180" t="inlineStr">
        <is>
          <t>4/12</t>
        </is>
      </c>
      <c r="W180" t="inlineStr">
        <is>
          <t>.</t>
        </is>
      </c>
      <c r="X180" t="inlineStr">
        <is>
          <t>.</t>
        </is>
      </c>
      <c r="Y180" t="inlineStr">
        <is>
          <t>.</t>
        </is>
      </c>
      <c r="Z180" t="inlineStr">
        <is>
          <t>1/7</t>
        </is>
      </c>
      <c r="AA180" t="inlineStr">
        <is>
          <t>Uncertain significance</t>
        </is>
      </c>
      <c r="AB180" t="inlineStr">
        <is>
          <t>.</t>
        </is>
      </c>
      <c r="AC180" t="inlineStr">
        <is>
          <t>.</t>
        </is>
      </c>
      <c r="AD180" t="inlineStr">
        <is>
          <t>82</t>
        </is>
      </c>
      <c r="AE180" t="inlineStr">
        <is>
          <t>0.655184958473335</t>
        </is>
      </c>
      <c r="AF180" t="inlineStr">
        <is>
          <t>C-terminal binding protein 2</t>
        </is>
      </c>
      <c r="AG180" t="inlineStr">
        <is>
          <t xml:space="preserve">FUNCTION: Corepressor targeting diverse transcription regulators. Functions in brown adipose tissue (BAT) differentiation (By similarity). {ECO:0000250}.; </t>
        </is>
      </c>
      <c r="AH180" t="inlineStr">
        <is>
          <t>.</t>
        </is>
      </c>
      <c r="AI180" t="inlineStr">
        <is>
          <t>.</t>
        </is>
      </c>
      <c r="AJ180" t="inlineStr">
        <is>
          <t>.</t>
        </is>
      </c>
      <c r="AK180" t="inlineStr">
        <is>
          <t>.</t>
        </is>
      </c>
      <c r="AL180" t="inlineStr">
        <is>
          <t>.</t>
        </is>
      </c>
    </row>
    <row r="181">
      <c r="A181" t="inlineStr"/>
      <c r="B181">
        <f>HYPERLINK("https://genome.ucsc.edu/cgi-bin/hgTracks?db=hg19&amp;position=chr10%3A126686659%2D126686659", "chr10:126686659")</f>
        <v/>
      </c>
      <c r="C181" t="inlineStr">
        <is>
          <t>chr10</t>
        </is>
      </c>
      <c r="D181" t="n">
        <v>126686659</v>
      </c>
      <c r="E181" t="n">
        <v>126686659</v>
      </c>
      <c r="F181" t="inlineStr">
        <is>
          <t>G</t>
        </is>
      </c>
      <c r="G181" t="inlineStr">
        <is>
          <t>A</t>
        </is>
      </c>
      <c r="H181" t="inlineStr">
        <is>
          <t>2607.64</t>
        </is>
      </c>
      <c r="I181" t="inlineStr">
        <is>
          <t>133</t>
        </is>
      </c>
      <c r="J181" t="inlineStr">
        <is>
          <t>66,67</t>
        </is>
      </c>
      <c r="K181" t="inlineStr">
        <is>
          <t>.</t>
        </is>
      </c>
      <c r="L181">
        <f>HYPERLINK("https://www.ncbi.nlm.nih.gov/snp/rs945665113", "rs945665113")</f>
        <v/>
      </c>
      <c r="M181">
        <f>HYPERLINK("https://www.genecards.org/Search/Keyword?queryString=%5Baliases%5D(%20CTBP2%20)&amp;keywords=CTBP2", "CTBP2")</f>
        <v/>
      </c>
      <c r="N181" t="inlineStr">
        <is>
          <t>exonic</t>
        </is>
      </c>
      <c r="O181" t="inlineStr">
        <is>
          <t>nonsynonymous SNV</t>
        </is>
      </c>
      <c r="P181" t="inlineStr">
        <is>
          <t>CTBP2:NM_001363508:exon4:c.C643T:p.R215W,CTBP2:NM_022802:exon4:c.C2059T:p.R687W,CTBP2:NM_001321013:exon5:c.C439T:p.R147W,CTBP2:NM_001083914:exon6:c.C439T:p.R147W,CTBP2:NM_001290214:exon6:c.C439T:p.R147W,CTBP2:NM_001290215:exon6:c.C439T:p.R147W,CTBP2:NM_001321012:exon6:c.C439T:p.R147W,CTBP2:NM_001321014:exon6:c.C439T:p.R147W,CTBP2:NM_001329:exon6:c.C439T:p.R147W;CTBP2:uc001lid.4:exon4:c.C643T:p.R215W,CTBP2:uc001lie.4:exon4:c.C2059T:p.R687W,CTBP2:uc001lif.4:exon6:c.C439T:p.R147W,CTBP2:uc001lih.4:exon6:c.C439T:p.R147W,CTBP2:uc009yak.3:exon6:c.C439T:p.R147W,CTBP2:uc009yal.3:exon6:c.C439T:p.R147W;CTBP2:ENST00000309035.11_5:exon4:c.C2059T:p.R687W,CTBP2:ENST00000334808.10_4:exon4:c.C643T:p.R215W,CTBP2:ENST00000337195.9_3:exon6:c.C439T:p.R147W,CTBP2:ENST00000411419.6_3:exon6:c.C439T:p.R147W,CTBP2:ENST00000494626.6_3:exon6:c.C439T:p.R147W,CTBP2:ENST00000531469.5_3:exon6:c.C439T:p.R147W</t>
        </is>
      </c>
      <c r="Q181" t="n">
        <v>-1</v>
      </c>
      <c r="R181" t="n">
        <v>-1</v>
      </c>
      <c r="S181" t="n">
        <v>-1</v>
      </c>
      <c r="T181" t="n">
        <v>-1</v>
      </c>
      <c r="U181" t="n">
        <v>-1</v>
      </c>
      <c r="V181" t="inlineStr">
        <is>
          <t>11/12</t>
        </is>
      </c>
      <c r="W181" t="inlineStr">
        <is>
          <t>.</t>
        </is>
      </c>
      <c r="X181" t="inlineStr">
        <is>
          <t>.</t>
        </is>
      </c>
      <c r="Y181" t="inlineStr">
        <is>
          <t>.</t>
        </is>
      </c>
      <c r="Z181" t="inlineStr">
        <is>
          <t>2/7</t>
        </is>
      </c>
      <c r="AA181" t="inlineStr">
        <is>
          <t>Uncertain significance</t>
        </is>
      </c>
      <c r="AB181" t="inlineStr">
        <is>
          <t>.</t>
        </is>
      </c>
      <c r="AC181" t="inlineStr">
        <is>
          <t>.</t>
        </is>
      </c>
      <c r="AD181" t="inlineStr">
        <is>
          <t>82</t>
        </is>
      </c>
      <c r="AE181" t="inlineStr">
        <is>
          <t>0.655184958473335</t>
        </is>
      </c>
      <c r="AF181" t="inlineStr">
        <is>
          <t>C-terminal binding protein 2</t>
        </is>
      </c>
      <c r="AG181" t="inlineStr">
        <is>
          <t xml:space="preserve">FUNCTION: Corepressor targeting diverse transcription regulators. Functions in brown adipose tissue (BAT) differentiation (By similarity). {ECO:0000250}.; </t>
        </is>
      </c>
      <c r="AH181" t="inlineStr">
        <is>
          <t>.</t>
        </is>
      </c>
      <c r="AI181" t="inlineStr">
        <is>
          <t>.</t>
        </is>
      </c>
      <c r="AJ181" t="inlineStr">
        <is>
          <t>.</t>
        </is>
      </c>
      <c r="AK181" t="inlineStr">
        <is>
          <t>.</t>
        </is>
      </c>
      <c r="AL181" t="inlineStr">
        <is>
          <t>.</t>
        </is>
      </c>
    </row>
    <row r="182">
      <c r="A182" t="inlineStr"/>
      <c r="B182">
        <f>HYPERLINK("https://genome.ucsc.edu/cgi-bin/hgTracks?db=hg19&amp;position=chr10%3A126686665%2D126686665", "chr10:126686665")</f>
        <v/>
      </c>
      <c r="C182" t="inlineStr">
        <is>
          <t>chr10</t>
        </is>
      </c>
      <c r="D182" t="n">
        <v>126686665</v>
      </c>
      <c r="E182" t="n">
        <v>126686665</v>
      </c>
      <c r="F182" t="inlineStr">
        <is>
          <t>G</t>
        </is>
      </c>
      <c r="G182" t="inlineStr">
        <is>
          <t>T</t>
        </is>
      </c>
      <c r="H182" t="inlineStr">
        <is>
          <t>2382.64</t>
        </is>
      </c>
      <c r="I182" t="inlineStr">
        <is>
          <t>133</t>
        </is>
      </c>
      <c r="J182" t="inlineStr">
        <is>
          <t>71,62</t>
        </is>
      </c>
      <c r="K182" t="inlineStr">
        <is>
          <t>.</t>
        </is>
      </c>
      <c r="L182">
        <f>HYPERLINK("https://www.ncbi.nlm.nih.gov/snp/rs77909283", "rs77909283")</f>
        <v/>
      </c>
      <c r="M182">
        <f>HYPERLINK("https://www.genecards.org/Search/Keyword?queryString=%5Baliases%5D(%20CTBP2%20)&amp;keywords=CTBP2", "CTBP2")</f>
        <v/>
      </c>
      <c r="N182" t="inlineStr">
        <is>
          <t>exonic</t>
        </is>
      </c>
      <c r="O182" t="inlineStr">
        <is>
          <t>nonsynonymous SNV</t>
        </is>
      </c>
      <c r="P182" t="inlineStr">
        <is>
          <t>CTBP2:NM_001363508:exon4:c.C637A:p.L213M,CTBP2:NM_022802:exon4:c.C2053A:p.L685M,CTBP2:NM_001321013:exon5:c.C433A:p.L145M,CTBP2:NM_001083914:exon6:c.C433A:p.L145M,CTBP2:NM_001290214:exon6:c.C433A:p.L145M,CTBP2:NM_001290215:exon6:c.C433A:p.L145M,CTBP2:NM_001321012:exon6:c.C433A:p.L145M,CTBP2:NM_001321014:exon6:c.C433A:p.L145M,CTBP2:NM_001329:exon6:c.C433A:p.L145M;CTBP2:uc001lid.4:exon4:c.C637A:p.L213M,CTBP2:uc001lie.4:exon4:c.C2053A:p.L685M,CTBP2:uc001lif.4:exon6:c.C433A:p.L145M,CTBP2:uc001lih.4:exon6:c.C433A:p.L145M,CTBP2:uc009yak.3:exon6:c.C433A:p.L145M,CTBP2:uc009yal.3:exon6:c.C433A:p.L145M;CTBP2:ENST00000309035.11_5:exon4:c.C2053A:p.L685M,CTBP2:ENST00000334808.10_4:exon4:c.C637A:p.L213M,CTBP2:ENST00000337195.9_3:exon6:c.C433A:p.L145M,CTBP2:ENST00000411419.6_3:exon6:c.C433A:p.L145M,CTBP2:ENST00000494626.6_3:exon6:c.C433A:p.L145M,CTBP2:ENST00000531469.5_3:exon6:c.C433A:p.L145M</t>
        </is>
      </c>
      <c r="Q182" t="n">
        <v>1.29e-05</v>
      </c>
      <c r="R182" t="n">
        <v>-1</v>
      </c>
      <c r="S182" t="n">
        <v>-1</v>
      </c>
      <c r="T182" t="n">
        <v>-1</v>
      </c>
      <c r="U182" t="n">
        <v>-1</v>
      </c>
      <c r="V182" t="inlineStr">
        <is>
          <t>7/12</t>
        </is>
      </c>
      <c r="W182" t="inlineStr">
        <is>
          <t>.</t>
        </is>
      </c>
      <c r="X182" t="inlineStr">
        <is>
          <t>.</t>
        </is>
      </c>
      <c r="Y182" t="inlineStr">
        <is>
          <t>.</t>
        </is>
      </c>
      <c r="Z182" t="inlineStr">
        <is>
          <t>3/7</t>
        </is>
      </c>
      <c r="AA182" t="inlineStr">
        <is>
          <t>Uncertain significance</t>
        </is>
      </c>
      <c r="AB182" t="inlineStr">
        <is>
          <t>.</t>
        </is>
      </c>
      <c r="AC182" t="inlineStr">
        <is>
          <t>.</t>
        </is>
      </c>
      <c r="AD182" t="inlineStr">
        <is>
          <t>82</t>
        </is>
      </c>
      <c r="AE182" t="inlineStr">
        <is>
          <t>0.655184958473335</t>
        </is>
      </c>
      <c r="AF182" t="inlineStr">
        <is>
          <t>C-terminal binding protein 2</t>
        </is>
      </c>
      <c r="AG182" t="inlineStr">
        <is>
          <t xml:space="preserve">FUNCTION: Corepressor targeting diverse transcription regulators. Functions in brown adipose tissue (BAT) differentiation (By similarity). {ECO:0000250}.; </t>
        </is>
      </c>
      <c r="AH182" t="inlineStr">
        <is>
          <t>.</t>
        </is>
      </c>
      <c r="AI182" t="inlineStr">
        <is>
          <t>.</t>
        </is>
      </c>
      <c r="AJ182" t="inlineStr">
        <is>
          <t>.</t>
        </is>
      </c>
      <c r="AK182" t="inlineStr">
        <is>
          <t>.</t>
        </is>
      </c>
      <c r="AL182" t="inlineStr">
        <is>
          <t>.</t>
        </is>
      </c>
    </row>
    <row r="183">
      <c r="A183" t="inlineStr"/>
      <c r="B183">
        <f>HYPERLINK("https://genome.ucsc.edu/cgi-bin/hgTracks?db=hg19&amp;position=chr10%3A126686680%2D126686680", "chr10:126686680")</f>
        <v/>
      </c>
      <c r="C183" t="inlineStr">
        <is>
          <t>chr10</t>
        </is>
      </c>
      <c r="D183" t="n">
        <v>126686680</v>
      </c>
      <c r="E183" t="n">
        <v>126686680</v>
      </c>
      <c r="F183" t="inlineStr">
        <is>
          <t>A</t>
        </is>
      </c>
      <c r="G183" t="inlineStr">
        <is>
          <t>C</t>
        </is>
      </c>
      <c r="H183" t="inlineStr">
        <is>
          <t>2835.64</t>
        </is>
      </c>
      <c r="I183" t="inlineStr">
        <is>
          <t>132</t>
        </is>
      </c>
      <c r="J183" t="inlineStr">
        <is>
          <t>60,72</t>
        </is>
      </c>
      <c r="K183" t="inlineStr">
        <is>
          <t>.</t>
        </is>
      </c>
      <c r="L183">
        <f>HYPERLINK("https://www.ncbi.nlm.nih.gov/snp/rs796159102", "rs796159102")</f>
        <v/>
      </c>
      <c r="M183">
        <f>HYPERLINK("https://www.genecards.org/Search/Keyword?queryString=%5Baliases%5D(%20CTBP2%20)&amp;keywords=CTBP2", "CTBP2")</f>
        <v/>
      </c>
      <c r="N183" t="inlineStr">
        <is>
          <t>exonic</t>
        </is>
      </c>
      <c r="O183" t="inlineStr">
        <is>
          <t>nonsynonymous SNV</t>
        </is>
      </c>
      <c r="P183" t="inlineStr">
        <is>
          <t>CTBP2:NM_001363508:exon4:c.T622G:p.C208G,CTBP2:NM_022802:exon4:c.T2038G:p.C680G,CTBP2:NM_001321013:exon5:c.T418G:p.C140G,CTBP2:NM_001083914:exon6:c.T418G:p.C140G,CTBP2:NM_001290214:exon6:c.T418G:p.C140G,CTBP2:NM_001290215:exon6:c.T418G:p.C140G,CTBP2:NM_001321012:exon6:c.T418G:p.C140G,CTBP2:NM_001321014:exon6:c.T418G:p.C140G,CTBP2:NM_001329:exon6:c.T418G:p.C140G;CTBP2:uc001lid.4:exon4:c.T622G:p.C208G,CTBP2:uc001lie.4:exon4:c.T2038G:p.C680G,CTBP2:uc001lif.4:exon6:c.T418G:p.C140G,CTBP2:uc001lih.4:exon6:c.T418G:p.C140G,CTBP2:uc009yak.3:exon6:c.T418G:p.C140G,CTBP2:uc009yal.3:exon6:c.T418G:p.C140G;CTBP2:ENST00000309035.11_5:exon4:c.T2038G:p.C680G,CTBP2:ENST00000334808.10_4:exon4:c.T622G:p.C208G,CTBP2:ENST00000337195.9_3:exon6:c.T418G:p.C140G,CTBP2:ENST00000411419.6_3:exon6:c.T418G:p.C140G,CTBP2:ENST00000494626.6_3:exon6:c.T418G:p.C140G,CTBP2:ENST00000531469.5_3:exon6:c.T418G:p.C140G</t>
        </is>
      </c>
      <c r="Q183" t="n">
        <v>-1</v>
      </c>
      <c r="R183" t="n">
        <v>-1</v>
      </c>
      <c r="S183" t="n">
        <v>-1</v>
      </c>
      <c r="T183" t="n">
        <v>-1</v>
      </c>
      <c r="U183" t="n">
        <v>-1</v>
      </c>
      <c r="V183" t="inlineStr">
        <is>
          <t>5/12</t>
        </is>
      </c>
      <c r="W183" t="inlineStr">
        <is>
          <t>.</t>
        </is>
      </c>
      <c r="X183" t="inlineStr">
        <is>
          <t>.</t>
        </is>
      </c>
      <c r="Y183" t="inlineStr">
        <is>
          <t>.</t>
        </is>
      </c>
      <c r="Z183" t="inlineStr">
        <is>
          <t>3/7</t>
        </is>
      </c>
      <c r="AA183" t="inlineStr">
        <is>
          <t>Uncertain significance</t>
        </is>
      </c>
      <c r="AB183" t="inlineStr">
        <is>
          <t>.</t>
        </is>
      </c>
      <c r="AC183" t="inlineStr">
        <is>
          <t>.</t>
        </is>
      </c>
      <c r="AD183" t="inlineStr">
        <is>
          <t>82</t>
        </is>
      </c>
      <c r="AE183" t="inlineStr">
        <is>
          <t>0.655184958473335</t>
        </is>
      </c>
      <c r="AF183" t="inlineStr">
        <is>
          <t>C-terminal binding protein 2</t>
        </is>
      </c>
      <c r="AG183" t="inlineStr">
        <is>
          <t xml:space="preserve">FUNCTION: Corepressor targeting diverse transcription regulators. Functions in brown adipose tissue (BAT) differentiation (By similarity). {ECO:0000250}.; </t>
        </is>
      </c>
      <c r="AH183" t="inlineStr">
        <is>
          <t>.</t>
        </is>
      </c>
      <c r="AI183" t="inlineStr">
        <is>
          <t>.</t>
        </is>
      </c>
      <c r="AJ183" t="inlineStr">
        <is>
          <t>.</t>
        </is>
      </c>
      <c r="AK183" t="inlineStr">
        <is>
          <t>.</t>
        </is>
      </c>
      <c r="AL183" t="inlineStr">
        <is>
          <t>.</t>
        </is>
      </c>
    </row>
    <row r="184">
      <c r="A184" t="inlineStr"/>
      <c r="B184">
        <f>HYPERLINK("https://genome.ucsc.edu/cgi-bin/hgTracks?db=hg19&amp;position=chr10%3A126686682%2D126686682", "chr10:126686682")</f>
        <v/>
      </c>
      <c r="C184" t="inlineStr">
        <is>
          <t>chr10</t>
        </is>
      </c>
      <c r="D184" t="n">
        <v>126686682</v>
      </c>
      <c r="E184" t="n">
        <v>126686682</v>
      </c>
      <c r="F184" t="inlineStr">
        <is>
          <t>A</t>
        </is>
      </c>
      <c r="G184" t="inlineStr">
        <is>
          <t>G</t>
        </is>
      </c>
      <c r="H184" t="inlineStr">
        <is>
          <t>4221.10</t>
        </is>
      </c>
      <c r="I184" t="inlineStr">
        <is>
          <t>103</t>
        </is>
      </c>
      <c r="J184" t="inlineStr">
        <is>
          <t>1,56,46</t>
        </is>
      </c>
      <c r="K184" t="inlineStr">
        <is>
          <t>.</t>
        </is>
      </c>
      <c r="L184">
        <f>HYPERLINK("https://www.ncbi.nlm.nih.gov/snp/rs376695472", "rs376695472")</f>
        <v/>
      </c>
      <c r="M184">
        <f>HYPERLINK("https://www.genecards.org/Search/Keyword?queryString=%5Baliases%5D(%20CTBP2%20)&amp;keywords=CTBP2", "CTBP2")</f>
        <v/>
      </c>
      <c r="N184" t="inlineStr">
        <is>
          <t>exonic</t>
        </is>
      </c>
      <c r="O184" t="inlineStr">
        <is>
          <t>nonsynonymous SNV</t>
        </is>
      </c>
      <c r="P184" t="inlineStr">
        <is>
          <t>CTBP2:NM_001363508:exon4:c.T620C:p.I207T,CTBP2:NM_022802:exon4:c.T2036C:p.I679T,CTBP2:NM_001321013:exon5:c.T416C:p.I139T,CTBP2:NM_001083914:exon6:c.T416C:p.I139T,CTBP2:NM_001290214:exon6:c.T416C:p.I139T,CTBP2:NM_001290215:exon6:c.T416C:p.I139T,CTBP2:NM_001321012:exon6:c.T416C:p.I139T,CTBP2:NM_001321014:exon6:c.T416C:p.I139T,CTBP2:NM_001329:exon6:c.T416C:p.I139T;CTBP2:uc001lid.4:exon4:c.T620C:p.I207T,CTBP2:uc001lie.4:exon4:c.T2036C:p.I679T,CTBP2:uc001lif.4:exon6:c.T416C:p.I139T,CTBP2:uc001lih.4:exon6:c.T416C:p.I139T,CTBP2:uc009yak.3:exon6:c.T416C:p.I139T,CTBP2:uc009yal.3:exon6:c.T416C:p.I139T;CTBP2:ENST00000309035.11_5:exon4:c.T2036C:p.I679T,CTBP2:ENST00000334808.10_4:exon4:c.T620C:p.I207T,CTBP2:ENST00000337195.9_3:exon6:c.T416C:p.I139T,CTBP2:ENST00000411419.6_3:exon6:c.T416C:p.I139T,CTBP2:ENST00000494626.6_3:exon6:c.T416C:p.I139T,CTBP2:ENST00000531469.5_3:exon6:c.T416C:p.I139T</t>
        </is>
      </c>
      <c r="Q184" t="n">
        <v>6.5e-06</v>
      </c>
      <c r="R184" t="n">
        <v>-1</v>
      </c>
      <c r="S184" t="n">
        <v>-1</v>
      </c>
      <c r="T184" t="n">
        <v>-1</v>
      </c>
      <c r="U184" t="n">
        <v>-1</v>
      </c>
      <c r="V184" t="inlineStr">
        <is>
          <t>6/12</t>
        </is>
      </c>
      <c r="W184" t="inlineStr">
        <is>
          <t>.</t>
        </is>
      </c>
      <c r="X184" t="inlineStr">
        <is>
          <t>.</t>
        </is>
      </c>
      <c r="Y184" t="inlineStr">
        <is>
          <t>.</t>
        </is>
      </c>
      <c r="Z184" t="inlineStr">
        <is>
          <t>3/7</t>
        </is>
      </c>
      <c r="AA184" t="inlineStr">
        <is>
          <t>Uncertain significance</t>
        </is>
      </c>
      <c r="AB184" t="inlineStr">
        <is>
          <t>.</t>
        </is>
      </c>
      <c r="AC184" t="inlineStr">
        <is>
          <t>1/2</t>
        </is>
      </c>
      <c r="AD184" t="inlineStr">
        <is>
          <t>82</t>
        </is>
      </c>
      <c r="AE184" t="inlineStr">
        <is>
          <t>0.655184958473335</t>
        </is>
      </c>
      <c r="AF184" t="inlineStr">
        <is>
          <t>C-terminal binding protein 2</t>
        </is>
      </c>
      <c r="AG184" t="inlineStr">
        <is>
          <t xml:space="preserve">FUNCTION: Corepressor targeting diverse transcription regulators. Functions in brown adipose tissue (BAT) differentiation (By similarity). {ECO:0000250}.; </t>
        </is>
      </c>
      <c r="AH184" t="inlineStr">
        <is>
          <t>.</t>
        </is>
      </c>
      <c r="AI184" t="inlineStr">
        <is>
          <t>.</t>
        </is>
      </c>
      <c r="AJ184" t="inlineStr">
        <is>
          <t>.</t>
        </is>
      </c>
      <c r="AK184" t="inlineStr">
        <is>
          <t>.</t>
        </is>
      </c>
      <c r="AL184" t="inlineStr">
        <is>
          <t>.</t>
        </is>
      </c>
    </row>
    <row r="185">
      <c r="A185" t="inlineStr"/>
      <c r="B185">
        <f>HYPERLINK("https://genome.ucsc.edu/cgi-bin/hgTracks?db=hg19&amp;position=chr10%3A126686682%2D126686682", "chr10:126686682")</f>
        <v/>
      </c>
      <c r="C185" t="inlineStr">
        <is>
          <t>chr10</t>
        </is>
      </c>
      <c r="D185" t="n">
        <v>126686682</v>
      </c>
      <c r="E185" t="n">
        <v>126686682</v>
      </c>
      <c r="F185" t="inlineStr">
        <is>
          <t>A</t>
        </is>
      </c>
      <c r="G185" t="inlineStr">
        <is>
          <t>T</t>
        </is>
      </c>
      <c r="H185" t="inlineStr">
        <is>
          <t>4221.10</t>
        </is>
      </c>
      <c r="I185" t="inlineStr">
        <is>
          <t>103</t>
        </is>
      </c>
      <c r="J185" t="inlineStr">
        <is>
          <t>1,56,46</t>
        </is>
      </c>
      <c r="K185" t="inlineStr">
        <is>
          <t>.</t>
        </is>
      </c>
      <c r="L185">
        <f>HYPERLINK("https://www.ncbi.nlm.nih.gov/snp/rs376695472", "rs376695472")</f>
        <v/>
      </c>
      <c r="M185">
        <f>HYPERLINK("https://www.genecards.org/Search/Keyword?queryString=%5Baliases%5D(%20CTBP2%20)&amp;keywords=CTBP2", "CTBP2")</f>
        <v/>
      </c>
      <c r="N185" t="inlineStr">
        <is>
          <t>exonic</t>
        </is>
      </c>
      <c r="O185" t="inlineStr">
        <is>
          <t>nonsynonymous SNV</t>
        </is>
      </c>
      <c r="P185" t="inlineStr">
        <is>
          <t>CTBP2:NM_001363508:exon4:c.T620A:p.I207N,CTBP2:NM_022802:exon4:c.T2036A:p.I679N,CTBP2:NM_001321013:exon5:c.T416A:p.I139N,CTBP2:NM_001083914:exon6:c.T416A:p.I139N,CTBP2:NM_001290214:exon6:c.T416A:p.I139N,CTBP2:NM_001290215:exon6:c.T416A:p.I139N,CTBP2:NM_001321012:exon6:c.T416A:p.I139N,CTBP2:NM_001321014:exon6:c.T416A:p.I139N,CTBP2:NM_001329:exon6:c.T416A:p.I139N;CTBP2:uc001lid.4:exon4:c.T620A:p.I207N,CTBP2:uc001lie.4:exon4:c.T2036A:p.I679N,CTBP2:uc001lif.4:exon6:c.T416A:p.I139N,CTBP2:uc001lih.4:exon6:c.T416A:p.I139N,CTBP2:uc009yak.3:exon6:c.T416A:p.I139N,CTBP2:uc009yal.3:exon6:c.T416A:p.I139N;CTBP2:ENST00000309035.11_5:exon4:c.T2036A:p.I679N,CTBP2:ENST00000334808.10_4:exon4:c.T620A:p.I207N,CTBP2:ENST00000337195.9_3:exon6:c.T416A:p.I139N,CTBP2:ENST00000411419.6_3:exon6:c.T416A:p.I139N,CTBP2:ENST00000494626.6_3:exon6:c.T416A:p.I139N,CTBP2:ENST00000531469.5_3:exon6:c.T416A:p.I139N</t>
        </is>
      </c>
      <c r="Q185" t="n">
        <v>-1</v>
      </c>
      <c r="R185" t="n">
        <v>-1</v>
      </c>
      <c r="S185" t="n">
        <v>-1</v>
      </c>
      <c r="T185" t="n">
        <v>-1</v>
      </c>
      <c r="U185" t="n">
        <v>-1</v>
      </c>
      <c r="V185" t="inlineStr">
        <is>
          <t>6/12</t>
        </is>
      </c>
      <c r="W185" t="inlineStr">
        <is>
          <t>.</t>
        </is>
      </c>
      <c r="X185" t="inlineStr">
        <is>
          <t>.</t>
        </is>
      </c>
      <c r="Y185" t="inlineStr">
        <is>
          <t>.</t>
        </is>
      </c>
      <c r="Z185" t="inlineStr">
        <is>
          <t>3/7</t>
        </is>
      </c>
      <c r="AA185" t="inlineStr">
        <is>
          <t>Uncertain significance</t>
        </is>
      </c>
      <c r="AB185" t="inlineStr">
        <is>
          <t>.</t>
        </is>
      </c>
      <c r="AC185" t="inlineStr">
        <is>
          <t>1/2</t>
        </is>
      </c>
      <c r="AD185" t="inlineStr">
        <is>
          <t>82</t>
        </is>
      </c>
      <c r="AE185" t="inlineStr">
        <is>
          <t>0.655184958473335</t>
        </is>
      </c>
      <c r="AF185" t="inlineStr">
        <is>
          <t>C-terminal binding protein 2</t>
        </is>
      </c>
      <c r="AG185" t="inlineStr">
        <is>
          <t xml:space="preserve">FUNCTION: Corepressor targeting diverse transcription regulators. Functions in brown adipose tissue (BAT) differentiation (By similarity). {ECO:0000250}.; </t>
        </is>
      </c>
      <c r="AH185" t="inlineStr">
        <is>
          <t>.</t>
        </is>
      </c>
      <c r="AI185" t="inlineStr">
        <is>
          <t>.</t>
        </is>
      </c>
      <c r="AJ185" t="inlineStr">
        <is>
          <t>.</t>
        </is>
      </c>
      <c r="AK185" t="inlineStr">
        <is>
          <t>.</t>
        </is>
      </c>
      <c r="AL185" t="inlineStr">
        <is>
          <t>.</t>
        </is>
      </c>
    </row>
    <row r="186">
      <c r="A186" t="inlineStr"/>
      <c r="B186">
        <f>HYPERLINK("https://genome.ucsc.edu/cgi-bin/hgTracks?db=hg19&amp;position=chr10%3A126686692%2D126686692", "chr10:126686692")</f>
        <v/>
      </c>
      <c r="C186" t="inlineStr">
        <is>
          <t>chr10</t>
        </is>
      </c>
      <c r="D186" t="n">
        <v>126686692</v>
      </c>
      <c r="E186" t="n">
        <v>126686692</v>
      </c>
      <c r="F186" t="inlineStr">
        <is>
          <t>C</t>
        </is>
      </c>
      <c r="G186" t="inlineStr">
        <is>
          <t>T</t>
        </is>
      </c>
      <c r="H186" t="inlineStr">
        <is>
          <t>1332.64</t>
        </is>
      </c>
      <c r="I186" t="inlineStr">
        <is>
          <t>93</t>
        </is>
      </c>
      <c r="J186" t="inlineStr">
        <is>
          <t>57,36</t>
        </is>
      </c>
      <c r="K186" t="inlineStr">
        <is>
          <t>.</t>
        </is>
      </c>
      <c r="L186">
        <f>HYPERLINK("https://www.ncbi.nlm.nih.gov/snp/rs796720401", "rs796720401")</f>
        <v/>
      </c>
      <c r="M186">
        <f>HYPERLINK("https://www.genecards.org/Search/Keyword?queryString=%5Baliases%5D(%20CTBP2%20)&amp;keywords=CTBP2", "CTBP2")</f>
        <v/>
      </c>
      <c r="N186" t="inlineStr">
        <is>
          <t>exonic</t>
        </is>
      </c>
      <c r="O186" t="inlineStr">
        <is>
          <t>nonsynonymous SNV</t>
        </is>
      </c>
      <c r="P186" t="inlineStr">
        <is>
          <t>CTBP2:NM_001363508:exon4:c.G610A:p.D204N,CTBP2:NM_022802:exon4:c.G2026A:p.D676N,CTBP2:NM_001321013:exon5:c.G406A:p.D136N,CTBP2:NM_001083914:exon6:c.G406A:p.D136N,CTBP2:NM_001290214:exon6:c.G406A:p.D136N,CTBP2:NM_001290215:exon6:c.G406A:p.D136N,CTBP2:NM_001321012:exon6:c.G406A:p.D136N,CTBP2:NM_001321014:exon6:c.G406A:p.D136N,CTBP2:NM_001329:exon6:c.G406A:p.D136N;CTBP2:uc001lid.4:exon4:c.G610A:p.D204N,CTBP2:uc001lie.4:exon4:c.G2026A:p.D676N,CTBP2:uc001lif.4:exon6:c.G406A:p.D136N,CTBP2:uc001lih.4:exon6:c.G406A:p.D136N,CTBP2:uc009yak.3:exon6:c.G406A:p.D136N,CTBP2:uc009yal.3:exon6:c.G406A:p.D136N;CTBP2:ENST00000309035.11_5:exon4:c.G2026A:p.D676N,CTBP2:ENST00000334808.10_4:exon4:c.G610A:p.D204N,CTBP2:ENST00000337195.9_3:exon6:c.G406A:p.D136N,CTBP2:ENST00000411419.6_3:exon6:c.G406A:p.D136N,CTBP2:ENST00000494626.6_3:exon6:c.G406A:p.D136N,CTBP2:ENST00000531469.5_3:exon6:c.G406A:p.D136N</t>
        </is>
      </c>
      <c r="Q186" t="n">
        <v>-1</v>
      </c>
      <c r="R186" t="n">
        <v>-1</v>
      </c>
      <c r="S186" t="n">
        <v>-1</v>
      </c>
      <c r="T186" t="n">
        <v>-1</v>
      </c>
      <c r="U186" t="n">
        <v>-1</v>
      </c>
      <c r="V186" t="inlineStr">
        <is>
          <t>11/12</t>
        </is>
      </c>
      <c r="W186" t="inlineStr">
        <is>
          <t>.</t>
        </is>
      </c>
      <c r="X186" t="inlineStr">
        <is>
          <t>.</t>
        </is>
      </c>
      <c r="Y186" t="inlineStr">
        <is>
          <t>.</t>
        </is>
      </c>
      <c r="Z186" t="inlineStr">
        <is>
          <t>3/7</t>
        </is>
      </c>
      <c r="AA186" t="inlineStr">
        <is>
          <t>Uncertain significance</t>
        </is>
      </c>
      <c r="AB186" t="inlineStr">
        <is>
          <t>.</t>
        </is>
      </c>
      <c r="AC186" t="inlineStr">
        <is>
          <t>.</t>
        </is>
      </c>
      <c r="AD186" t="inlineStr">
        <is>
          <t>82</t>
        </is>
      </c>
      <c r="AE186" t="inlineStr">
        <is>
          <t>0.655184958473335</t>
        </is>
      </c>
      <c r="AF186" t="inlineStr">
        <is>
          <t>C-terminal binding protein 2</t>
        </is>
      </c>
      <c r="AG186" t="inlineStr">
        <is>
          <t xml:space="preserve">FUNCTION: Corepressor targeting diverse transcription regulators. Functions in brown adipose tissue (BAT) differentiation (By similarity). {ECO:0000250}.; </t>
        </is>
      </c>
      <c r="AH186" t="inlineStr">
        <is>
          <t>.</t>
        </is>
      </c>
      <c r="AI186" t="inlineStr">
        <is>
          <t>.</t>
        </is>
      </c>
      <c r="AJ186" t="inlineStr">
        <is>
          <t>.</t>
        </is>
      </c>
      <c r="AK186" t="inlineStr">
        <is>
          <t>.</t>
        </is>
      </c>
      <c r="AL186" t="inlineStr">
        <is>
          <t>.</t>
        </is>
      </c>
    </row>
    <row r="187">
      <c r="A187" t="inlineStr"/>
      <c r="B187">
        <f>HYPERLINK("https://genome.ucsc.edu/cgi-bin/hgTracks?db=hg19&amp;position=chr10%3A126691538%2D126691538", "chr10:126691538")</f>
        <v/>
      </c>
      <c r="C187" t="inlineStr">
        <is>
          <t>chr10</t>
        </is>
      </c>
      <c r="D187" t="n">
        <v>126691538</v>
      </c>
      <c r="E187" t="n">
        <v>126691538</v>
      </c>
      <c r="F187" t="inlineStr">
        <is>
          <t>C</t>
        </is>
      </c>
      <c r="G187" t="inlineStr">
        <is>
          <t>T</t>
        </is>
      </c>
      <c r="H187" t="inlineStr">
        <is>
          <t>254.64</t>
        </is>
      </c>
      <c r="I187" t="inlineStr">
        <is>
          <t>67</t>
        </is>
      </c>
      <c r="J187" t="inlineStr">
        <is>
          <t>54,13</t>
        </is>
      </c>
      <c r="K187" t="inlineStr">
        <is>
          <t>.</t>
        </is>
      </c>
      <c r="L187">
        <f>HYPERLINK("https://www.ncbi.nlm.nih.gov/snp/rs76079088", "rs76079088")</f>
        <v/>
      </c>
      <c r="M187">
        <f>HYPERLINK("https://www.genecards.org/Search/Keyword?queryString=%5Baliases%5D(%20CTBP2%20)&amp;keywords=CTBP2", "CTBP2")</f>
        <v/>
      </c>
      <c r="N187" t="inlineStr">
        <is>
          <t>exonic</t>
        </is>
      </c>
      <c r="O187" t="inlineStr">
        <is>
          <t>nonsynonymous SNV</t>
        </is>
      </c>
      <c r="P187" t="inlineStr">
        <is>
          <t>CTBP2:NM_001363508:exon3:c.G553A:p.G185S,CTBP2:NM_022802:exon3:c.G1969A:p.G657S,CTBP2:NM_001321013:exon4:c.G349A:p.G117S,CTBP2:NM_001083914:exon5:c.G349A:p.G117S,CTBP2:NM_001290214:exon5:c.G349A:p.G117S,CTBP2:NM_001290215:exon5:c.G349A:p.G117S,CTBP2:NM_001321012:exon5:c.G349A:p.G117S,CTBP2:NM_001321014:exon5:c.G349A:p.G117S,CTBP2:NM_001329:exon5:c.G349A:p.G117S;CTBP2:uc001lid.4:exon3:c.G553A:p.G185S,CTBP2:uc001lie.4:exon3:c.G1969A:p.G657S,CTBP2:uc001lif.4:exon5:c.G349A:p.G117S,CTBP2:uc001lih.4:exon5:c.G349A:p.G117S,CTBP2:uc009yak.3:exon5:c.G349A:p.G117S,CTBP2:uc009yal.3:exon5:c.G349A:p.G117S;CTBP2:ENST00000309035.11_5:exon3:c.G1969A:p.G657S,CTBP2:ENST00000334808.10_4:exon3:c.G553A:p.G185S,CTBP2:ENST00000337195.9_3:exon5:c.G349A:p.G117S,CTBP2:ENST00000411419.6_3:exon5:c.G349A:p.G117S,CTBP2:ENST00000494626.6_3:exon5:c.G349A:p.G117S,CTBP2:ENST00000531469.5_3:exon5:c.G349A:p.G117S</t>
        </is>
      </c>
      <c r="Q187" t="n">
        <v>1.29e-05</v>
      </c>
      <c r="R187" t="n">
        <v>-1</v>
      </c>
      <c r="S187" t="n">
        <v>-1</v>
      </c>
      <c r="T187" t="n">
        <v>-1</v>
      </c>
      <c r="U187" t="n">
        <v>-1</v>
      </c>
      <c r="V187" t="inlineStr">
        <is>
          <t>6/12</t>
        </is>
      </c>
      <c r="W187" t="inlineStr">
        <is>
          <t>.</t>
        </is>
      </c>
      <c r="X187" t="inlineStr">
        <is>
          <t>.</t>
        </is>
      </c>
      <c r="Y187" t="inlineStr">
        <is>
          <t>.</t>
        </is>
      </c>
      <c r="Z187" t="inlineStr">
        <is>
          <t>4/7</t>
        </is>
      </c>
      <c r="AA187" t="inlineStr">
        <is>
          <t>Uncertain significance</t>
        </is>
      </c>
      <c r="AB187" t="inlineStr">
        <is>
          <t>.</t>
        </is>
      </c>
      <c r="AC187" t="inlineStr">
        <is>
          <t>0/1</t>
        </is>
      </c>
      <c r="AD187" t="inlineStr">
        <is>
          <t>82</t>
        </is>
      </c>
      <c r="AE187" t="inlineStr">
        <is>
          <t>0.655184958473335</t>
        </is>
      </c>
      <c r="AF187" t="inlineStr">
        <is>
          <t>C-terminal binding protein 2</t>
        </is>
      </c>
      <c r="AG187" t="inlineStr">
        <is>
          <t xml:space="preserve">FUNCTION: Corepressor targeting diverse transcription regulators. Functions in brown adipose tissue (BAT) differentiation (By similarity). {ECO:0000250}.; </t>
        </is>
      </c>
      <c r="AH187" t="inlineStr">
        <is>
          <t>.</t>
        </is>
      </c>
      <c r="AI187" t="inlineStr">
        <is>
          <t>.</t>
        </is>
      </c>
      <c r="AJ187" t="inlineStr">
        <is>
          <t>.</t>
        </is>
      </c>
      <c r="AK187" t="inlineStr">
        <is>
          <t>.</t>
        </is>
      </c>
      <c r="AL187" t="inlineStr">
        <is>
          <t>.</t>
        </is>
      </c>
    </row>
    <row r="188">
      <c r="A188" t="inlineStr"/>
      <c r="B188">
        <f>HYPERLINK("https://genome.ucsc.edu/cgi-bin/hgTracks?db=hg19&amp;position=chr10%3A126691552%2D126691552", "chr10:126691552")</f>
        <v/>
      </c>
      <c r="C188" t="inlineStr">
        <is>
          <t>chr10</t>
        </is>
      </c>
      <c r="D188" t="n">
        <v>126691552</v>
      </c>
      <c r="E188" t="n">
        <v>126691552</v>
      </c>
      <c r="F188" t="inlineStr">
        <is>
          <t>T</t>
        </is>
      </c>
      <c r="G188" t="inlineStr">
        <is>
          <t>G</t>
        </is>
      </c>
      <c r="H188" t="inlineStr">
        <is>
          <t>1949.64</t>
        </is>
      </c>
      <c r="I188" t="inlineStr">
        <is>
          <t>90</t>
        </is>
      </c>
      <c r="J188" t="inlineStr">
        <is>
          <t>14,76</t>
        </is>
      </c>
      <c r="K188" t="inlineStr">
        <is>
          <t>.</t>
        </is>
      </c>
      <c r="L188">
        <f>HYPERLINK("https://www.ncbi.nlm.nih.gov/snp/rs796433756", "rs796433756")</f>
        <v/>
      </c>
      <c r="M188">
        <f>HYPERLINK("https://www.genecards.org/Search/Keyword?queryString=%5Baliases%5D(%20CTBP2%20)&amp;keywords=CTBP2", "CTBP2")</f>
        <v/>
      </c>
      <c r="N188" t="inlineStr">
        <is>
          <t>exonic</t>
        </is>
      </c>
      <c r="O188" t="inlineStr">
        <is>
          <t>nonsynonymous SNV</t>
        </is>
      </c>
      <c r="P188" t="inlineStr">
        <is>
          <t>CTBP2:NM_001363508:exon3:c.A539C:p.D180A,CTBP2:NM_022802:exon3:c.A1955C:p.D652A,CTBP2:NM_001321013:exon4:c.A335C:p.D112A,CTBP2:NM_001083914:exon5:c.A335C:p.D112A,CTBP2:NM_001290214:exon5:c.A335C:p.D112A,CTBP2:NM_001290215:exon5:c.A335C:p.D112A,CTBP2:NM_001321012:exon5:c.A335C:p.D112A,CTBP2:NM_001321014:exon5:c.A335C:p.D112A,CTBP2:NM_001329:exon5:c.A335C:p.D112A;CTBP2:uc001lid.4:exon3:c.A539C:p.D180A,CTBP2:uc001lie.4:exon3:c.A1955C:p.D652A,CTBP2:uc001lif.4:exon5:c.A335C:p.D112A,CTBP2:uc001lih.4:exon5:c.A335C:p.D112A,CTBP2:uc009yak.3:exon5:c.A335C:p.D112A,CTBP2:uc009yal.3:exon5:c.A335C:p.D112A;CTBP2:ENST00000309035.11_5:exon3:c.A1955C:p.D652A,CTBP2:ENST00000334808.10_4:exon3:c.A539C:p.D180A,CTBP2:ENST00000337195.9_3:exon5:c.A335C:p.D112A,CTBP2:ENST00000411419.6_3:exon5:c.A335C:p.D112A,CTBP2:ENST00000494626.6_3:exon5:c.A335C:p.D112A,CTBP2:ENST00000531469.5_3:exon5:c.A335C:p.D112A</t>
        </is>
      </c>
      <c r="Q188" t="n">
        <v>-1</v>
      </c>
      <c r="R188" t="n">
        <v>-1</v>
      </c>
      <c r="S188" t="n">
        <v>-1</v>
      </c>
      <c r="T188" t="n">
        <v>-1</v>
      </c>
      <c r="U188" t="n">
        <v>-1</v>
      </c>
      <c r="V188" t="inlineStr">
        <is>
          <t>11/12</t>
        </is>
      </c>
      <c r="W188" t="inlineStr">
        <is>
          <t>.</t>
        </is>
      </c>
      <c r="X188" t="inlineStr">
        <is>
          <t>.</t>
        </is>
      </c>
      <c r="Y188" t="inlineStr">
        <is>
          <t>.</t>
        </is>
      </c>
      <c r="Z188" t="inlineStr">
        <is>
          <t>4/7</t>
        </is>
      </c>
      <c r="AA188" t="inlineStr">
        <is>
          <t>Uncertain significance</t>
        </is>
      </c>
      <c r="AB188" t="inlineStr">
        <is>
          <t>.</t>
        </is>
      </c>
      <c r="AC188" t="inlineStr">
        <is>
          <t>0/1</t>
        </is>
      </c>
      <c r="AD188" t="inlineStr">
        <is>
          <t>82</t>
        </is>
      </c>
      <c r="AE188" t="inlineStr">
        <is>
          <t>0.655184958473335</t>
        </is>
      </c>
      <c r="AF188" t="inlineStr">
        <is>
          <t>C-terminal binding protein 2</t>
        </is>
      </c>
      <c r="AG188" t="inlineStr">
        <is>
          <t xml:space="preserve">FUNCTION: Corepressor targeting diverse transcription regulators. Functions in brown adipose tissue (BAT) differentiation (By similarity). {ECO:0000250}.; </t>
        </is>
      </c>
      <c r="AH188" t="inlineStr">
        <is>
          <t>.</t>
        </is>
      </c>
      <c r="AI188" t="inlineStr">
        <is>
          <t>.</t>
        </is>
      </c>
      <c r="AJ188" t="inlineStr">
        <is>
          <t>.</t>
        </is>
      </c>
      <c r="AK188" t="inlineStr">
        <is>
          <t>.</t>
        </is>
      </c>
      <c r="AL188" t="inlineStr">
        <is>
          <t>.</t>
        </is>
      </c>
    </row>
    <row r="189">
      <c r="A189" t="inlineStr"/>
      <c r="B189">
        <f>HYPERLINK("https://genome.ucsc.edu/cgi-bin/hgTracks?db=hg19&amp;position=chr10%3A126691572%2D126691572", "chr10:126691572")</f>
        <v/>
      </c>
      <c r="C189" t="inlineStr">
        <is>
          <t>chr10</t>
        </is>
      </c>
      <c r="D189" t="n">
        <v>126691572</v>
      </c>
      <c r="E189" t="n">
        <v>126691572</v>
      </c>
      <c r="F189" t="inlineStr">
        <is>
          <t>-</t>
        </is>
      </c>
      <c r="G189" t="inlineStr">
        <is>
          <t>GCCA</t>
        </is>
      </c>
      <c r="H189" t="inlineStr">
        <is>
          <t>781.60</t>
        </is>
      </c>
      <c r="I189" t="inlineStr">
        <is>
          <t>102</t>
        </is>
      </c>
      <c r="J189" t="inlineStr">
        <is>
          <t>63,39</t>
        </is>
      </c>
      <c r="K189" t="inlineStr">
        <is>
          <t>.</t>
        </is>
      </c>
      <c r="L189" t="inlineStr">
        <is>
          <t>.</t>
        </is>
      </c>
      <c r="M189">
        <f>HYPERLINK("https://www.genecards.org/Search/Keyword?queryString=%5Baliases%5D(%20CTBP2%20)&amp;keywords=CTBP2", "CTBP2")</f>
        <v/>
      </c>
      <c r="N189" t="inlineStr">
        <is>
          <t>exonic</t>
        </is>
      </c>
      <c r="O189" t="inlineStr">
        <is>
          <t>frameshift insertion</t>
        </is>
      </c>
      <c r="P189" t="inlineStr">
        <is>
          <t>CTBP2:NM_001363508:exon3:c.518_519insTGGC:p.S174Gfs*5,CTBP2:NM_022802:exon3:c.1934_1935insTGGC:p.S646Gfs*5,CTBP2:NM_001321013:exon4:c.314_315insTGGC:p.S106Gfs*5,CTBP2:NM_001083914:exon5:c.314_315insTGGC:p.S106Gfs*5,CTBP2:NM_001290214:exon5:c.314_315insTGGC:p.S106Gfs*5,CTBP2:NM_001290215:exon5:c.314_315insTGGC:p.S106Gfs*5,CTBP2:NM_001321012:exon5:c.314_315insTGGC:p.S106Gfs*5,CTBP2:NM_001321014:exon5:c.314_315insTGGC:p.S106Gfs*5,CTBP2:NM_001329:exon5:c.314_315insTGGC:p.S106Gfs*5;CTBP2:uc001lid.4:exon3:c.518_519insTGGC:p.S174Gfs*5,CTBP2:uc001lie.4:exon3:c.1934_1935insTGGC:p.S646Gfs*5,CTBP2:uc001lif.4:exon5:c.314_315insTGGC:p.S106Gfs*5,CTBP2:uc001lih.4:exon5:c.314_315insTGGC:p.S106Gfs*5,CTBP2:uc009yak.3:exon5:c.314_315insTGGC:p.S106Gfs*5,CTBP2:uc009yal.3:exon5:c.314_315insTGGC:p.S106Gfs*5;CTBP2:ENST00000309035.11_5:exon3:c.1934_1935insTGGC:p.S646Gfs*5,CTBP2:ENST00000334808.10_4:exon3:c.518_519insTGGC:p.S174Gfs*5,CTBP2:ENST00000337195.9_3:exon5:c.314_315insTGGC:p.S106Gfs*5,CTBP2:ENST00000411419.6_3:exon5:c.314_315insTGGC:p.S106Gfs*5,CTBP2:ENST00000494626.6_3:exon5:c.314_315insTGGC:p.S106Gfs*5,CTBP2:ENST00000531469.5_3:exon5:c.314_315insTGGC:p.S106Gfs*5</t>
        </is>
      </c>
      <c r="Q189" t="n">
        <v>-1</v>
      </c>
      <c r="R189" t="n">
        <v>-1</v>
      </c>
      <c r="S189" t="n">
        <v>-1</v>
      </c>
      <c r="T189" t="n">
        <v>-1</v>
      </c>
      <c r="U189" t="n">
        <v>-1</v>
      </c>
      <c r="V189" t="inlineStr">
        <is>
          <t>.</t>
        </is>
      </c>
      <c r="W189" t="inlineStr">
        <is>
          <t>.</t>
        </is>
      </c>
      <c r="X189" t="inlineStr">
        <is>
          <t>.</t>
        </is>
      </c>
      <c r="Y189" t="inlineStr">
        <is>
          <t>.</t>
        </is>
      </c>
      <c r="Z189" t="inlineStr">
        <is>
          <t>.</t>
        </is>
      </c>
      <c r="AA189" t="inlineStr">
        <is>
          <t>.</t>
        </is>
      </c>
      <c r="AB189" t="inlineStr">
        <is>
          <t>.</t>
        </is>
      </c>
      <c r="AC189" t="inlineStr">
        <is>
          <t>0/1</t>
        </is>
      </c>
      <c r="AD189" t="inlineStr">
        <is>
          <t>82</t>
        </is>
      </c>
      <c r="AE189" t="inlineStr">
        <is>
          <t>0.655184958473335</t>
        </is>
      </c>
      <c r="AF189" t="inlineStr">
        <is>
          <t>C-terminal binding protein 2</t>
        </is>
      </c>
      <c r="AG189" t="inlineStr">
        <is>
          <t xml:space="preserve">FUNCTION: Corepressor targeting diverse transcription regulators. Functions in brown adipose tissue (BAT) differentiation (By similarity). {ECO:0000250}.; </t>
        </is>
      </c>
      <c r="AH189" t="inlineStr">
        <is>
          <t>.</t>
        </is>
      </c>
      <c r="AI189" t="inlineStr">
        <is>
          <t>.</t>
        </is>
      </c>
      <c r="AJ189" t="inlineStr">
        <is>
          <t>.</t>
        </is>
      </c>
      <c r="AK189" t="inlineStr">
        <is>
          <t>.</t>
        </is>
      </c>
      <c r="AL189" t="inlineStr">
        <is>
          <t>.</t>
        </is>
      </c>
    </row>
    <row r="190">
      <c r="A190" t="inlineStr"/>
      <c r="B190">
        <f>HYPERLINK("https://genome.ucsc.edu/cgi-bin/hgTracks?db=hg19&amp;position=chr10%3A126691575%2D126691575", "chr10:126691575")</f>
        <v/>
      </c>
      <c r="C190" t="inlineStr">
        <is>
          <t>chr10</t>
        </is>
      </c>
      <c r="D190" t="n">
        <v>126691575</v>
      </c>
      <c r="E190" t="n">
        <v>126691575</v>
      </c>
      <c r="F190" t="inlineStr">
        <is>
          <t>T</t>
        </is>
      </c>
      <c r="G190" t="inlineStr">
        <is>
          <t>C</t>
        </is>
      </c>
      <c r="H190" t="inlineStr">
        <is>
          <t>4558.06</t>
        </is>
      </c>
      <c r="I190" t="inlineStr">
        <is>
          <t>102</t>
        </is>
      </c>
      <c r="J190" t="inlineStr">
        <is>
          <t>1,62,39</t>
        </is>
      </c>
      <c r="K190" t="inlineStr">
        <is>
          <t>.</t>
        </is>
      </c>
      <c r="L190">
        <f>HYPERLINK("https://www.ncbi.nlm.nih.gov/snp/rs112239066", "rs112239066")</f>
        <v/>
      </c>
      <c r="M190">
        <f>HYPERLINK("https://www.genecards.org/Search/Keyword?queryString=%5Baliases%5D(%20CTBP2%20)&amp;keywords=CTBP2", "CTBP2")</f>
        <v/>
      </c>
      <c r="N190" t="inlineStr">
        <is>
          <t>exonic</t>
        </is>
      </c>
      <c r="O190" t="inlineStr">
        <is>
          <t>nonsynonymous SNV</t>
        </is>
      </c>
      <c r="P190" t="inlineStr">
        <is>
          <t>CTBP2:NM_001363508:exon3:c.A516G:p.I172M,CTBP2:NM_022802:exon3:c.A1932G:p.I644M,CTBP2:NM_001321013:exon4:c.A312G:p.I104M,CTBP2:NM_001083914:exon5:c.A312G:p.I104M,CTBP2:NM_001290214:exon5:c.A312G:p.I104M,CTBP2:NM_001290215:exon5:c.A312G:p.I104M,CTBP2:NM_001321012:exon5:c.A312G:p.I104M,CTBP2:NM_001321014:exon5:c.A312G:p.I104M,CTBP2:NM_001329:exon5:c.A312G:p.I104M;CTBP2:uc001lid.4:exon3:c.A516G:p.I172M,CTBP2:uc001lie.4:exon3:c.A1932G:p.I644M,CTBP2:uc001lif.4:exon5:c.A312G:p.I104M,CTBP2:uc001lih.4:exon5:c.A312G:p.I104M,CTBP2:uc009yak.3:exon5:c.A312G:p.I104M,CTBP2:uc009yal.3:exon5:c.A312G:p.I104M;CTBP2:ENST00000309035.11_5:exon3:c.A1932G:p.I644M,CTBP2:ENST00000334808.10_4:exon3:c.A516G:p.I172M,CTBP2:ENST00000337195.9_3:exon5:c.A312G:p.I104M,CTBP2:ENST00000411419.6_3:exon5:c.A312G:p.I104M,CTBP2:ENST00000494626.6_3:exon5:c.A312G:p.I104M,CTBP2:ENST00000531469.5_3:exon5:c.A312G:p.I104M</t>
        </is>
      </c>
      <c r="Q190" t="n">
        <v>1.94e-05</v>
      </c>
      <c r="R190" t="n">
        <v>-1</v>
      </c>
      <c r="S190" t="n">
        <v>-1</v>
      </c>
      <c r="T190" t="n">
        <v>-1</v>
      </c>
      <c r="U190" t="n">
        <v>-1</v>
      </c>
      <c r="V190" t="inlineStr">
        <is>
          <t>7/12</t>
        </is>
      </c>
      <c r="W190" t="inlineStr">
        <is>
          <t>.</t>
        </is>
      </c>
      <c r="X190" t="inlineStr">
        <is>
          <t>.</t>
        </is>
      </c>
      <c r="Y190" t="inlineStr">
        <is>
          <t>.</t>
        </is>
      </c>
      <c r="Z190" t="inlineStr">
        <is>
          <t>1/7</t>
        </is>
      </c>
      <c r="AA190" t="inlineStr">
        <is>
          <t>Uncertain significance</t>
        </is>
      </c>
      <c r="AB190" t="inlineStr">
        <is>
          <t>.</t>
        </is>
      </c>
      <c r="AC190" t="inlineStr">
        <is>
          <t>1/2</t>
        </is>
      </c>
      <c r="AD190" t="inlineStr">
        <is>
          <t>82</t>
        </is>
      </c>
      <c r="AE190" t="inlineStr">
        <is>
          <t>0.655184958473335</t>
        </is>
      </c>
      <c r="AF190" t="inlineStr">
        <is>
          <t>C-terminal binding protein 2</t>
        </is>
      </c>
      <c r="AG190" t="inlineStr">
        <is>
          <t xml:space="preserve">FUNCTION: Corepressor targeting diverse transcription regulators. Functions in brown adipose tissue (BAT) differentiation (By similarity). {ECO:0000250}.; </t>
        </is>
      </c>
      <c r="AH190" t="inlineStr">
        <is>
          <t>.</t>
        </is>
      </c>
      <c r="AI190" t="inlineStr">
        <is>
          <t>.</t>
        </is>
      </c>
      <c r="AJ190" t="inlineStr">
        <is>
          <t>.</t>
        </is>
      </c>
      <c r="AK190" t="inlineStr">
        <is>
          <t>.</t>
        </is>
      </c>
      <c r="AL190" t="inlineStr">
        <is>
          <t>.</t>
        </is>
      </c>
    </row>
    <row r="191">
      <c r="A191" t="inlineStr"/>
      <c r="B191">
        <f>HYPERLINK("https://genome.ucsc.edu/cgi-bin/hgTracks?db=hg19&amp;position=chr10%3A126691576%2D126691579", "chr10:126691576")</f>
        <v/>
      </c>
      <c r="C191" t="inlineStr">
        <is>
          <t>chr10</t>
        </is>
      </c>
      <c r="D191" t="n">
        <v>126691576</v>
      </c>
      <c r="E191" t="n">
        <v>126691579</v>
      </c>
      <c r="F191" t="inlineStr">
        <is>
          <t>ATCC</t>
        </is>
      </c>
      <c r="G191" t="inlineStr">
        <is>
          <t>-</t>
        </is>
      </c>
      <c r="H191" t="inlineStr">
        <is>
          <t>4558.06</t>
        </is>
      </c>
      <c r="I191" t="inlineStr">
        <is>
          <t>102</t>
        </is>
      </c>
      <c r="J191" t="inlineStr">
        <is>
          <t>1,62,39</t>
        </is>
      </c>
      <c r="K191" t="inlineStr">
        <is>
          <t>.</t>
        </is>
      </c>
      <c r="L191" t="inlineStr">
        <is>
          <t>.</t>
        </is>
      </c>
      <c r="M191">
        <f>HYPERLINK("https://www.genecards.org/Search/Keyword?queryString=%5Baliases%5D(%20CTBP2%20)&amp;keywords=CTBP2", "CTBP2")</f>
        <v/>
      </c>
      <c r="N191" t="inlineStr">
        <is>
          <t>exonic</t>
        </is>
      </c>
      <c r="O191" t="inlineStr">
        <is>
          <t>frameshift deletion</t>
        </is>
      </c>
      <c r="P191" t="inlineStr">
        <is>
          <t>CTBP2:NM_001363508:exon3:c.512_515del:p.R171Qfs*155,CTBP2:NM_022802:exon3:c.1928_1931del:p.R643Qfs*155,CTBP2:NM_001321013:exon4:c.308_311del:p.R103Qfs*155,CTBP2:NM_001083914:exon5:c.308_311del:p.R103Qfs*155,CTBP2:NM_001290214:exon5:c.308_311del:p.R103Qfs*155,CTBP2:NM_001290215:exon5:c.308_311del:p.R103Qfs*155,CTBP2:NM_001321012:exon5:c.308_311del:p.R103Qfs*155,CTBP2:NM_001321014:exon5:c.308_311del:p.R103Qfs*155,CTBP2:NM_001329:exon5:c.308_311del:p.R103Qfs*155;CTBP2:uc001lid.4:exon3:c.512_515del:p.R171Qfs*155,CTBP2:uc001lie.4:exon3:c.1928_1931del:p.R643Qfs*155,CTBP2:uc001lif.4:exon5:c.308_311del:p.R103Qfs*155,CTBP2:uc001lih.4:exon5:c.308_311del:p.R103Qfs*155,CTBP2:uc009yak.3:exon5:c.308_311del:p.R103Qfs*155,CTBP2:uc009yal.3:exon5:c.308_311del:p.R103Qfs*155;CTBP2:ENST00000309035.11_5:exon3:c.1928_1931del:p.R643Qfs*155,CTBP2:ENST00000334808.10_4:exon3:c.512_515del:p.R171Qfs*155,CTBP2:ENST00000337195.9_3:exon5:c.308_311del:p.R103Qfs*155,CTBP2:ENST00000411419.6_3:exon5:c.308_311del:p.R103Qfs*155,CTBP2:ENST00000494626.6_3:exon5:c.308_311del:p.R103Qfs*155,CTBP2:ENST00000531469.5_3:exon5:c.308_311del:p.R103Qfs*155</t>
        </is>
      </c>
      <c r="Q191" t="n">
        <v>-1</v>
      </c>
      <c r="R191" t="n">
        <v>-1</v>
      </c>
      <c r="S191" t="n">
        <v>-1</v>
      </c>
      <c r="T191" t="n">
        <v>-1</v>
      </c>
      <c r="U191" t="n">
        <v>-1</v>
      </c>
      <c r="V191" t="inlineStr">
        <is>
          <t>.</t>
        </is>
      </c>
      <c r="W191" t="inlineStr">
        <is>
          <t>.</t>
        </is>
      </c>
      <c r="X191" t="inlineStr">
        <is>
          <t>.</t>
        </is>
      </c>
      <c r="Y191" t="inlineStr">
        <is>
          <t>.</t>
        </is>
      </c>
      <c r="Z191" t="inlineStr">
        <is>
          <t>.</t>
        </is>
      </c>
      <c r="AA191" t="inlineStr">
        <is>
          <t>.</t>
        </is>
      </c>
      <c r="AB191" t="inlineStr">
        <is>
          <t>.</t>
        </is>
      </c>
      <c r="AC191" t="inlineStr">
        <is>
          <t>1/2</t>
        </is>
      </c>
      <c r="AD191" t="inlineStr">
        <is>
          <t>82</t>
        </is>
      </c>
      <c r="AE191" t="inlineStr">
        <is>
          <t>0.655184958473335</t>
        </is>
      </c>
      <c r="AF191" t="inlineStr">
        <is>
          <t>C-terminal binding protein 2</t>
        </is>
      </c>
      <c r="AG191" t="inlineStr">
        <is>
          <t xml:space="preserve">FUNCTION: Corepressor targeting diverse transcription regulators. Functions in brown adipose tissue (BAT) differentiation (By similarity). {ECO:0000250}.; </t>
        </is>
      </c>
      <c r="AH191" t="inlineStr">
        <is>
          <t>.</t>
        </is>
      </c>
      <c r="AI191" t="inlineStr">
        <is>
          <t>.</t>
        </is>
      </c>
      <c r="AJ191" t="inlineStr">
        <is>
          <t>.</t>
        </is>
      </c>
      <c r="AK191" t="inlineStr">
        <is>
          <t>.</t>
        </is>
      </c>
      <c r="AL191" t="inlineStr">
        <is>
          <t>.</t>
        </is>
      </c>
    </row>
    <row r="192">
      <c r="A192" t="inlineStr"/>
      <c r="B192">
        <f>HYPERLINK("https://genome.ucsc.edu/cgi-bin/hgTracks?db=hg19&amp;position=chr10%3A126691577%2D126691577", "chr10:126691577")</f>
        <v/>
      </c>
      <c r="C192" t="inlineStr">
        <is>
          <t>chr10</t>
        </is>
      </c>
      <c r="D192" t="n">
        <v>126691577</v>
      </c>
      <c r="E192" t="n">
        <v>126691577</v>
      </c>
      <c r="F192" t="inlineStr">
        <is>
          <t>T</t>
        </is>
      </c>
      <c r="G192" t="inlineStr">
        <is>
          <t>C</t>
        </is>
      </c>
      <c r="H192" t="inlineStr">
        <is>
          <t>1920.01</t>
        </is>
      </c>
      <c r="I192" t="inlineStr">
        <is>
          <t>102</t>
        </is>
      </c>
      <c r="J192" t="inlineStr">
        <is>
          <t>1,62,39</t>
        </is>
      </c>
      <c r="K192" t="inlineStr">
        <is>
          <t>.</t>
        </is>
      </c>
      <c r="L192">
        <f>HYPERLINK("https://www.ncbi.nlm.nih.gov/snp/rs112508291", "rs112508291")</f>
        <v/>
      </c>
      <c r="M192">
        <f>HYPERLINK("https://www.genecards.org/Search/Keyword?queryString=%5Baliases%5D(%20CTBP2%20)&amp;keywords=CTBP2", "CTBP2")</f>
        <v/>
      </c>
      <c r="N192" t="inlineStr">
        <is>
          <t>exonic</t>
        </is>
      </c>
      <c r="O192" t="inlineStr">
        <is>
          <t>nonsynonymous SNV</t>
        </is>
      </c>
      <c r="P192" t="inlineStr">
        <is>
          <t>CTBP2:NM_001363508:exon3:c.A514G:p.I172V,CTBP2:NM_022802:exon3:c.A1930G:p.I644V,CTBP2:NM_001321013:exon4:c.A310G:p.I104V,CTBP2:NM_001083914:exon5:c.A310G:p.I104V,CTBP2:NM_001290214:exon5:c.A310G:p.I104V,CTBP2:NM_001290215:exon5:c.A310G:p.I104V,CTBP2:NM_001321012:exon5:c.A310G:p.I104V,CTBP2:NM_001321014:exon5:c.A310G:p.I104V,CTBP2:NM_001329:exon5:c.A310G:p.I104V;CTBP2:uc001lid.4:exon3:c.A514G:p.I172V,CTBP2:uc001lie.4:exon3:c.A1930G:p.I644V,CTBP2:uc001lif.4:exon5:c.A310G:p.I104V,CTBP2:uc001lih.4:exon5:c.A310G:p.I104V,CTBP2:uc009yak.3:exon5:c.A310G:p.I104V,CTBP2:uc009yal.3:exon5:c.A310G:p.I104V;CTBP2:ENST00000309035.11_5:exon3:c.A1930G:p.I644V,CTBP2:ENST00000334808.10_4:exon3:c.A514G:p.I172V,CTBP2:ENST00000337195.9_3:exon5:c.A310G:p.I104V,CTBP2:ENST00000411419.6_3:exon5:c.A310G:p.I104V,CTBP2:ENST00000494626.6_3:exon5:c.A310G:p.I104V,CTBP2:ENST00000531469.5_3:exon5:c.A310G:p.I104V</t>
        </is>
      </c>
      <c r="Q192" t="n">
        <v>1.94e-05</v>
      </c>
      <c r="R192" t="n">
        <v>-1</v>
      </c>
      <c r="S192" t="n">
        <v>-1</v>
      </c>
      <c r="T192" t="n">
        <v>-1</v>
      </c>
      <c r="U192" t="n">
        <v>-1</v>
      </c>
      <c r="V192" t="inlineStr">
        <is>
          <t>4/12</t>
        </is>
      </c>
      <c r="W192" t="inlineStr">
        <is>
          <t>.</t>
        </is>
      </c>
      <c r="X192" t="inlineStr">
        <is>
          <t>.</t>
        </is>
      </c>
      <c r="Y192" t="inlineStr">
        <is>
          <t>.</t>
        </is>
      </c>
      <c r="Z192" t="inlineStr">
        <is>
          <t>4/7</t>
        </is>
      </c>
      <c r="AA192" t="inlineStr">
        <is>
          <t>Uncertain significance</t>
        </is>
      </c>
      <c r="AB192" t="inlineStr">
        <is>
          <t>.</t>
        </is>
      </c>
      <c r="AC192" t="inlineStr">
        <is>
          <t>1/2</t>
        </is>
      </c>
      <c r="AD192" t="inlineStr">
        <is>
          <t>82</t>
        </is>
      </c>
      <c r="AE192" t="inlineStr">
        <is>
          <t>0.655184958473335</t>
        </is>
      </c>
      <c r="AF192" t="inlineStr">
        <is>
          <t>C-terminal binding protein 2</t>
        </is>
      </c>
      <c r="AG192" t="inlineStr">
        <is>
          <t xml:space="preserve">FUNCTION: Corepressor targeting diverse transcription regulators. Functions in brown adipose tissue (BAT) differentiation (By similarity). {ECO:0000250}.; </t>
        </is>
      </c>
      <c r="AH192" t="inlineStr">
        <is>
          <t>.</t>
        </is>
      </c>
      <c r="AI192" t="inlineStr">
        <is>
          <t>.</t>
        </is>
      </c>
      <c r="AJ192" t="inlineStr">
        <is>
          <t>.</t>
        </is>
      </c>
      <c r="AK192" t="inlineStr">
        <is>
          <t>.</t>
        </is>
      </c>
      <c r="AL192" t="inlineStr">
        <is>
          <t>.</t>
        </is>
      </c>
    </row>
    <row r="193">
      <c r="A193" t="inlineStr"/>
      <c r="B193">
        <f>HYPERLINK("https://genome.ucsc.edu/cgi-bin/hgTracks?db=hg19&amp;position=chr10%3A126691580%2D126691580", "chr10:126691580")</f>
        <v/>
      </c>
      <c r="C193" t="inlineStr">
        <is>
          <t>chr10</t>
        </is>
      </c>
      <c r="D193" t="n">
        <v>126691580</v>
      </c>
      <c r="E193" t="n">
        <v>126691580</v>
      </c>
      <c r="F193" t="inlineStr">
        <is>
          <t>G</t>
        </is>
      </c>
      <c r="G193" t="inlineStr">
        <is>
          <t>C</t>
        </is>
      </c>
      <c r="H193" t="inlineStr">
        <is>
          <t>900.64</t>
        </is>
      </c>
      <c r="I193" t="inlineStr">
        <is>
          <t>117</t>
        </is>
      </c>
      <c r="J193" t="inlineStr">
        <is>
          <t>89,28</t>
        </is>
      </c>
      <c r="K193" t="inlineStr">
        <is>
          <t>.</t>
        </is>
      </c>
      <c r="L193">
        <f>HYPERLINK("https://www.ncbi.nlm.nih.gov/snp/rs796470232", "rs796470232")</f>
        <v/>
      </c>
      <c r="M193">
        <f>HYPERLINK("https://www.genecards.org/Search/Keyword?queryString=%5Baliases%5D(%20CTBP2%20)&amp;keywords=CTBP2", "CTBP2")</f>
        <v/>
      </c>
      <c r="N193" t="inlineStr">
        <is>
          <t>exonic</t>
        </is>
      </c>
      <c r="O193" t="inlineStr">
        <is>
          <t>nonsynonymous SNV</t>
        </is>
      </c>
      <c r="P193" t="inlineStr">
        <is>
          <t>CTBP2:NM_001363508:exon3:c.C511G:p.R171G,CTBP2:NM_022802:exon3:c.C1927G:p.R643G,CTBP2:NM_001321013:exon4:c.C307G:p.R103G,CTBP2:NM_001083914:exon5:c.C307G:p.R103G,CTBP2:NM_001290214:exon5:c.C307G:p.R103G,CTBP2:NM_001290215:exon5:c.C307G:p.R103G,CTBP2:NM_001321012:exon5:c.C307G:p.R103G,CTBP2:NM_001321014:exon5:c.C307G:p.R103G,CTBP2:NM_001329:exon5:c.C307G:p.R103G;CTBP2:uc001lid.4:exon3:c.C511G:p.R171G,CTBP2:uc001lie.4:exon3:c.C1927G:p.R643G,CTBP2:uc001lif.4:exon5:c.C307G:p.R103G,CTBP2:uc001lih.4:exon5:c.C307G:p.R103G,CTBP2:uc009yak.3:exon5:c.C307G:p.R103G,CTBP2:uc009yal.3:exon5:c.C307G:p.R103G;CTBP2:ENST00000309035.11_5:exon3:c.C1927G:p.R643G,CTBP2:ENST00000334808.10_4:exon3:c.C511G:p.R171G,CTBP2:ENST00000337195.9_3:exon5:c.C307G:p.R103G,CTBP2:ENST00000411419.6_3:exon5:c.C307G:p.R103G,CTBP2:ENST00000494626.6_3:exon5:c.C307G:p.R103G,CTBP2:ENST00000531469.5_3:exon5:c.C307G:p.R103G</t>
        </is>
      </c>
      <c r="Q193" t="n">
        <v>1.29e-05</v>
      </c>
      <c r="R193" t="n">
        <v>-1</v>
      </c>
      <c r="S193" t="n">
        <v>-1</v>
      </c>
      <c r="T193" t="n">
        <v>-1</v>
      </c>
      <c r="U193" t="n">
        <v>-1</v>
      </c>
      <c r="V193" t="inlineStr">
        <is>
          <t>7/12</t>
        </is>
      </c>
      <c r="W193" t="inlineStr">
        <is>
          <t>.</t>
        </is>
      </c>
      <c r="X193" t="inlineStr">
        <is>
          <t>.</t>
        </is>
      </c>
      <c r="Y193" t="inlineStr">
        <is>
          <t>.</t>
        </is>
      </c>
      <c r="Z193" t="inlineStr">
        <is>
          <t>4/7</t>
        </is>
      </c>
      <c r="AA193" t="inlineStr">
        <is>
          <t>Uncertain significance</t>
        </is>
      </c>
      <c r="AB193" t="inlineStr">
        <is>
          <t>.</t>
        </is>
      </c>
      <c r="AC193" t="inlineStr">
        <is>
          <t>0/1</t>
        </is>
      </c>
      <c r="AD193" t="inlineStr">
        <is>
          <t>82</t>
        </is>
      </c>
      <c r="AE193" t="inlineStr">
        <is>
          <t>0.655184958473335</t>
        </is>
      </c>
      <c r="AF193" t="inlineStr">
        <is>
          <t>C-terminal binding protein 2</t>
        </is>
      </c>
      <c r="AG193" t="inlineStr">
        <is>
          <t xml:space="preserve">FUNCTION: Corepressor targeting diverse transcription regulators. Functions in brown adipose tissue (BAT) differentiation (By similarity). {ECO:0000250}.; </t>
        </is>
      </c>
      <c r="AH193" t="inlineStr">
        <is>
          <t>.</t>
        </is>
      </c>
      <c r="AI193" t="inlineStr">
        <is>
          <t>.</t>
        </is>
      </c>
      <c r="AJ193" t="inlineStr">
        <is>
          <t>.</t>
        </is>
      </c>
      <c r="AK193" t="inlineStr">
        <is>
          <t>.</t>
        </is>
      </c>
      <c r="AL193" t="inlineStr">
        <is>
          <t>.</t>
        </is>
      </c>
    </row>
    <row r="194">
      <c r="A194" t="inlineStr"/>
      <c r="B194">
        <f>HYPERLINK("https://genome.ucsc.edu/cgi-bin/hgTracks?db=hg19&amp;position=chr10%3A126691598%2D126691598", "chr10:126691598")</f>
        <v/>
      </c>
      <c r="C194" t="inlineStr">
        <is>
          <t>chr10</t>
        </is>
      </c>
      <c r="D194" t="n">
        <v>126691598</v>
      </c>
      <c r="E194" t="n">
        <v>126691598</v>
      </c>
      <c r="F194" t="inlineStr">
        <is>
          <t>C</t>
        </is>
      </c>
      <c r="G194" t="inlineStr">
        <is>
          <t>A</t>
        </is>
      </c>
      <c r="H194" t="inlineStr">
        <is>
          <t>128.64</t>
        </is>
      </c>
      <c r="I194" t="inlineStr">
        <is>
          <t>115</t>
        </is>
      </c>
      <c r="J194" t="inlineStr">
        <is>
          <t>100,15</t>
        </is>
      </c>
      <c r="K194" t="inlineStr">
        <is>
          <t>.</t>
        </is>
      </c>
      <c r="L194">
        <f>HYPERLINK("https://www.ncbi.nlm.nih.gov/snp/rs766694674", "rs766694674")</f>
        <v/>
      </c>
      <c r="M194">
        <f>HYPERLINK("https://www.genecards.org/Search/Keyword?queryString=%5Baliases%5D(%20CTBP2%20)&amp;keywords=CTBP2", "CTBP2")</f>
        <v/>
      </c>
      <c r="N194" t="inlineStr">
        <is>
          <t>exonic</t>
        </is>
      </c>
      <c r="O194" t="inlineStr">
        <is>
          <t>nonsynonymous SNV</t>
        </is>
      </c>
      <c r="P194" t="inlineStr">
        <is>
          <t>CTBP2:NM_001363508:exon3:c.G493T:p.A165S,CTBP2:NM_022802:exon3:c.G1909T:p.A637S,CTBP2:NM_001321013:exon4:c.G289T:p.A97S,CTBP2:NM_001083914:exon5:c.G289T:p.A97S,CTBP2:NM_001290214:exon5:c.G289T:p.A97S,CTBP2:NM_001290215:exon5:c.G289T:p.A97S,CTBP2:NM_001321012:exon5:c.G289T:p.A97S,CTBP2:NM_001321014:exon5:c.G289T:p.A97S,CTBP2:NM_001329:exon5:c.G289T:p.A97S;CTBP2:uc001lid.4:exon3:c.G493T:p.A165S,CTBP2:uc001lie.4:exon3:c.G1909T:p.A637S,CTBP2:uc001lif.4:exon5:c.G289T:p.A97S,CTBP2:uc001lih.4:exon5:c.G289T:p.A97S,CTBP2:uc009yak.3:exon5:c.G289T:p.A97S,CTBP2:uc009yal.3:exon5:c.G289T:p.A97S;CTBP2:ENST00000309035.11_5:exon3:c.G1909T:p.A637S,CTBP2:ENST00000334808.10_4:exon3:c.G493T:p.A165S,CTBP2:ENST00000337195.9_3:exon5:c.G289T:p.A97S,CTBP2:ENST00000411419.6_3:exon5:c.G289T:p.A97S,CTBP2:ENST00000494626.6_3:exon5:c.G289T:p.A97S,CTBP2:ENST00000531469.5_3:exon5:c.G289T:p.A97S</t>
        </is>
      </c>
      <c r="Q194" t="n">
        <v>6.5e-06</v>
      </c>
      <c r="R194" t="n">
        <v>-1</v>
      </c>
      <c r="S194" t="n">
        <v>-1</v>
      </c>
      <c r="T194" t="n">
        <v>-1</v>
      </c>
      <c r="U194" t="n">
        <v>-1</v>
      </c>
      <c r="V194" t="inlineStr">
        <is>
          <t>6/12</t>
        </is>
      </c>
      <c r="W194" t="inlineStr">
        <is>
          <t>.</t>
        </is>
      </c>
      <c r="X194" t="inlineStr">
        <is>
          <t>.</t>
        </is>
      </c>
      <c r="Y194" t="inlineStr">
        <is>
          <t>.</t>
        </is>
      </c>
      <c r="Z194" t="inlineStr">
        <is>
          <t>2/7</t>
        </is>
      </c>
      <c r="AA194" t="inlineStr">
        <is>
          <t>Uncertain significance</t>
        </is>
      </c>
      <c r="AB194" t="inlineStr">
        <is>
          <t>.</t>
        </is>
      </c>
      <c r="AC194" t="inlineStr">
        <is>
          <t>.</t>
        </is>
      </c>
      <c r="AD194" t="inlineStr">
        <is>
          <t>82</t>
        </is>
      </c>
      <c r="AE194" t="inlineStr">
        <is>
          <t>0.655184958473335</t>
        </is>
      </c>
      <c r="AF194" t="inlineStr">
        <is>
          <t>C-terminal binding protein 2</t>
        </is>
      </c>
      <c r="AG194" t="inlineStr">
        <is>
          <t xml:space="preserve">FUNCTION: Corepressor targeting diverse transcription regulators. Functions in brown adipose tissue (BAT) differentiation (By similarity). {ECO:0000250}.; </t>
        </is>
      </c>
      <c r="AH194" t="inlineStr">
        <is>
          <t>.</t>
        </is>
      </c>
      <c r="AI194" t="inlineStr">
        <is>
          <t>.</t>
        </is>
      </c>
      <c r="AJ194" t="inlineStr">
        <is>
          <t>.</t>
        </is>
      </c>
      <c r="AK194" t="inlineStr">
        <is>
          <t>.</t>
        </is>
      </c>
      <c r="AL194" t="inlineStr">
        <is>
          <t>.</t>
        </is>
      </c>
    </row>
    <row r="195">
      <c r="A195" t="inlineStr"/>
      <c r="B195">
        <f>HYPERLINK("https://genome.ucsc.edu/cgi-bin/hgTracks?db=hg19&amp;position=chr10%3A126691605%2D126691605", "chr10:126691605")</f>
        <v/>
      </c>
      <c r="C195" t="inlineStr">
        <is>
          <t>chr10</t>
        </is>
      </c>
      <c r="D195" t="n">
        <v>126691605</v>
      </c>
      <c r="E195" t="n">
        <v>126691605</v>
      </c>
      <c r="F195" t="inlineStr">
        <is>
          <t>C</t>
        </is>
      </c>
      <c r="G195" t="inlineStr">
        <is>
          <t>A</t>
        </is>
      </c>
      <c r="H195" t="inlineStr">
        <is>
          <t>5161.06</t>
        </is>
      </c>
      <c r="I195" t="inlineStr">
        <is>
          <t>117</t>
        </is>
      </c>
      <c r="J195" t="inlineStr">
        <is>
          <t>1,116</t>
        </is>
      </c>
      <c r="K195" t="inlineStr">
        <is>
          <t>.</t>
        </is>
      </c>
      <c r="L195">
        <f>HYPERLINK("https://www.ncbi.nlm.nih.gov/snp/rs201760950", "rs201760950")</f>
        <v/>
      </c>
      <c r="M195">
        <f>HYPERLINK("https://www.genecards.org/Search/Keyword?queryString=%5Baliases%5D(%20CTBP2%20)&amp;keywords=CTBP2", "CTBP2")</f>
        <v/>
      </c>
      <c r="N195" t="inlineStr">
        <is>
          <t>exonic</t>
        </is>
      </c>
      <c r="O195" t="inlineStr">
        <is>
          <t>nonsynonymous SNV</t>
        </is>
      </c>
      <c r="P195" t="inlineStr">
        <is>
          <t>CTBP2:NM_001363508:exon3:c.G486T:p.K162N,CTBP2:NM_022802:exon3:c.G1902T:p.K634N,CTBP2:NM_001321013:exon4:c.G282T:p.K94N,CTBP2:NM_001083914:exon5:c.G282T:p.K94N,CTBP2:NM_001290214:exon5:c.G282T:p.K94N,CTBP2:NM_001290215:exon5:c.G282T:p.K94N,CTBP2:NM_001321012:exon5:c.G282T:p.K94N,CTBP2:NM_001321014:exon5:c.G282T:p.K94N,CTBP2:NM_001329:exon5:c.G282T:p.K94N;CTBP2:uc001lid.4:exon3:c.G486T:p.K162N,CTBP2:uc001lie.4:exon3:c.G1902T:p.K634N,CTBP2:uc001lif.4:exon5:c.G282T:p.K94N,CTBP2:uc001lih.4:exon5:c.G282T:p.K94N,CTBP2:uc009yak.3:exon5:c.G282T:p.K94N,CTBP2:uc009yal.3:exon5:c.G282T:p.K94N;CTBP2:ENST00000309035.11_5:exon3:c.G1902T:p.K634N,CTBP2:ENST00000334808.10_4:exon3:c.G486T:p.K162N,CTBP2:ENST00000337195.9_3:exon5:c.G282T:p.K94N,CTBP2:ENST00000411419.6_3:exon5:c.G282T:p.K94N,CTBP2:ENST00000494626.6_3:exon5:c.G282T:p.K94N,CTBP2:ENST00000531469.5_3:exon5:c.G282T:p.K94N</t>
        </is>
      </c>
      <c r="Q195" t="n">
        <v>6.482000000000001e-05</v>
      </c>
      <c r="R195" t="n">
        <v>9.02e-05</v>
      </c>
      <c r="S195" t="n">
        <v>7.343000000000001e-05</v>
      </c>
      <c r="T195" t="n">
        <v>-1</v>
      </c>
      <c r="U195" t="n">
        <v>-1</v>
      </c>
      <c r="V195" t="inlineStr">
        <is>
          <t>6/12</t>
        </is>
      </c>
      <c r="W195" t="inlineStr">
        <is>
          <t>.</t>
        </is>
      </c>
      <c r="X195" t="inlineStr">
        <is>
          <t>.</t>
        </is>
      </c>
      <c r="Y195" t="inlineStr">
        <is>
          <t>.</t>
        </is>
      </c>
      <c r="Z195" t="inlineStr">
        <is>
          <t>2/7</t>
        </is>
      </c>
      <c r="AA195" t="inlineStr">
        <is>
          <t>Uncertain significance</t>
        </is>
      </c>
      <c r="AB195" t="inlineStr">
        <is>
          <t>.</t>
        </is>
      </c>
      <c r="AC195" t="inlineStr">
        <is>
          <t>.</t>
        </is>
      </c>
      <c r="AD195" t="inlineStr">
        <is>
          <t>82</t>
        </is>
      </c>
      <c r="AE195" t="inlineStr">
        <is>
          <t>0.655184958473335</t>
        </is>
      </c>
      <c r="AF195" t="inlineStr">
        <is>
          <t>C-terminal binding protein 2</t>
        </is>
      </c>
      <c r="AG195" t="inlineStr">
        <is>
          <t xml:space="preserve">FUNCTION: Corepressor targeting diverse transcription regulators. Functions in brown adipose tissue (BAT) differentiation (By similarity). {ECO:0000250}.; </t>
        </is>
      </c>
      <c r="AH195" t="inlineStr">
        <is>
          <t>.</t>
        </is>
      </c>
      <c r="AI195" t="inlineStr">
        <is>
          <t>.</t>
        </is>
      </c>
      <c r="AJ195" t="inlineStr">
        <is>
          <t>.</t>
        </is>
      </c>
      <c r="AK195" t="inlineStr">
        <is>
          <t>.</t>
        </is>
      </c>
      <c r="AL195" t="inlineStr">
        <is>
          <t>.</t>
        </is>
      </c>
    </row>
    <row r="196">
      <c r="A196" t="inlineStr"/>
      <c r="B196">
        <f>HYPERLINK("https://genome.ucsc.edu/cgi-bin/hgTracks?db=hg19&amp;position=chr10%3A126691609%2D126691609", "chr10:126691609")</f>
        <v/>
      </c>
      <c r="C196" t="inlineStr">
        <is>
          <t>chr10</t>
        </is>
      </c>
      <c r="D196" t="n">
        <v>126691609</v>
      </c>
      <c r="E196" t="n">
        <v>126691609</v>
      </c>
      <c r="F196" t="inlineStr">
        <is>
          <t>T</t>
        </is>
      </c>
      <c r="G196" t="inlineStr">
        <is>
          <t>G</t>
        </is>
      </c>
      <c r="H196" t="inlineStr">
        <is>
          <t>672.64</t>
        </is>
      </c>
      <c r="I196" t="inlineStr">
        <is>
          <t>118</t>
        </is>
      </c>
      <c r="J196" t="inlineStr">
        <is>
          <t>95,23</t>
        </is>
      </c>
      <c r="K196" t="inlineStr">
        <is>
          <t>.</t>
        </is>
      </c>
      <c r="L196">
        <f>HYPERLINK("https://www.ncbi.nlm.nih.gov/snp/rs796400395", "rs796400395")</f>
        <v/>
      </c>
      <c r="M196">
        <f>HYPERLINK("https://www.genecards.org/Search/Keyword?queryString=%5Baliases%5D(%20CTBP2%20)&amp;keywords=CTBP2", "CTBP2")</f>
        <v/>
      </c>
      <c r="N196" t="inlineStr">
        <is>
          <t>exonic</t>
        </is>
      </c>
      <c r="O196" t="inlineStr">
        <is>
          <t>nonsynonymous SNV</t>
        </is>
      </c>
      <c r="P196" t="inlineStr">
        <is>
          <t>CTBP2:NM_001363508:exon3:c.A482C:p.E161A,CTBP2:NM_022802:exon3:c.A1898C:p.E633A,CTBP2:NM_001321013:exon4:c.A278C:p.E93A,CTBP2:NM_001083914:exon5:c.A278C:p.E93A,CTBP2:NM_001290214:exon5:c.A278C:p.E93A,CTBP2:NM_001290215:exon5:c.A278C:p.E93A,CTBP2:NM_001321012:exon5:c.A278C:p.E93A,CTBP2:NM_001321014:exon5:c.A278C:p.E93A,CTBP2:NM_001329:exon5:c.A278C:p.E93A;CTBP2:uc001lid.4:exon3:c.A482C:p.E161A,CTBP2:uc001lie.4:exon3:c.A1898C:p.E633A,CTBP2:uc001lif.4:exon5:c.A278C:p.E93A,CTBP2:uc001lih.4:exon5:c.A278C:p.E93A,CTBP2:uc009yak.3:exon5:c.A278C:p.E93A,CTBP2:uc009yal.3:exon5:c.A278C:p.E93A;CTBP2:ENST00000309035.11_5:exon3:c.A1898C:p.E633A,CTBP2:ENST00000334808.10_4:exon3:c.A482C:p.E161A,CTBP2:ENST00000337195.9_3:exon5:c.A278C:p.E93A,CTBP2:ENST00000411419.6_3:exon5:c.A278C:p.E93A,CTBP2:ENST00000494626.6_3:exon5:c.A278C:p.E93A,CTBP2:ENST00000531469.5_3:exon5:c.A278C:p.E93A</t>
        </is>
      </c>
      <c r="Q196" t="n">
        <v>-1</v>
      </c>
      <c r="R196" t="n">
        <v>-1</v>
      </c>
      <c r="S196" t="n">
        <v>-1</v>
      </c>
      <c r="T196" t="n">
        <v>-1</v>
      </c>
      <c r="U196" t="n">
        <v>-1</v>
      </c>
      <c r="V196" t="inlineStr">
        <is>
          <t>5/12</t>
        </is>
      </c>
      <c r="W196" t="inlineStr">
        <is>
          <t>.</t>
        </is>
      </c>
      <c r="X196" t="inlineStr">
        <is>
          <t>.</t>
        </is>
      </c>
      <c r="Y196" t="inlineStr">
        <is>
          <t>.</t>
        </is>
      </c>
      <c r="Z196" t="inlineStr">
        <is>
          <t>4/7</t>
        </is>
      </c>
      <c r="AA196" t="inlineStr">
        <is>
          <t>Uncertain significance</t>
        </is>
      </c>
      <c r="AB196" t="inlineStr">
        <is>
          <t>.</t>
        </is>
      </c>
      <c r="AC196" t="inlineStr">
        <is>
          <t>.</t>
        </is>
      </c>
      <c r="AD196" t="inlineStr">
        <is>
          <t>82</t>
        </is>
      </c>
      <c r="AE196" t="inlineStr">
        <is>
          <t>0.655184958473335</t>
        </is>
      </c>
      <c r="AF196" t="inlineStr">
        <is>
          <t>C-terminal binding protein 2</t>
        </is>
      </c>
      <c r="AG196" t="inlineStr">
        <is>
          <t xml:space="preserve">FUNCTION: Corepressor targeting diverse transcription regulators. Functions in brown adipose tissue (BAT) differentiation (By similarity). {ECO:0000250}.; </t>
        </is>
      </c>
      <c r="AH196" t="inlineStr">
        <is>
          <t>.</t>
        </is>
      </c>
      <c r="AI196" t="inlineStr">
        <is>
          <t>.</t>
        </is>
      </c>
      <c r="AJ196" t="inlineStr">
        <is>
          <t>.</t>
        </is>
      </c>
      <c r="AK196" t="inlineStr">
        <is>
          <t>.</t>
        </is>
      </c>
      <c r="AL196" t="inlineStr">
        <is>
          <t>.</t>
        </is>
      </c>
    </row>
    <row r="197">
      <c r="A197" t="inlineStr"/>
      <c r="B197">
        <f>HYPERLINK("https://genome.ucsc.edu/cgi-bin/hgTracks?db=hg19&amp;position=chr10%3A126691615%2D126691615", "chr10:126691615")</f>
        <v/>
      </c>
      <c r="C197" t="inlineStr">
        <is>
          <t>chr10</t>
        </is>
      </c>
      <c r="D197" t="n">
        <v>126691615</v>
      </c>
      <c r="E197" t="n">
        <v>126691615</v>
      </c>
      <c r="F197" t="inlineStr">
        <is>
          <t>T</t>
        </is>
      </c>
      <c r="G197" t="inlineStr">
        <is>
          <t>A</t>
        </is>
      </c>
      <c r="H197" t="inlineStr">
        <is>
          <t>660.64</t>
        </is>
      </c>
      <c r="I197" t="inlineStr">
        <is>
          <t>122</t>
        </is>
      </c>
      <c r="J197" t="inlineStr">
        <is>
          <t>99,23</t>
        </is>
      </c>
      <c r="K197" t="inlineStr">
        <is>
          <t>.</t>
        </is>
      </c>
      <c r="L197">
        <f>HYPERLINK("https://www.ncbi.nlm.nih.gov/snp/rs797010298", "rs797010298")</f>
        <v/>
      </c>
      <c r="M197">
        <f>HYPERLINK("https://www.genecards.org/Search/Keyword?queryString=%5Baliases%5D(%20CTBP2%20)&amp;keywords=CTBP2", "CTBP2")</f>
        <v/>
      </c>
      <c r="N197" t="inlineStr">
        <is>
          <t>exonic</t>
        </is>
      </c>
      <c r="O197" t="inlineStr">
        <is>
          <t>nonsynonymous SNV</t>
        </is>
      </c>
      <c r="P197" t="inlineStr">
        <is>
          <t>CTBP2:NM_001363508:exon3:c.A476T:p.D159V,CTBP2:NM_022802:exon3:c.A1892T:p.D631V,CTBP2:NM_001321013:exon4:c.A272T:p.D91V,CTBP2:NM_001083914:exon5:c.A272T:p.D91V,CTBP2:NM_001290214:exon5:c.A272T:p.D91V,CTBP2:NM_001290215:exon5:c.A272T:p.D91V,CTBP2:NM_001321012:exon5:c.A272T:p.D91V,CTBP2:NM_001321014:exon5:c.A272T:p.D91V,CTBP2:NM_001329:exon5:c.A272T:p.D91V;CTBP2:uc001lid.4:exon3:c.A476T:p.D159V,CTBP2:uc001lie.4:exon3:c.A1892T:p.D631V,CTBP2:uc001lif.4:exon5:c.A272T:p.D91V,CTBP2:uc001lih.4:exon5:c.A272T:p.D91V,CTBP2:uc009yak.3:exon5:c.A272T:p.D91V,CTBP2:uc009yal.3:exon5:c.A272T:p.D91V;CTBP2:ENST00000309035.11_5:exon3:c.A1892T:p.D631V,CTBP2:ENST00000334808.10_4:exon3:c.A476T:p.D159V,CTBP2:ENST00000337195.9_3:exon5:c.A272T:p.D91V,CTBP2:ENST00000411419.6_3:exon5:c.A272T:p.D91V,CTBP2:ENST00000494626.6_3:exon5:c.A272T:p.D91V,CTBP2:ENST00000531469.5_3:exon5:c.A272T:p.D91V</t>
        </is>
      </c>
      <c r="Q197" t="n">
        <v>-1</v>
      </c>
      <c r="R197" t="n">
        <v>-1</v>
      </c>
      <c r="S197" t="n">
        <v>-1</v>
      </c>
      <c r="T197" t="n">
        <v>-1</v>
      </c>
      <c r="U197" t="n">
        <v>-1</v>
      </c>
      <c r="V197" t="inlineStr">
        <is>
          <t>5/12</t>
        </is>
      </c>
      <c r="W197" t="inlineStr">
        <is>
          <t>.</t>
        </is>
      </c>
      <c r="X197" t="inlineStr">
        <is>
          <t>.</t>
        </is>
      </c>
      <c r="Y197" t="inlineStr">
        <is>
          <t>.</t>
        </is>
      </c>
      <c r="Z197" t="inlineStr">
        <is>
          <t>5/7</t>
        </is>
      </c>
      <c r="AA197" t="inlineStr">
        <is>
          <t>Uncertain significance</t>
        </is>
      </c>
      <c r="AB197" t="inlineStr">
        <is>
          <t>.</t>
        </is>
      </c>
      <c r="AC197" t="inlineStr">
        <is>
          <t>.</t>
        </is>
      </c>
      <c r="AD197" t="inlineStr">
        <is>
          <t>82</t>
        </is>
      </c>
      <c r="AE197" t="inlineStr">
        <is>
          <t>0.655184958473335</t>
        </is>
      </c>
      <c r="AF197" t="inlineStr">
        <is>
          <t>C-terminal binding protein 2</t>
        </is>
      </c>
      <c r="AG197" t="inlineStr">
        <is>
          <t xml:space="preserve">FUNCTION: Corepressor targeting diverse transcription regulators. Functions in brown adipose tissue (BAT) differentiation (By similarity). {ECO:0000250}.; </t>
        </is>
      </c>
      <c r="AH197" t="inlineStr">
        <is>
          <t>.</t>
        </is>
      </c>
      <c r="AI197" t="inlineStr">
        <is>
          <t>.</t>
        </is>
      </c>
      <c r="AJ197" t="inlineStr">
        <is>
          <t>.</t>
        </is>
      </c>
      <c r="AK197" t="inlineStr">
        <is>
          <t>.</t>
        </is>
      </c>
      <c r="AL197" t="inlineStr">
        <is>
          <t>.</t>
        </is>
      </c>
    </row>
    <row r="198">
      <c r="A198" t="inlineStr"/>
      <c r="B198">
        <f>HYPERLINK("https://genome.ucsc.edu/cgi-bin/hgTracks?db=hg19&amp;position=chr10%3A126691628%2D126691628", "chr10:126691628")</f>
        <v/>
      </c>
      <c r="C198" t="inlineStr">
        <is>
          <t>chr10</t>
        </is>
      </c>
      <c r="D198" t="n">
        <v>126691628</v>
      </c>
      <c r="E198" t="n">
        <v>126691628</v>
      </c>
      <c r="F198" t="inlineStr">
        <is>
          <t>G</t>
        </is>
      </c>
      <c r="G198" t="inlineStr">
        <is>
          <t>-</t>
        </is>
      </c>
      <c r="H198" t="inlineStr">
        <is>
          <t>570.60</t>
        </is>
      </c>
      <c r="I198" t="inlineStr">
        <is>
          <t>122</t>
        </is>
      </c>
      <c r="J198" t="inlineStr">
        <is>
          <t>101,21</t>
        </is>
      </c>
      <c r="K198" t="inlineStr">
        <is>
          <t>.</t>
        </is>
      </c>
      <c r="L198">
        <f>HYPERLINK("https://www.ncbi.nlm.nih.gov/snp/rs796604157", "rs796604157")</f>
        <v/>
      </c>
      <c r="M198">
        <f>HYPERLINK("https://www.genecards.org/Search/Keyword?queryString=%5Baliases%5D(%20CTBP2%20)&amp;keywords=CTBP2", "CTBP2")</f>
        <v/>
      </c>
      <c r="N198" t="inlineStr">
        <is>
          <t>exonic</t>
        </is>
      </c>
      <c r="O198" t="inlineStr">
        <is>
          <t>frameshift deletion</t>
        </is>
      </c>
      <c r="P198" t="inlineStr">
        <is>
          <t>CTBP2:NM_001363508:exon3:c.463delC:p.L155Sfs*12,CTBP2:NM_022802:exon3:c.1879delC:p.L627Sfs*12,CTBP2:NM_001321013:exon4:c.259delC:p.L87Sfs*12,CTBP2:NM_001083914:exon5:c.259delC:p.L87Sfs*12,CTBP2:NM_001290214:exon5:c.259delC:p.L87Sfs*12,CTBP2:NM_001290215:exon5:c.259delC:p.L87Sfs*12,CTBP2:NM_001321012:exon5:c.259delC:p.L87Sfs*12,CTBP2:NM_001321014:exon5:c.259delC:p.L87Sfs*12,CTBP2:NM_001329:exon5:c.259delC:p.L87Sfs*12;CTBP2:uc001lid.4:exon3:c.463delC:p.L155Sfs*12,CTBP2:uc001lie.4:exon3:c.1879delC:p.L627Sfs*12,CTBP2:uc001lif.4:exon5:c.259delC:p.L87Sfs*12,CTBP2:uc001lih.4:exon5:c.259delC:p.L87Sfs*12,CTBP2:uc009yak.3:exon5:c.259delC:p.L87Sfs*12,CTBP2:uc009yal.3:exon5:c.259delC:p.L87Sfs*12;CTBP2:ENST00000309035.11_5:exon3:c.1879delC:p.L627Sfs*12,CTBP2:ENST00000334808.10_4:exon3:c.463delC:p.L155Sfs*12,CTBP2:ENST00000337195.9_3:exon5:c.259delC:p.L87Sfs*12,CTBP2:ENST00000411419.6_3:exon5:c.259delC:p.L87Sfs*12,CTBP2:ENST00000494626.6_3:exon5:c.259delC:p.L87Sfs*12,CTBP2:ENST00000531469.5_3:exon5:c.259delC:p.L87Sfs*12</t>
        </is>
      </c>
      <c r="Q198" t="n">
        <v>-1</v>
      </c>
      <c r="R198" t="n">
        <v>-1</v>
      </c>
      <c r="S198" t="n">
        <v>-1</v>
      </c>
      <c r="T198" t="n">
        <v>-1</v>
      </c>
      <c r="U198" t="n">
        <v>-1</v>
      </c>
      <c r="V198" t="inlineStr">
        <is>
          <t>.</t>
        </is>
      </c>
      <c r="W198" t="inlineStr">
        <is>
          <t>.</t>
        </is>
      </c>
      <c r="X198" t="inlineStr">
        <is>
          <t>.</t>
        </is>
      </c>
      <c r="Y198" t="inlineStr">
        <is>
          <t>.</t>
        </is>
      </c>
      <c r="Z198" t="inlineStr">
        <is>
          <t>.</t>
        </is>
      </c>
      <c r="AA198" t="inlineStr">
        <is>
          <t>.</t>
        </is>
      </c>
      <c r="AB198" t="inlineStr">
        <is>
          <t>.</t>
        </is>
      </c>
      <c r="AC198" t="inlineStr">
        <is>
          <t>.</t>
        </is>
      </c>
      <c r="AD198" t="inlineStr">
        <is>
          <t>82</t>
        </is>
      </c>
      <c r="AE198" t="inlineStr">
        <is>
          <t>0.655184958473335</t>
        </is>
      </c>
      <c r="AF198" t="inlineStr">
        <is>
          <t>C-terminal binding protein 2</t>
        </is>
      </c>
      <c r="AG198" t="inlineStr">
        <is>
          <t xml:space="preserve">FUNCTION: Corepressor targeting diverse transcription regulators. Functions in brown adipose tissue (BAT) differentiation (By similarity). {ECO:0000250}.; </t>
        </is>
      </c>
      <c r="AH198" t="inlineStr">
        <is>
          <t>.</t>
        </is>
      </c>
      <c r="AI198" t="inlineStr">
        <is>
          <t>.</t>
        </is>
      </c>
      <c r="AJ198" t="inlineStr">
        <is>
          <t>.</t>
        </is>
      </c>
      <c r="AK198" t="inlineStr">
        <is>
          <t>.</t>
        </is>
      </c>
      <c r="AL198" t="inlineStr">
        <is>
          <t>.</t>
        </is>
      </c>
    </row>
    <row r="199">
      <c r="A199" t="inlineStr"/>
      <c r="B199">
        <f>HYPERLINK("https://genome.ucsc.edu/cgi-bin/hgTracks?db=hg19&amp;position=chr10%3A126691631%2D126691631", "chr10:126691631")</f>
        <v/>
      </c>
      <c r="C199" t="inlineStr">
        <is>
          <t>chr10</t>
        </is>
      </c>
      <c r="D199" t="n">
        <v>126691631</v>
      </c>
      <c r="E199" t="n">
        <v>126691631</v>
      </c>
      <c r="F199" t="inlineStr">
        <is>
          <t>T</t>
        </is>
      </c>
      <c r="G199" t="inlineStr">
        <is>
          <t>A</t>
        </is>
      </c>
      <c r="H199" t="inlineStr">
        <is>
          <t>3920.64</t>
        </is>
      </c>
      <c r="I199" t="inlineStr">
        <is>
          <t>119</t>
        </is>
      </c>
      <c r="J199" t="inlineStr">
        <is>
          <t>22,97</t>
        </is>
      </c>
      <c r="K199" t="inlineStr">
        <is>
          <t>.</t>
        </is>
      </c>
      <c r="L199">
        <f>HYPERLINK("https://www.ncbi.nlm.nih.gov/snp/rs3198936", "rs3198936")</f>
        <v/>
      </c>
      <c r="M199">
        <f>HYPERLINK("https://www.genecards.org/Search/Keyword?queryString=%5Baliases%5D(%20CTBP2%20)&amp;keywords=CTBP2", "CTBP2")</f>
        <v/>
      </c>
      <c r="N199" t="inlineStr">
        <is>
          <t>exonic</t>
        </is>
      </c>
      <c r="O199" t="inlineStr">
        <is>
          <t>nonsynonymous SNV</t>
        </is>
      </c>
      <c r="P199" t="inlineStr">
        <is>
          <t>CTBP2:NM_001363508:exon3:c.A460T:p.T154S,CTBP2:NM_022802:exon3:c.A1876T:p.T626S,CTBP2:NM_001321013:exon4:c.A256T:p.T86S,CTBP2:NM_001083914:exon5:c.A256T:p.T86S,CTBP2:NM_001290214:exon5:c.A256T:p.T86S,CTBP2:NM_001290215:exon5:c.A256T:p.T86S,CTBP2:NM_001321012:exon5:c.A256T:p.T86S,CTBP2:NM_001321014:exon5:c.A256T:p.T86S,CTBP2:NM_001329:exon5:c.A256T:p.T86S;CTBP2:uc001lid.4:exon3:c.A460T:p.T154S,CTBP2:uc001lie.4:exon3:c.A1876T:p.T626S,CTBP2:uc001lif.4:exon5:c.A256T:p.T86S,CTBP2:uc001lih.4:exon5:c.A256T:p.T86S,CTBP2:uc009yak.3:exon5:c.A256T:p.T86S,CTBP2:uc009yal.3:exon5:c.A256T:p.T86S;CTBP2:ENST00000309035.11_5:exon3:c.A1876T:p.T626S,CTBP2:ENST00000334808.10_4:exon3:c.A460T:p.T154S,CTBP2:ENST00000337195.9_3:exon5:c.A256T:p.T86S,CTBP2:ENST00000411419.6_3:exon5:c.A256T:p.T86S,CTBP2:ENST00000494626.6_3:exon5:c.A256T:p.T86S,CTBP2:ENST00000531469.5_3:exon5:c.A256T:p.T86S</t>
        </is>
      </c>
      <c r="Q199" t="n">
        <v>3.23e-05</v>
      </c>
      <c r="R199" t="n">
        <v>-1</v>
      </c>
      <c r="S199" t="n">
        <v>-1</v>
      </c>
      <c r="T199" t="n">
        <v>-1</v>
      </c>
      <c r="U199" t="n">
        <v>-1</v>
      </c>
      <c r="V199" t="inlineStr">
        <is>
          <t>6/12</t>
        </is>
      </c>
      <c r="W199" t="inlineStr">
        <is>
          <t>.</t>
        </is>
      </c>
      <c r="X199" t="inlineStr">
        <is>
          <t>.</t>
        </is>
      </c>
      <c r="Y199" t="inlineStr">
        <is>
          <t>.</t>
        </is>
      </c>
      <c r="Z199" t="inlineStr">
        <is>
          <t>3/7</t>
        </is>
      </c>
      <c r="AA199" t="inlineStr">
        <is>
          <t>Uncertain significance</t>
        </is>
      </c>
      <c r="AB199" t="inlineStr">
        <is>
          <t>.</t>
        </is>
      </c>
      <c r="AC199" t="inlineStr">
        <is>
          <t>.</t>
        </is>
      </c>
      <c r="AD199" t="inlineStr">
        <is>
          <t>82</t>
        </is>
      </c>
      <c r="AE199" t="inlineStr">
        <is>
          <t>0.655184958473335</t>
        </is>
      </c>
      <c r="AF199" t="inlineStr">
        <is>
          <t>C-terminal binding protein 2</t>
        </is>
      </c>
      <c r="AG199" t="inlineStr">
        <is>
          <t xml:space="preserve">FUNCTION: Corepressor targeting diverse transcription regulators. Functions in brown adipose tissue (BAT) differentiation (By similarity). {ECO:0000250}.; </t>
        </is>
      </c>
      <c r="AH199" t="inlineStr">
        <is>
          <t>.</t>
        </is>
      </c>
      <c r="AI199" t="inlineStr">
        <is>
          <t>.</t>
        </is>
      </c>
      <c r="AJ199" t="inlineStr">
        <is>
          <t>.</t>
        </is>
      </c>
      <c r="AK199" t="inlineStr">
        <is>
          <t>.</t>
        </is>
      </c>
      <c r="AL199" t="inlineStr">
        <is>
          <t>.</t>
        </is>
      </c>
    </row>
    <row r="200">
      <c r="A200" t="inlineStr"/>
      <c r="B200">
        <f>HYPERLINK("https://genome.ucsc.edu/cgi-bin/hgTracks?db=hg19&amp;position=chr10%3A126691634%2D126691634", "chr10:126691634")</f>
        <v/>
      </c>
      <c r="C200" t="inlineStr">
        <is>
          <t>chr10</t>
        </is>
      </c>
      <c r="D200" t="n">
        <v>126691634</v>
      </c>
      <c r="E200" t="n">
        <v>126691634</v>
      </c>
      <c r="F200" t="inlineStr">
        <is>
          <t>T</t>
        </is>
      </c>
      <c r="G200" t="inlineStr">
        <is>
          <t>A</t>
        </is>
      </c>
      <c r="H200" t="inlineStr">
        <is>
          <t>3841.64</t>
        </is>
      </c>
      <c r="I200" t="inlineStr">
        <is>
          <t>116</t>
        </is>
      </c>
      <c r="J200" t="inlineStr">
        <is>
          <t>22,94</t>
        </is>
      </c>
      <c r="K200" t="inlineStr">
        <is>
          <t>.</t>
        </is>
      </c>
      <c r="L200">
        <f>HYPERLINK("https://www.ncbi.nlm.nih.gov/snp/rs75794788", "rs75794788")</f>
        <v/>
      </c>
      <c r="M200">
        <f>HYPERLINK("https://www.genecards.org/Search/Keyword?queryString=%5Baliases%5D(%20CTBP2%20)&amp;keywords=CTBP2", "CTBP2")</f>
        <v/>
      </c>
      <c r="N200" t="inlineStr">
        <is>
          <t>exonic</t>
        </is>
      </c>
      <c r="O200" t="inlineStr">
        <is>
          <t>nonsynonymous SNV</t>
        </is>
      </c>
      <c r="P200" t="inlineStr">
        <is>
          <t>CTBP2:NM_001363508:exon3:c.A457T:p.I153F,CTBP2:NM_022802:exon3:c.A1873T:p.I625F,CTBP2:NM_001321013:exon4:c.A253T:p.I85F,CTBP2:NM_001083914:exon5:c.A253T:p.I85F,CTBP2:NM_001290214:exon5:c.A253T:p.I85F,CTBP2:NM_001290215:exon5:c.A253T:p.I85F,CTBP2:NM_001321012:exon5:c.A253T:p.I85F,CTBP2:NM_001321014:exon5:c.A253T:p.I85F,CTBP2:NM_001329:exon5:c.A253T:p.I85F;CTBP2:uc001lid.4:exon3:c.A457T:p.I153F,CTBP2:uc001lie.4:exon3:c.A1873T:p.I625F,CTBP2:uc001lif.4:exon5:c.A253T:p.I85F,CTBP2:uc001lih.4:exon5:c.A253T:p.I85F,CTBP2:uc009yak.3:exon5:c.A253T:p.I85F,CTBP2:uc009yal.3:exon5:c.A253T:p.I85F;CTBP2:ENST00000309035.11_5:exon3:c.A1873T:p.I625F,CTBP2:ENST00000334808.10_4:exon3:c.A457T:p.I153F,CTBP2:ENST00000337195.9_3:exon5:c.A253T:p.I85F,CTBP2:ENST00000411419.6_3:exon5:c.A253T:p.I85F,CTBP2:ENST00000494626.6_3:exon5:c.A253T:p.I85F,CTBP2:ENST00000531469.5_3:exon5:c.A253T:p.I85F</t>
        </is>
      </c>
      <c r="Q200" t="n">
        <v>3.23e-05</v>
      </c>
      <c r="R200" t="n">
        <v>-1</v>
      </c>
      <c r="S200" t="n">
        <v>-1</v>
      </c>
      <c r="T200" t="n">
        <v>-1</v>
      </c>
      <c r="U200" t="n">
        <v>-1</v>
      </c>
      <c r="V200" t="inlineStr">
        <is>
          <t>5/12</t>
        </is>
      </c>
      <c r="W200" t="inlineStr">
        <is>
          <t>.</t>
        </is>
      </c>
      <c r="X200" t="inlineStr">
        <is>
          <t>.</t>
        </is>
      </c>
      <c r="Y200" t="inlineStr">
        <is>
          <t>.</t>
        </is>
      </c>
      <c r="Z200" t="inlineStr">
        <is>
          <t>4/7</t>
        </is>
      </c>
      <c r="AA200" t="inlineStr">
        <is>
          <t>Uncertain significance</t>
        </is>
      </c>
      <c r="AB200" t="inlineStr">
        <is>
          <t>.</t>
        </is>
      </c>
      <c r="AC200" t="inlineStr">
        <is>
          <t>.</t>
        </is>
      </c>
      <c r="AD200" t="inlineStr">
        <is>
          <t>82</t>
        </is>
      </c>
      <c r="AE200" t="inlineStr">
        <is>
          <t>0.655184958473335</t>
        </is>
      </c>
      <c r="AF200" t="inlineStr">
        <is>
          <t>C-terminal binding protein 2</t>
        </is>
      </c>
      <c r="AG200" t="inlineStr">
        <is>
          <t xml:space="preserve">FUNCTION: Corepressor targeting diverse transcription regulators. Functions in brown adipose tissue (BAT) differentiation (By similarity). {ECO:0000250}.; </t>
        </is>
      </c>
      <c r="AH200" t="inlineStr">
        <is>
          <t>.</t>
        </is>
      </c>
      <c r="AI200" t="inlineStr">
        <is>
          <t>.</t>
        </is>
      </c>
      <c r="AJ200" t="inlineStr">
        <is>
          <t>.</t>
        </is>
      </c>
      <c r="AK200" t="inlineStr">
        <is>
          <t>.</t>
        </is>
      </c>
      <c r="AL200" t="inlineStr">
        <is>
          <t>.</t>
        </is>
      </c>
    </row>
    <row r="201">
      <c r="A201" t="inlineStr"/>
      <c r="B201">
        <f>HYPERLINK("https://genome.ucsc.edu/cgi-bin/hgTracks?db=hg19&amp;position=chr10%3A126691643%2D126691643", "chr10:126691643")</f>
        <v/>
      </c>
      <c r="C201" t="inlineStr">
        <is>
          <t>chr10</t>
        </is>
      </c>
      <c r="D201" t="n">
        <v>126691643</v>
      </c>
      <c r="E201" t="n">
        <v>126691643</v>
      </c>
      <c r="F201" t="inlineStr">
        <is>
          <t>A</t>
        </is>
      </c>
      <c r="G201" t="inlineStr">
        <is>
          <t>G</t>
        </is>
      </c>
      <c r="H201" t="inlineStr">
        <is>
          <t>588.64</t>
        </is>
      </c>
      <c r="I201" t="inlineStr">
        <is>
          <t>116</t>
        </is>
      </c>
      <c r="J201" t="inlineStr">
        <is>
          <t>95,21</t>
        </is>
      </c>
      <c r="K201" t="inlineStr">
        <is>
          <t>.</t>
        </is>
      </c>
      <c r="L201">
        <f>HYPERLINK("https://www.ncbi.nlm.nih.gov/snp/rs796960419", "rs796960419")</f>
        <v/>
      </c>
      <c r="M201">
        <f>HYPERLINK("https://www.genecards.org/Search/Keyword?queryString=%5Baliases%5D(%20CTBP2%20)&amp;keywords=CTBP2", "CTBP2")</f>
        <v/>
      </c>
      <c r="N201" t="inlineStr">
        <is>
          <t>exonic</t>
        </is>
      </c>
      <c r="O201" t="inlineStr">
        <is>
          <t>nonsynonymous SNV</t>
        </is>
      </c>
      <c r="P201" t="inlineStr">
        <is>
          <t>CTBP2:NM_001363508:exon3:c.T448C:p.Y150H,CTBP2:NM_022802:exon3:c.T1864C:p.Y622H,CTBP2:NM_001321013:exon4:c.T244C:p.Y82H,CTBP2:NM_001083914:exon5:c.T244C:p.Y82H,CTBP2:NM_001290214:exon5:c.T244C:p.Y82H,CTBP2:NM_001290215:exon5:c.T244C:p.Y82H,CTBP2:NM_001321012:exon5:c.T244C:p.Y82H,CTBP2:NM_001321014:exon5:c.T244C:p.Y82H,CTBP2:NM_001329:exon5:c.T244C:p.Y82H;CTBP2:uc001lid.4:exon3:c.T448C:p.Y150H,CTBP2:uc001lie.4:exon3:c.T1864C:p.Y622H,CTBP2:uc001lif.4:exon5:c.T244C:p.Y82H,CTBP2:uc001lih.4:exon5:c.T244C:p.Y82H,CTBP2:uc009yak.3:exon5:c.T244C:p.Y82H,CTBP2:uc009yal.3:exon5:c.T244C:p.Y82H;CTBP2:ENST00000309035.11_5:exon3:c.T1864C:p.Y622H,CTBP2:ENST00000334808.10_4:exon3:c.T448C:p.Y150H,CTBP2:ENST00000337195.9_3:exon5:c.T244C:p.Y82H,CTBP2:ENST00000411419.6_3:exon5:c.T244C:p.Y82H,CTBP2:ENST00000494626.6_3:exon5:c.T244C:p.Y82H,CTBP2:ENST00000531469.5_3:exon5:c.T244C:p.Y82H</t>
        </is>
      </c>
      <c r="Q201" t="n">
        <v>-1</v>
      </c>
      <c r="R201" t="n">
        <v>-1</v>
      </c>
      <c r="S201" t="n">
        <v>-1</v>
      </c>
      <c r="T201" t="n">
        <v>-1</v>
      </c>
      <c r="U201" t="n">
        <v>-1</v>
      </c>
      <c r="V201" t="inlineStr">
        <is>
          <t>5/12</t>
        </is>
      </c>
      <c r="W201" t="inlineStr">
        <is>
          <t>.</t>
        </is>
      </c>
      <c r="X201" t="inlineStr">
        <is>
          <t>.</t>
        </is>
      </c>
      <c r="Y201" t="inlineStr">
        <is>
          <t>.</t>
        </is>
      </c>
      <c r="Z201" t="inlineStr">
        <is>
          <t>4/7</t>
        </is>
      </c>
      <c r="AA201" t="inlineStr">
        <is>
          <t>Uncertain significance</t>
        </is>
      </c>
      <c r="AB201" t="inlineStr">
        <is>
          <t>.</t>
        </is>
      </c>
      <c r="AC201" t="inlineStr">
        <is>
          <t>.</t>
        </is>
      </c>
      <c r="AD201" t="inlineStr">
        <is>
          <t>82</t>
        </is>
      </c>
      <c r="AE201" t="inlineStr">
        <is>
          <t>0.655184958473335</t>
        </is>
      </c>
      <c r="AF201" t="inlineStr">
        <is>
          <t>C-terminal binding protein 2</t>
        </is>
      </c>
      <c r="AG201" t="inlineStr">
        <is>
          <t xml:space="preserve">FUNCTION: Corepressor targeting diverse transcription regulators. Functions in brown adipose tissue (BAT) differentiation (By similarity). {ECO:0000250}.; </t>
        </is>
      </c>
      <c r="AH201" t="inlineStr">
        <is>
          <t>.</t>
        </is>
      </c>
      <c r="AI201" t="inlineStr">
        <is>
          <t>.</t>
        </is>
      </c>
      <c r="AJ201" t="inlineStr">
        <is>
          <t>.</t>
        </is>
      </c>
      <c r="AK201" t="inlineStr">
        <is>
          <t>.</t>
        </is>
      </c>
      <c r="AL201" t="inlineStr">
        <is>
          <t>.</t>
        </is>
      </c>
    </row>
    <row r="202">
      <c r="A202" t="inlineStr"/>
      <c r="B202">
        <f>HYPERLINK("https://genome.ucsc.edu/cgi-bin/hgTracks?db=hg19&amp;position=chr10%3A126691652%2D126691652", "chr10:126691652")</f>
        <v/>
      </c>
      <c r="C202" t="inlineStr">
        <is>
          <t>chr10</t>
        </is>
      </c>
      <c r="D202" t="n">
        <v>126691652</v>
      </c>
      <c r="E202" t="n">
        <v>126691652</v>
      </c>
      <c r="F202" t="inlineStr">
        <is>
          <t>C</t>
        </is>
      </c>
      <c r="G202" t="inlineStr">
        <is>
          <t>G</t>
        </is>
      </c>
      <c r="H202" t="inlineStr">
        <is>
          <t>573.64</t>
        </is>
      </c>
      <c r="I202" t="inlineStr">
        <is>
          <t>106</t>
        </is>
      </c>
      <c r="J202" t="inlineStr">
        <is>
          <t>86,20</t>
        </is>
      </c>
      <c r="K202" t="inlineStr">
        <is>
          <t>.</t>
        </is>
      </c>
      <c r="L202" t="inlineStr">
        <is>
          <t>.</t>
        </is>
      </c>
      <c r="M202">
        <f>HYPERLINK("https://www.genecards.org/Search/Keyword?queryString=%5Baliases%5D(%20CTBP2%20)&amp;keywords=CTBP2", "CTBP2")</f>
        <v/>
      </c>
      <c r="N202" t="inlineStr">
        <is>
          <t>exonic</t>
        </is>
      </c>
      <c r="O202" t="inlineStr">
        <is>
          <t>nonsynonymous SNV</t>
        </is>
      </c>
      <c r="P202" t="inlineStr">
        <is>
          <t>CTBP2:NM_001363508:exon3:c.G439C:p.A147P,CTBP2:NM_022802:exon3:c.G1855C:p.A619P,CTBP2:NM_001321013:exon4:c.G235C:p.A79P,CTBP2:NM_001083914:exon5:c.G235C:p.A79P,CTBP2:NM_001290214:exon5:c.G235C:p.A79P,CTBP2:NM_001290215:exon5:c.G235C:p.A79P,CTBP2:NM_001321012:exon5:c.G235C:p.A79P,CTBP2:NM_001321014:exon5:c.G235C:p.A79P,CTBP2:NM_001329:exon5:c.G235C:p.A79P;CTBP2:uc001lid.4:exon3:c.G439C:p.A147P,CTBP2:uc001lie.4:exon3:c.G1855C:p.A619P,CTBP2:uc001lif.4:exon5:c.G235C:p.A79P,CTBP2:uc001lih.4:exon5:c.G235C:p.A79P,CTBP2:uc009yak.3:exon5:c.G235C:p.A79P,CTBP2:uc009yal.3:exon5:c.G235C:p.A79P;CTBP2:ENST00000309035.11_5:exon3:c.G1855C:p.A619P,CTBP2:ENST00000334808.10_4:exon3:c.G439C:p.A147P,CTBP2:ENST00000337195.9_3:exon5:c.G235C:p.A79P,CTBP2:ENST00000411419.6_3:exon5:c.G235C:p.A79P,CTBP2:ENST00000494626.6_3:exon5:c.G235C:p.A79P,CTBP2:ENST00000531469.5_3:exon5:c.G235C:p.A79P</t>
        </is>
      </c>
      <c r="Q202" t="n">
        <v>-1</v>
      </c>
      <c r="R202" t="n">
        <v>-1</v>
      </c>
      <c r="S202" t="n">
        <v>-1</v>
      </c>
      <c r="T202" t="n">
        <v>-1</v>
      </c>
      <c r="U202" t="n">
        <v>-1</v>
      </c>
      <c r="V202" t="inlineStr">
        <is>
          <t>11/12</t>
        </is>
      </c>
      <c r="W202" t="inlineStr">
        <is>
          <t>.</t>
        </is>
      </c>
      <c r="X202" t="inlineStr">
        <is>
          <t>.</t>
        </is>
      </c>
      <c r="Y202" t="inlineStr">
        <is>
          <t>.</t>
        </is>
      </c>
      <c r="Z202" t="inlineStr">
        <is>
          <t>3/7</t>
        </is>
      </c>
      <c r="AA202" t="inlineStr">
        <is>
          <t>Uncertain significance</t>
        </is>
      </c>
      <c r="AB202" t="inlineStr">
        <is>
          <t>.</t>
        </is>
      </c>
      <c r="AC202" t="inlineStr">
        <is>
          <t>.</t>
        </is>
      </c>
      <c r="AD202" t="inlineStr">
        <is>
          <t>82</t>
        </is>
      </c>
      <c r="AE202" t="inlineStr">
        <is>
          <t>0.655184958473335</t>
        </is>
      </c>
      <c r="AF202" t="inlineStr">
        <is>
          <t>C-terminal binding protein 2</t>
        </is>
      </c>
      <c r="AG202" t="inlineStr">
        <is>
          <t xml:space="preserve">FUNCTION: Corepressor targeting diverse transcription regulators. Functions in brown adipose tissue (BAT) differentiation (By similarity). {ECO:0000250}.; </t>
        </is>
      </c>
      <c r="AH202" t="inlineStr">
        <is>
          <t>.</t>
        </is>
      </c>
      <c r="AI202" t="inlineStr">
        <is>
          <t>.</t>
        </is>
      </c>
      <c r="AJ202" t="inlineStr">
        <is>
          <t>.</t>
        </is>
      </c>
      <c r="AK202" t="inlineStr">
        <is>
          <t>.</t>
        </is>
      </c>
      <c r="AL202" t="inlineStr">
        <is>
          <t>.</t>
        </is>
      </c>
    </row>
    <row r="203">
      <c r="A203" t="inlineStr"/>
      <c r="B203">
        <f>HYPERLINK("https://genome.ucsc.edu/cgi-bin/hgTracks?db=hg19&amp;position=chr10%3A126691660%2D126691660", "chr10:126691660")</f>
        <v/>
      </c>
      <c r="C203" t="inlineStr">
        <is>
          <t>chr10</t>
        </is>
      </c>
      <c r="D203" t="n">
        <v>126691660</v>
      </c>
      <c r="E203" t="n">
        <v>126691660</v>
      </c>
      <c r="F203" t="inlineStr">
        <is>
          <t>G</t>
        </is>
      </c>
      <c r="G203" t="inlineStr">
        <is>
          <t>A</t>
        </is>
      </c>
      <c r="H203" t="inlineStr">
        <is>
          <t>2756.64</t>
        </is>
      </c>
      <c r="I203" t="inlineStr">
        <is>
          <t>99</t>
        </is>
      </c>
      <c r="J203" t="inlineStr">
        <is>
          <t>19,80</t>
        </is>
      </c>
      <c r="K203" t="inlineStr">
        <is>
          <t>.</t>
        </is>
      </c>
      <c r="L203">
        <f>HYPERLINK("https://www.ncbi.nlm.nih.gov/snp/rs3198935", "rs3198935")</f>
        <v/>
      </c>
      <c r="M203">
        <f>HYPERLINK("https://www.genecards.org/Search/Keyword?queryString=%5Baliases%5D(%20CTBP2%20)&amp;keywords=CTBP2", "CTBP2")</f>
        <v/>
      </c>
      <c r="N203" t="inlineStr">
        <is>
          <t>exonic</t>
        </is>
      </c>
      <c r="O203" t="inlineStr">
        <is>
          <t>nonsynonymous SNV</t>
        </is>
      </c>
      <c r="P203" t="inlineStr">
        <is>
          <t>CTBP2:NM_001363508:exon3:c.C431T:p.A144V,CTBP2:NM_022802:exon3:c.C1847T:p.A616V,CTBP2:NM_001321013:exon4:c.C227T:p.A76V,CTBP2:NM_001083914:exon5:c.C227T:p.A76V,CTBP2:NM_001290214:exon5:c.C227T:p.A76V,CTBP2:NM_001290215:exon5:c.C227T:p.A76V,CTBP2:NM_001321012:exon5:c.C227T:p.A76V,CTBP2:NM_001321014:exon5:c.C227T:p.A76V,CTBP2:NM_001329:exon5:c.C227T:p.A76V;CTBP2:uc001lid.4:exon3:c.C431T:p.A144V,CTBP2:uc001lie.4:exon3:c.C1847T:p.A616V,CTBP2:uc001lif.4:exon5:c.C227T:p.A76V,CTBP2:uc001lih.4:exon5:c.C227T:p.A76V,CTBP2:uc009yak.3:exon5:c.C227T:p.A76V,CTBP2:uc009yal.3:exon5:c.C227T:p.A76V;CTBP2:ENST00000309035.11_5:exon3:c.C1847T:p.A616V,CTBP2:ENST00000334808.10_4:exon3:c.C431T:p.A144V,CTBP2:ENST00000337195.9_3:exon5:c.C227T:p.A76V,CTBP2:ENST00000411419.6_3:exon5:c.C227T:p.A76V,CTBP2:ENST00000494626.6_3:exon5:c.C227T:p.A76V,CTBP2:ENST00000531469.5_3:exon5:c.C227T:p.A76V</t>
        </is>
      </c>
      <c r="Q203" t="n">
        <v>2.59e-05</v>
      </c>
      <c r="R203" t="n">
        <v>-1</v>
      </c>
      <c r="S203" t="n">
        <v>-1</v>
      </c>
      <c r="T203" t="n">
        <v>-1</v>
      </c>
      <c r="U203" t="n">
        <v>-1</v>
      </c>
      <c r="V203" t="inlineStr">
        <is>
          <t>7/12</t>
        </is>
      </c>
      <c r="W203" t="inlineStr">
        <is>
          <t>.</t>
        </is>
      </c>
      <c r="X203" t="inlineStr">
        <is>
          <t>.</t>
        </is>
      </c>
      <c r="Y203" t="inlineStr">
        <is>
          <t>.</t>
        </is>
      </c>
      <c r="Z203" t="inlineStr">
        <is>
          <t>3/7</t>
        </is>
      </c>
      <c r="AA203" t="inlineStr">
        <is>
          <t>Uncertain significance</t>
        </is>
      </c>
      <c r="AB203" t="inlineStr">
        <is>
          <t>.</t>
        </is>
      </c>
      <c r="AC203" t="inlineStr">
        <is>
          <t>0/1</t>
        </is>
      </c>
      <c r="AD203" t="inlineStr">
        <is>
          <t>82</t>
        </is>
      </c>
      <c r="AE203" t="inlineStr">
        <is>
          <t>0.655184958473335</t>
        </is>
      </c>
      <c r="AF203" t="inlineStr">
        <is>
          <t>C-terminal binding protein 2</t>
        </is>
      </c>
      <c r="AG203" t="inlineStr">
        <is>
          <t xml:space="preserve">FUNCTION: Corepressor targeting diverse transcription regulators. Functions in brown adipose tissue (BAT) differentiation (By similarity). {ECO:0000250}.; </t>
        </is>
      </c>
      <c r="AH203" t="inlineStr">
        <is>
          <t>.</t>
        </is>
      </c>
      <c r="AI203" t="inlineStr">
        <is>
          <t>GenotypeConflict</t>
        </is>
      </c>
      <c r="AJ203" t="inlineStr">
        <is>
          <t>.</t>
        </is>
      </c>
      <c r="AK203" t="inlineStr">
        <is>
          <t>.</t>
        </is>
      </c>
      <c r="AL203" t="inlineStr">
        <is>
          <t>.</t>
        </is>
      </c>
    </row>
    <row r="204">
      <c r="A204" t="inlineStr"/>
      <c r="B204">
        <f>HYPERLINK("https://genome.ucsc.edu/cgi-bin/hgTracks?db=hg19&amp;position=chr10%3A126691663%2D126691663", "chr10:126691663")</f>
        <v/>
      </c>
      <c r="C204" t="inlineStr">
        <is>
          <t>chr10</t>
        </is>
      </c>
      <c r="D204" t="n">
        <v>126691663</v>
      </c>
      <c r="E204" t="n">
        <v>126691663</v>
      </c>
      <c r="F204" t="inlineStr">
        <is>
          <t>T</t>
        </is>
      </c>
      <c r="G204" t="inlineStr">
        <is>
          <t>C</t>
        </is>
      </c>
      <c r="H204" t="inlineStr">
        <is>
          <t>561.64</t>
        </is>
      </c>
      <c r="I204" t="inlineStr">
        <is>
          <t>95</t>
        </is>
      </c>
      <c r="J204" t="inlineStr">
        <is>
          <t>76,19</t>
        </is>
      </c>
      <c r="K204" t="inlineStr">
        <is>
          <t>.</t>
        </is>
      </c>
      <c r="L204" t="inlineStr">
        <is>
          <t>.</t>
        </is>
      </c>
      <c r="M204">
        <f>HYPERLINK("https://www.genecards.org/Search/Keyword?queryString=%5Baliases%5D(%20CTBP2%20)&amp;keywords=CTBP2", "CTBP2")</f>
        <v/>
      </c>
      <c r="N204" t="inlineStr">
        <is>
          <t>exonic</t>
        </is>
      </c>
      <c r="O204" t="inlineStr">
        <is>
          <t>nonsynonymous SNV</t>
        </is>
      </c>
      <c r="P204" t="inlineStr">
        <is>
          <t>CTBP2:NM_001363508:exon3:c.A428G:p.E143G,CTBP2:NM_022802:exon3:c.A1844G:p.E615G,CTBP2:NM_001321013:exon4:c.A224G:p.E75G,CTBP2:NM_001083914:exon5:c.A224G:p.E75G,CTBP2:NM_001290214:exon5:c.A224G:p.E75G,CTBP2:NM_001290215:exon5:c.A224G:p.E75G,CTBP2:NM_001321012:exon5:c.A224G:p.E75G,CTBP2:NM_001321014:exon5:c.A224G:p.E75G,CTBP2:NM_001329:exon5:c.A224G:p.E75G;CTBP2:uc001lid.4:exon3:c.A428G:p.E143G,CTBP2:uc001lie.4:exon3:c.A1844G:p.E615G,CTBP2:uc001lif.4:exon5:c.A224G:p.E75G,CTBP2:uc001lih.4:exon5:c.A224G:p.E75G,CTBP2:uc009yak.3:exon5:c.A224G:p.E75G,CTBP2:uc009yal.3:exon5:c.A224G:p.E75G;CTBP2:ENST00000309035.11_5:exon3:c.A1844G:p.E615G,CTBP2:ENST00000334808.10_4:exon3:c.A428G:p.E143G,CTBP2:ENST00000337195.9_3:exon5:c.A224G:p.E75G,CTBP2:ENST00000411419.6_3:exon5:c.A224G:p.E75G,CTBP2:ENST00000494626.6_3:exon5:c.A224G:p.E75G,CTBP2:ENST00000531469.5_3:exon5:c.A224G:p.E75G</t>
        </is>
      </c>
      <c r="Q204" t="n">
        <v>-1</v>
      </c>
      <c r="R204" t="n">
        <v>-1</v>
      </c>
      <c r="S204" t="n">
        <v>-1</v>
      </c>
      <c r="T204" t="n">
        <v>-1</v>
      </c>
      <c r="U204" t="n">
        <v>-1</v>
      </c>
      <c r="V204" t="inlineStr">
        <is>
          <t>5/12</t>
        </is>
      </c>
      <c r="W204" t="inlineStr">
        <is>
          <t>.</t>
        </is>
      </c>
      <c r="X204" t="inlineStr">
        <is>
          <t>.</t>
        </is>
      </c>
      <c r="Y204" t="inlineStr">
        <is>
          <t>.</t>
        </is>
      </c>
      <c r="Z204" t="inlineStr">
        <is>
          <t>2/7</t>
        </is>
      </c>
      <c r="AA204" t="inlineStr">
        <is>
          <t>Uncertain significance</t>
        </is>
      </c>
      <c r="AB204" t="inlineStr">
        <is>
          <t>.</t>
        </is>
      </c>
      <c r="AC204" t="inlineStr">
        <is>
          <t>.</t>
        </is>
      </c>
      <c r="AD204" t="inlineStr">
        <is>
          <t>82</t>
        </is>
      </c>
      <c r="AE204" t="inlineStr">
        <is>
          <t>0.655184958473335</t>
        </is>
      </c>
      <c r="AF204" t="inlineStr">
        <is>
          <t>C-terminal binding protein 2</t>
        </is>
      </c>
      <c r="AG204" t="inlineStr">
        <is>
          <t xml:space="preserve">FUNCTION: Corepressor targeting diverse transcription regulators. Functions in brown adipose tissue (BAT) differentiation (By similarity). {ECO:0000250}.; </t>
        </is>
      </c>
      <c r="AH204" t="inlineStr">
        <is>
          <t>.</t>
        </is>
      </c>
      <c r="AI204" t="inlineStr">
        <is>
          <t>.</t>
        </is>
      </c>
      <c r="AJ204" t="inlineStr">
        <is>
          <t>.</t>
        </is>
      </c>
      <c r="AK204" t="inlineStr">
        <is>
          <t>.</t>
        </is>
      </c>
      <c r="AL204" t="inlineStr">
        <is>
          <t>.</t>
        </is>
      </c>
    </row>
    <row r="205">
      <c r="A205" t="inlineStr"/>
      <c r="B205">
        <f>HYPERLINK("https://genome.ucsc.edu/cgi-bin/hgTracks?db=hg19&amp;position=chr10%3A126691664%2D126691664", "chr10:126691664")</f>
        <v/>
      </c>
      <c r="C205" t="inlineStr">
        <is>
          <t>chr10</t>
        </is>
      </c>
      <c r="D205" t="n">
        <v>126691664</v>
      </c>
      <c r="E205" t="n">
        <v>126691664</v>
      </c>
      <c r="F205" t="inlineStr">
        <is>
          <t>C</t>
        </is>
      </c>
      <c r="G205" t="inlineStr">
        <is>
          <t>T</t>
        </is>
      </c>
      <c r="H205" t="inlineStr">
        <is>
          <t>567.64</t>
        </is>
      </c>
      <c r="I205" t="inlineStr">
        <is>
          <t>93</t>
        </is>
      </c>
      <c r="J205" t="inlineStr">
        <is>
          <t>74,19</t>
        </is>
      </c>
      <c r="K205" t="inlineStr">
        <is>
          <t>.</t>
        </is>
      </c>
      <c r="L205" t="inlineStr">
        <is>
          <t>.</t>
        </is>
      </c>
      <c r="M205">
        <f>HYPERLINK("https://www.genecards.org/Search/Keyword?queryString=%5Baliases%5D(%20CTBP2%20)&amp;keywords=CTBP2", "CTBP2")</f>
        <v/>
      </c>
      <c r="N205" t="inlineStr">
        <is>
          <t>exonic</t>
        </is>
      </c>
      <c r="O205" t="inlineStr">
        <is>
          <t>nonsynonymous SNV</t>
        </is>
      </c>
      <c r="P205" t="inlineStr">
        <is>
          <t>CTBP2:NM_001363508:exon3:c.G427A:p.E143K,CTBP2:NM_022802:exon3:c.G1843A:p.E615K,CTBP2:NM_001321013:exon4:c.G223A:p.E75K,CTBP2:NM_001083914:exon5:c.G223A:p.E75K,CTBP2:NM_001290214:exon5:c.G223A:p.E75K,CTBP2:NM_001290215:exon5:c.G223A:p.E75K,CTBP2:NM_001321012:exon5:c.G223A:p.E75K,CTBP2:NM_001321014:exon5:c.G223A:p.E75K,CTBP2:NM_001329:exon5:c.G223A:p.E75K;CTBP2:uc001lid.4:exon3:c.G427A:p.E143K,CTBP2:uc001lie.4:exon3:c.G1843A:p.E615K,CTBP2:uc001lif.4:exon5:c.G223A:p.E75K,CTBP2:uc001lih.4:exon5:c.G223A:p.E75K,CTBP2:uc009yak.3:exon5:c.G223A:p.E75K,CTBP2:uc009yal.3:exon5:c.G223A:p.E75K;CTBP2:ENST00000309035.11_5:exon3:c.G1843A:p.E615K,CTBP2:ENST00000334808.10_4:exon3:c.G427A:p.E143K,CTBP2:ENST00000337195.9_3:exon5:c.G223A:p.E75K,CTBP2:ENST00000411419.6_3:exon5:c.G223A:p.E75K,CTBP2:ENST00000494626.6_3:exon5:c.G223A:p.E75K,CTBP2:ENST00000531469.5_3:exon5:c.G223A:p.E75K</t>
        </is>
      </c>
      <c r="Q205" t="n">
        <v>-1</v>
      </c>
      <c r="R205" t="n">
        <v>-1</v>
      </c>
      <c r="S205" t="n">
        <v>-1</v>
      </c>
      <c r="T205" t="n">
        <v>-1</v>
      </c>
      <c r="U205" t="n">
        <v>-1</v>
      </c>
      <c r="V205" t="inlineStr">
        <is>
          <t>6/12</t>
        </is>
      </c>
      <c r="W205" t="inlineStr">
        <is>
          <t>.</t>
        </is>
      </c>
      <c r="X205" t="inlineStr">
        <is>
          <t>.</t>
        </is>
      </c>
      <c r="Y205" t="inlineStr">
        <is>
          <t>.</t>
        </is>
      </c>
      <c r="Z205" t="inlineStr">
        <is>
          <t>3/7</t>
        </is>
      </c>
      <c r="AA205" t="inlineStr">
        <is>
          <t>Uncertain significance</t>
        </is>
      </c>
      <c r="AB205" t="inlineStr">
        <is>
          <t>.</t>
        </is>
      </c>
      <c r="AC205" t="inlineStr">
        <is>
          <t>.</t>
        </is>
      </c>
      <c r="AD205" t="inlineStr">
        <is>
          <t>82</t>
        </is>
      </c>
      <c r="AE205" t="inlineStr">
        <is>
          <t>0.655184958473335</t>
        </is>
      </c>
      <c r="AF205" t="inlineStr">
        <is>
          <t>C-terminal binding protein 2</t>
        </is>
      </c>
      <c r="AG205" t="inlineStr">
        <is>
          <t xml:space="preserve">FUNCTION: Corepressor targeting diverse transcription regulators. Functions in brown adipose tissue (BAT) differentiation (By similarity). {ECO:0000250}.; </t>
        </is>
      </c>
      <c r="AH205" t="inlineStr">
        <is>
          <t>.</t>
        </is>
      </c>
      <c r="AI205" t="inlineStr">
        <is>
          <t>.</t>
        </is>
      </c>
      <c r="AJ205" t="inlineStr">
        <is>
          <t>.</t>
        </is>
      </c>
      <c r="AK205" t="inlineStr">
        <is>
          <t>.</t>
        </is>
      </c>
      <c r="AL205" t="inlineStr">
        <is>
          <t>.</t>
        </is>
      </c>
    </row>
    <row r="206">
      <c r="A206" t="inlineStr"/>
      <c r="B206">
        <f>HYPERLINK("https://genome.ucsc.edu/cgi-bin/hgTracks?db=hg19&amp;position=chr10%3A126691926%2D126691926", "chr10:126691926")</f>
        <v/>
      </c>
      <c r="C206" t="inlineStr">
        <is>
          <t>chr10</t>
        </is>
      </c>
      <c r="D206" t="n">
        <v>126691926</v>
      </c>
      <c r="E206" t="n">
        <v>126691926</v>
      </c>
      <c r="F206" t="inlineStr">
        <is>
          <t>G</t>
        </is>
      </c>
      <c r="G206" t="inlineStr">
        <is>
          <t>A</t>
        </is>
      </c>
      <c r="H206" t="inlineStr">
        <is>
          <t>859.64</t>
        </is>
      </c>
      <c r="I206" t="inlineStr">
        <is>
          <t>26</t>
        </is>
      </c>
      <c r="J206" t="inlineStr">
        <is>
          <t>5,21</t>
        </is>
      </c>
      <c r="K206" t="inlineStr">
        <is>
          <t>.</t>
        </is>
      </c>
      <c r="L206">
        <f>HYPERLINK("https://www.ncbi.nlm.nih.gov/snp/rs768573864", "rs768573864")</f>
        <v/>
      </c>
      <c r="M206">
        <f>HYPERLINK("https://www.genecards.org/Search/Keyword?queryString=%5Baliases%5D(%20CTBP2%20)&amp;keywords=CTBP2", "CTBP2")</f>
        <v/>
      </c>
      <c r="N206" t="inlineStr">
        <is>
          <t>exonic</t>
        </is>
      </c>
      <c r="O206" t="inlineStr">
        <is>
          <t>nonsynonymous SNV</t>
        </is>
      </c>
      <c r="P206" t="inlineStr">
        <is>
          <t>CTBP2:NM_001363508:exon2:c.C398T:p.T133M,CTBP2:NM_022802:exon2:c.C1814T:p.T605M,CTBP2:NM_001321013:exon3:c.C194T:p.T65M,CTBP2:NM_001083914:exon4:c.C194T:p.T65M,CTBP2:NM_001290214:exon4:c.C194T:p.T65M,CTBP2:NM_001290215:exon4:c.C194T:p.T65M,CTBP2:NM_001321012:exon4:c.C194T:p.T65M,CTBP2:NM_001321014:exon4:c.C194T:p.T65M,CTBP2:NM_001329:exon4:c.C194T:p.T65M;CTBP2:uc001lid.4:exon2:c.C398T:p.T133M,CTBP2:uc001lie.4:exon2:c.C1814T:p.T605M,CTBP2:uc001lif.4:exon4:c.C194T:p.T65M,CTBP2:uc001lih.4:exon4:c.C194T:p.T65M,CTBP2:uc009yak.3:exon4:c.C194T:p.T65M,CTBP2:uc009yal.3:exon4:c.C194T:p.T65M;CTBP2:ENST00000309035.11_5:exon2:c.C1814T:p.T605M,CTBP2:ENST00000334808.10_4:exon2:c.C398T:p.T133M,CTBP2:ENST00000337195.9_3:exon4:c.C194T:p.T65M,CTBP2:ENST00000411419.6_3:exon4:c.C194T:p.T65M,CTBP2:ENST00000494626.6_3:exon4:c.C194T:p.T65M,CTBP2:ENST00000531469.5_3:exon4:c.C194T:p.T65M</t>
        </is>
      </c>
      <c r="Q206" t="n">
        <v>1.29e-05</v>
      </c>
      <c r="R206" t="n">
        <v>-1</v>
      </c>
      <c r="S206" t="n">
        <v>-1</v>
      </c>
      <c r="T206" t="n">
        <v>-1</v>
      </c>
      <c r="U206" t="n">
        <v>-1</v>
      </c>
      <c r="V206" t="inlineStr">
        <is>
          <t>10/12</t>
        </is>
      </c>
      <c r="W206" t="inlineStr">
        <is>
          <t>.</t>
        </is>
      </c>
      <c r="X206" t="inlineStr">
        <is>
          <t>.</t>
        </is>
      </c>
      <c r="Y206" t="inlineStr">
        <is>
          <t>.</t>
        </is>
      </c>
      <c r="Z206" t="inlineStr">
        <is>
          <t>4/7</t>
        </is>
      </c>
      <c r="AA206" t="inlineStr">
        <is>
          <t>Uncertain significance</t>
        </is>
      </c>
      <c r="AB206" t="inlineStr">
        <is>
          <t>.</t>
        </is>
      </c>
      <c r="AC206" t="inlineStr">
        <is>
          <t>.</t>
        </is>
      </c>
      <c r="AD206" t="inlineStr">
        <is>
          <t>82</t>
        </is>
      </c>
      <c r="AE206" t="inlineStr">
        <is>
          <t>0.655184958473335</t>
        </is>
      </c>
      <c r="AF206" t="inlineStr">
        <is>
          <t>C-terminal binding protein 2</t>
        </is>
      </c>
      <c r="AG206" t="inlineStr">
        <is>
          <t xml:space="preserve">FUNCTION: Corepressor targeting diverse transcription regulators. Functions in brown adipose tissue (BAT) differentiation (By similarity). {ECO:0000250}.; </t>
        </is>
      </c>
      <c r="AH206" t="inlineStr">
        <is>
          <t>.</t>
        </is>
      </c>
      <c r="AI206" t="inlineStr">
        <is>
          <t>.</t>
        </is>
      </c>
      <c r="AJ206" t="inlineStr">
        <is>
          <t>.</t>
        </is>
      </c>
      <c r="AK206" t="inlineStr">
        <is>
          <t>.</t>
        </is>
      </c>
      <c r="AL206" t="inlineStr">
        <is>
          <t>.</t>
        </is>
      </c>
    </row>
    <row r="207">
      <c r="A207" t="inlineStr"/>
      <c r="B207">
        <f>HYPERLINK("https://genome.ucsc.edu/cgi-bin/hgTracks?db=hg19&amp;position=chr10%3A126691933%2D126691934", "chr10:126691933")</f>
        <v/>
      </c>
      <c r="C207" t="inlineStr">
        <is>
          <t>chr10</t>
        </is>
      </c>
      <c r="D207" t="n">
        <v>126691933</v>
      </c>
      <c r="E207" t="n">
        <v>126691934</v>
      </c>
      <c r="F207" t="inlineStr">
        <is>
          <t>GC</t>
        </is>
      </c>
      <c r="G207" t="inlineStr">
        <is>
          <t>-</t>
        </is>
      </c>
      <c r="H207" t="inlineStr">
        <is>
          <t>130.60</t>
        </is>
      </c>
      <c r="I207" t="inlineStr">
        <is>
          <t>29</t>
        </is>
      </c>
      <c r="J207" t="inlineStr">
        <is>
          <t>24,5</t>
        </is>
      </c>
      <c r="K207" t="inlineStr">
        <is>
          <t>.</t>
        </is>
      </c>
      <c r="L207" t="inlineStr">
        <is>
          <t>.</t>
        </is>
      </c>
      <c r="M207">
        <f>HYPERLINK("https://www.genecards.org/Search/Keyword?queryString=%5Baliases%5D(%20CTBP2%20)&amp;keywords=CTBP2", "CTBP2")</f>
        <v/>
      </c>
      <c r="N207" t="inlineStr">
        <is>
          <t>exonic</t>
        </is>
      </c>
      <c r="O207" t="inlineStr">
        <is>
          <t>frameshift deletion</t>
        </is>
      </c>
      <c r="P207" t="inlineStr">
        <is>
          <t>CTBP2:NM_001363508:exon2:c.390_391del:p.Q131Vfs*46,CTBP2:NM_022802:exon2:c.1806_1807del:p.Q603Vfs*46,CTBP2:NM_001321013:exon3:c.186_187del:p.Q63Vfs*46,CTBP2:NM_001083914:exon4:c.186_187del:p.Q63Vfs*46,CTBP2:NM_001290214:exon4:c.186_187del:p.Q63Vfs*46,CTBP2:NM_001290215:exon4:c.186_187del:p.Q63Vfs*46,CTBP2:NM_001321012:exon4:c.186_187del:p.Q63Vfs*46,CTBP2:NM_001321014:exon4:c.186_187del:p.Q63Vfs*46,CTBP2:NM_001329:exon4:c.186_187del:p.Q63Vfs*46;CTBP2:uc001lid.4:exon2:c.390_391del:p.Q131Vfs*46,CTBP2:uc001lie.4:exon2:c.1806_1807del:p.Q603Vfs*46,CTBP2:uc001lif.4:exon4:c.186_187del:p.Q63Vfs*46,CTBP2:uc001lih.4:exon4:c.186_187del:p.Q63Vfs*46,CTBP2:uc009yak.3:exon4:c.186_187del:p.Q63Vfs*46,CTBP2:uc009yal.3:exon4:c.186_187del:p.Q63Vfs*46;CTBP2:ENST00000309035.11_5:exon2:c.1806_1807del:p.Q603Vfs*46,CTBP2:ENST00000334808.10_4:exon2:c.390_391del:p.Q131Vfs*46,CTBP2:ENST00000337195.9_3:exon4:c.186_187del:p.Q63Vfs*46,CTBP2:ENST00000411419.6_3:exon4:c.186_187del:p.Q63Vfs*46,CTBP2:ENST00000494626.6_3:exon4:c.186_187del:p.Q63Vfs*46,CTBP2:ENST00000531469.5_3:exon4:c.186_187del:p.Q63Vfs*46</t>
        </is>
      </c>
      <c r="Q207" t="n">
        <v>-1</v>
      </c>
      <c r="R207" t="n">
        <v>-1</v>
      </c>
      <c r="S207" t="n">
        <v>-1</v>
      </c>
      <c r="T207" t="n">
        <v>-1</v>
      </c>
      <c r="U207" t="n">
        <v>-1</v>
      </c>
      <c r="V207" t="inlineStr">
        <is>
          <t>.</t>
        </is>
      </c>
      <c r="W207" t="inlineStr">
        <is>
          <t>.</t>
        </is>
      </c>
      <c r="X207" t="inlineStr">
        <is>
          <t>.</t>
        </is>
      </c>
      <c r="Y207" t="inlineStr">
        <is>
          <t>.</t>
        </is>
      </c>
      <c r="Z207" t="inlineStr">
        <is>
          <t>.</t>
        </is>
      </c>
      <c r="AA207" t="inlineStr">
        <is>
          <t>.</t>
        </is>
      </c>
      <c r="AB207" t="inlineStr">
        <is>
          <t>.</t>
        </is>
      </c>
      <c r="AC207" t="inlineStr">
        <is>
          <t>.</t>
        </is>
      </c>
      <c r="AD207" t="inlineStr">
        <is>
          <t>82</t>
        </is>
      </c>
      <c r="AE207" t="inlineStr">
        <is>
          <t>0.655184958473335</t>
        </is>
      </c>
      <c r="AF207" t="inlineStr">
        <is>
          <t>C-terminal binding protein 2</t>
        </is>
      </c>
      <c r="AG207" t="inlineStr">
        <is>
          <t xml:space="preserve">FUNCTION: Corepressor targeting diverse transcription regulators. Functions in brown adipose tissue (BAT) differentiation (By similarity). {ECO:0000250}.; </t>
        </is>
      </c>
      <c r="AH207" t="inlineStr">
        <is>
          <t>.</t>
        </is>
      </c>
      <c r="AI207" t="inlineStr">
        <is>
          <t>.</t>
        </is>
      </c>
      <c r="AJ207" t="inlineStr">
        <is>
          <t>.</t>
        </is>
      </c>
      <c r="AK207" t="inlineStr">
        <is>
          <t>.</t>
        </is>
      </c>
      <c r="AL207" t="inlineStr">
        <is>
          <t>.</t>
        </is>
      </c>
    </row>
    <row r="208">
      <c r="A208" t="inlineStr"/>
      <c r="B208">
        <f>HYPERLINK("https://genome.ucsc.edu/cgi-bin/hgTracks?db=hg19&amp;position=chr10%3A126691937%2D126691937", "chr10:126691937")</f>
        <v/>
      </c>
      <c r="C208" t="inlineStr">
        <is>
          <t>chr10</t>
        </is>
      </c>
      <c r="D208" t="n">
        <v>126691937</v>
      </c>
      <c r="E208" t="n">
        <v>126691937</v>
      </c>
      <c r="F208" t="inlineStr">
        <is>
          <t>G</t>
        </is>
      </c>
      <c r="G208" t="inlineStr">
        <is>
          <t>C</t>
        </is>
      </c>
      <c r="H208" t="inlineStr">
        <is>
          <t>1177.10</t>
        </is>
      </c>
      <c r="I208" t="inlineStr">
        <is>
          <t>29</t>
        </is>
      </c>
      <c r="J208" t="inlineStr">
        <is>
          <t>0,5,24</t>
        </is>
      </c>
      <c r="K208" t="inlineStr">
        <is>
          <t>.</t>
        </is>
      </c>
      <c r="L208">
        <f>HYPERLINK("https://www.ncbi.nlm.nih.gov/snp/rs1058301", "rs1058301")</f>
        <v/>
      </c>
      <c r="M208">
        <f>HYPERLINK("https://www.genecards.org/Search/Keyword?queryString=%5Baliases%5D(%20CTBP2%20)&amp;keywords=CTBP2", "CTBP2")</f>
        <v/>
      </c>
      <c r="N208" t="inlineStr">
        <is>
          <t>exonic</t>
        </is>
      </c>
      <c r="O208" t="inlineStr">
        <is>
          <t>nonsynonymous SNV</t>
        </is>
      </c>
      <c r="P208" t="inlineStr">
        <is>
          <t>CTBP2:NM_001363508:exon2:c.C387G:p.D129E,CTBP2:NM_022802:exon2:c.C1803G:p.D601E,CTBP2:NM_001321013:exon3:c.C183G:p.D61E,CTBP2:NM_001083914:exon4:c.C183G:p.D61E,CTBP2:NM_001290214:exon4:c.C183G:p.D61E,CTBP2:NM_001290215:exon4:c.C183G:p.D61E,CTBP2:NM_001321012:exon4:c.C183G:p.D61E,CTBP2:NM_001321014:exon4:c.C183G:p.D61E,CTBP2:NM_001329:exon4:c.C183G:p.D61E;CTBP2:uc001lid.4:exon2:c.C387G:p.D129E,CTBP2:uc001lie.4:exon2:c.C1803G:p.D601E,CTBP2:uc001lif.4:exon4:c.C183G:p.D61E,CTBP2:uc001lih.4:exon4:c.C183G:p.D61E,CTBP2:uc009yak.3:exon4:c.C183G:p.D61E,CTBP2:uc009yal.3:exon4:c.C183G:p.D61E;CTBP2:ENST00000309035.11_5:exon2:c.C1803G:p.D601E,CTBP2:ENST00000334808.10_4:exon2:c.C387G:p.D129E,CTBP2:ENST00000337195.9_3:exon4:c.C183G:p.D61E,CTBP2:ENST00000411419.6_3:exon4:c.C183G:p.D61E,CTBP2:ENST00000494626.6_3:exon4:c.C183G:p.D61E,CTBP2:ENST00000531469.5_3:exon4:c.C183G:p.D61E</t>
        </is>
      </c>
      <c r="Q208" t="n">
        <v>6.5e-06</v>
      </c>
      <c r="R208" t="n">
        <v>-1</v>
      </c>
      <c r="S208" t="n">
        <v>-1</v>
      </c>
      <c r="T208" t="n">
        <v>-1</v>
      </c>
      <c r="U208" t="n">
        <v>-1</v>
      </c>
      <c r="V208" t="inlineStr">
        <is>
          <t>6/12</t>
        </is>
      </c>
      <c r="W208" t="inlineStr">
        <is>
          <t>.</t>
        </is>
      </c>
      <c r="X208" t="inlineStr">
        <is>
          <t>.</t>
        </is>
      </c>
      <c r="Y208" t="inlineStr">
        <is>
          <t>.</t>
        </is>
      </c>
      <c r="Z208" t="inlineStr">
        <is>
          <t>2/7</t>
        </is>
      </c>
      <c r="AA208" t="inlineStr">
        <is>
          <t>Uncertain significance</t>
        </is>
      </c>
      <c r="AB208" t="inlineStr">
        <is>
          <t>.</t>
        </is>
      </c>
      <c r="AC208" t="inlineStr">
        <is>
          <t>1/2</t>
        </is>
      </c>
      <c r="AD208" t="inlineStr">
        <is>
          <t>82</t>
        </is>
      </c>
      <c r="AE208" t="inlineStr">
        <is>
          <t>0.655184958473335</t>
        </is>
      </c>
      <c r="AF208" t="inlineStr">
        <is>
          <t>C-terminal binding protein 2</t>
        </is>
      </c>
      <c r="AG208" t="inlineStr">
        <is>
          <t xml:space="preserve">FUNCTION: Corepressor targeting diverse transcription regulators. Functions in brown adipose tissue (BAT) differentiation (By similarity). {ECO:0000250}.; </t>
        </is>
      </c>
      <c r="AH208" t="inlineStr">
        <is>
          <t>.</t>
        </is>
      </c>
      <c r="AI208" t="inlineStr">
        <is>
          <t>.</t>
        </is>
      </c>
      <c r="AJ208" t="inlineStr">
        <is>
          <t>.</t>
        </is>
      </c>
      <c r="AK208" t="inlineStr">
        <is>
          <t>.</t>
        </is>
      </c>
      <c r="AL208" t="inlineStr">
        <is>
          <t>.</t>
        </is>
      </c>
    </row>
    <row r="209">
      <c r="A209" t="inlineStr"/>
      <c r="B209">
        <f>HYPERLINK("https://genome.ucsc.edu/cgi-bin/hgTracks?db=hg19&amp;position=chr10%3A126691941%2D126691941", "chr10:126691941")</f>
        <v/>
      </c>
      <c r="C209" t="inlineStr">
        <is>
          <t>chr10</t>
        </is>
      </c>
      <c r="D209" t="n">
        <v>126691941</v>
      </c>
      <c r="E209" t="n">
        <v>126691941</v>
      </c>
      <c r="F209" t="inlineStr">
        <is>
          <t>C</t>
        </is>
      </c>
      <c r="G209" t="inlineStr">
        <is>
          <t>T</t>
        </is>
      </c>
      <c r="H209" t="inlineStr">
        <is>
          <t>94.64</t>
        </is>
      </c>
      <c r="I209" t="inlineStr">
        <is>
          <t>41</t>
        </is>
      </c>
      <c r="J209" t="inlineStr">
        <is>
          <t>36,5</t>
        </is>
      </c>
      <c r="K209" t="inlineStr">
        <is>
          <t>.</t>
        </is>
      </c>
      <c r="L209">
        <f>HYPERLINK("https://www.ncbi.nlm.nih.gov/snp/rs908258633", "rs908258633")</f>
        <v/>
      </c>
      <c r="M209">
        <f>HYPERLINK("https://www.genecards.org/Search/Keyword?queryString=%5Baliases%5D(%20CTBP2%20)&amp;keywords=CTBP2", "CTBP2")</f>
        <v/>
      </c>
      <c r="N209" t="inlineStr">
        <is>
          <t>exonic</t>
        </is>
      </c>
      <c r="O209" t="inlineStr">
        <is>
          <t>nonsynonymous SNV</t>
        </is>
      </c>
      <c r="P209" t="inlineStr">
        <is>
          <t>CTBP2:NM_001363508:exon2:c.G383A:p.C128Y,CTBP2:NM_022802:exon2:c.G1799A:p.C600Y,CTBP2:NM_001321013:exon3:c.G179A:p.C60Y,CTBP2:NM_001083914:exon4:c.G179A:p.C60Y,CTBP2:NM_001290214:exon4:c.G179A:p.C60Y,CTBP2:NM_001290215:exon4:c.G179A:p.C60Y,CTBP2:NM_001321012:exon4:c.G179A:p.C60Y,CTBP2:NM_001321014:exon4:c.G179A:p.C60Y,CTBP2:NM_001329:exon4:c.G179A:p.C60Y;CTBP2:uc001lid.4:exon2:c.G383A:p.C128Y,CTBP2:uc001lie.4:exon2:c.G1799A:p.C600Y,CTBP2:uc001lif.4:exon4:c.G179A:p.C60Y,CTBP2:uc001lih.4:exon4:c.G179A:p.C60Y,CTBP2:uc009yak.3:exon4:c.G179A:p.C60Y,CTBP2:uc009yal.3:exon4:c.G179A:p.C60Y;CTBP2:ENST00000309035.11_5:exon2:c.G1799A:p.C600Y,CTBP2:ENST00000334808.10_4:exon2:c.G383A:p.C128Y,CTBP2:ENST00000337195.9_3:exon4:c.G179A:p.C60Y,CTBP2:ENST00000411419.6_3:exon4:c.G179A:p.C60Y,CTBP2:ENST00000494626.6_3:exon4:c.G179A:p.C60Y,CTBP2:ENST00000531469.5_3:exon4:c.G179A:p.C60Y</t>
        </is>
      </c>
      <c r="Q209" t="n">
        <v>-1</v>
      </c>
      <c r="R209" t="n">
        <v>-1</v>
      </c>
      <c r="S209" t="n">
        <v>-1</v>
      </c>
      <c r="T209" t="n">
        <v>-1</v>
      </c>
      <c r="U209" t="n">
        <v>-1</v>
      </c>
      <c r="V209" t="inlineStr">
        <is>
          <t>7/12</t>
        </is>
      </c>
      <c r="W209" t="inlineStr">
        <is>
          <t>.</t>
        </is>
      </c>
      <c r="X209" t="inlineStr">
        <is>
          <t>.</t>
        </is>
      </c>
      <c r="Y209" t="inlineStr">
        <is>
          <t>.</t>
        </is>
      </c>
      <c r="Z209" t="inlineStr">
        <is>
          <t>5/7</t>
        </is>
      </c>
      <c r="AA209" t="inlineStr">
        <is>
          <t>Uncertain significance</t>
        </is>
      </c>
      <c r="AB209" t="inlineStr">
        <is>
          <t>.</t>
        </is>
      </c>
      <c r="AC209" t="inlineStr">
        <is>
          <t>.</t>
        </is>
      </c>
      <c r="AD209" t="inlineStr">
        <is>
          <t>82</t>
        </is>
      </c>
      <c r="AE209" t="inlineStr">
        <is>
          <t>0.655184958473335</t>
        </is>
      </c>
      <c r="AF209" t="inlineStr">
        <is>
          <t>C-terminal binding protein 2</t>
        </is>
      </c>
      <c r="AG209" t="inlineStr">
        <is>
          <t xml:space="preserve">FUNCTION: Corepressor targeting diverse transcription regulators. Functions in brown adipose tissue (BAT) differentiation (By similarity). {ECO:0000250}.; </t>
        </is>
      </c>
      <c r="AH209" t="inlineStr">
        <is>
          <t>.</t>
        </is>
      </c>
      <c r="AI209" t="inlineStr">
        <is>
          <t>.</t>
        </is>
      </c>
      <c r="AJ209" t="inlineStr">
        <is>
          <t>.</t>
        </is>
      </c>
      <c r="AK209" t="inlineStr">
        <is>
          <t>.</t>
        </is>
      </c>
      <c r="AL209" t="inlineStr">
        <is>
          <t>.</t>
        </is>
      </c>
    </row>
    <row r="210">
      <c r="A210" t="inlineStr"/>
      <c r="B210">
        <f>HYPERLINK("https://genome.ucsc.edu/cgi-bin/hgTracks?db=hg19&amp;position=chr10%3A126691951%2D126691951", "chr10:126691951")</f>
        <v/>
      </c>
      <c r="C210" t="inlineStr">
        <is>
          <t>chr10</t>
        </is>
      </c>
      <c r="D210" t="n">
        <v>126691951</v>
      </c>
      <c r="E210" t="n">
        <v>126691951</v>
      </c>
      <c r="F210" t="inlineStr">
        <is>
          <t>C</t>
        </is>
      </c>
      <c r="G210" t="inlineStr">
        <is>
          <t>-</t>
        </is>
      </c>
      <c r="H210" t="inlineStr">
        <is>
          <t>1374.60</t>
        </is>
      </c>
      <c r="I210" t="inlineStr">
        <is>
          <t>43</t>
        </is>
      </c>
      <c r="J210" t="inlineStr">
        <is>
          <t>6,37</t>
        </is>
      </c>
      <c r="K210" t="inlineStr">
        <is>
          <t>.</t>
        </is>
      </c>
      <c r="L210" t="inlineStr">
        <is>
          <t>.</t>
        </is>
      </c>
      <c r="M210">
        <f>HYPERLINK("https://www.genecards.org/Search/Keyword?queryString=%5Baliases%5D(%20CTBP2%20)&amp;keywords=CTBP2", "CTBP2")</f>
        <v/>
      </c>
      <c r="N210" t="inlineStr">
        <is>
          <t>exonic</t>
        </is>
      </c>
      <c r="O210" t="inlineStr">
        <is>
          <t>frameshift deletion</t>
        </is>
      </c>
      <c r="P210" t="inlineStr">
        <is>
          <t>CTBP2:NM_001363508:exon2:c.373delG:p.V125Wfs*17,CTBP2:NM_022802:exon2:c.1789delG:p.V597Wfs*17,CTBP2:NM_001321013:exon3:c.169delG:p.V57Wfs*17,CTBP2:NM_001083914:exon4:c.169delG:p.V57Wfs*17,CTBP2:NM_001290214:exon4:c.169delG:p.V57Wfs*17,CTBP2:NM_001290215:exon4:c.169delG:p.V57Wfs*17,CTBP2:NM_001321012:exon4:c.169delG:p.V57Wfs*17,CTBP2:NM_001321014:exon4:c.169delG:p.V57Wfs*17,CTBP2:NM_001329:exon4:c.169delG:p.V57Wfs*17;CTBP2:uc001lid.4:exon2:c.373delG:p.V125Wfs*17,CTBP2:uc001lie.4:exon2:c.1789delG:p.V597Wfs*17,CTBP2:uc001lif.4:exon4:c.169delG:p.V57Wfs*17,CTBP2:uc001lih.4:exon4:c.169delG:p.V57Wfs*17,CTBP2:uc009yak.3:exon4:c.169delG:p.V57Wfs*17,CTBP2:uc009yal.3:exon4:c.169delG:p.V57Wfs*17;CTBP2:ENST00000309035.11_5:exon2:c.1789delG:p.V597Wfs*17,CTBP2:ENST00000334808.10_4:exon2:c.373delG:p.V125Wfs*17,CTBP2:ENST00000337195.9_3:exon4:c.169delG:p.V57Wfs*17,CTBP2:ENST00000411419.6_3:exon4:c.169delG:p.V57Wfs*17,CTBP2:ENST00000494626.6_3:exon4:c.169delG:p.V57Wfs*17,CTBP2:ENST00000531469.5_3:exon4:c.169delG:p.V57Wfs*17</t>
        </is>
      </c>
      <c r="Q210" t="n">
        <v>-1</v>
      </c>
      <c r="R210" t="n">
        <v>-1</v>
      </c>
      <c r="S210" t="n">
        <v>-1</v>
      </c>
      <c r="T210" t="n">
        <v>-1</v>
      </c>
      <c r="U210" t="n">
        <v>-1</v>
      </c>
      <c r="V210" t="inlineStr">
        <is>
          <t>.</t>
        </is>
      </c>
      <c r="W210" t="inlineStr">
        <is>
          <t>.</t>
        </is>
      </c>
      <c r="X210" t="inlineStr">
        <is>
          <t>.</t>
        </is>
      </c>
      <c r="Y210" t="inlineStr">
        <is>
          <t>.</t>
        </is>
      </c>
      <c r="Z210" t="inlineStr">
        <is>
          <t>.</t>
        </is>
      </c>
      <c r="AA210" t="inlineStr">
        <is>
          <t>.</t>
        </is>
      </c>
      <c r="AB210" t="inlineStr">
        <is>
          <t>.</t>
        </is>
      </c>
      <c r="AC210" t="inlineStr">
        <is>
          <t>0/1</t>
        </is>
      </c>
      <c r="AD210" t="inlineStr">
        <is>
          <t>82</t>
        </is>
      </c>
      <c r="AE210" t="inlineStr">
        <is>
          <t>0.655184958473335</t>
        </is>
      </c>
      <c r="AF210" t="inlineStr">
        <is>
          <t>C-terminal binding protein 2</t>
        </is>
      </c>
      <c r="AG210" t="inlineStr">
        <is>
          <t xml:space="preserve">FUNCTION: Corepressor targeting diverse transcription regulators. Functions in brown adipose tissue (BAT) differentiation (By similarity). {ECO:0000250}.; </t>
        </is>
      </c>
      <c r="AH210" t="inlineStr">
        <is>
          <t>.</t>
        </is>
      </c>
      <c r="AI210" t="inlineStr">
        <is>
          <t>.</t>
        </is>
      </c>
      <c r="AJ210" t="inlineStr">
        <is>
          <t>.</t>
        </is>
      </c>
      <c r="AK210" t="inlineStr">
        <is>
          <t>.</t>
        </is>
      </c>
      <c r="AL210" t="inlineStr">
        <is>
          <t>.</t>
        </is>
      </c>
    </row>
    <row r="211">
      <c r="A211" t="inlineStr"/>
      <c r="B211">
        <f>HYPERLINK("https://genome.ucsc.edu/cgi-bin/hgTracks?db=hg19&amp;position=chr10%3A126691979%2D126691979", "chr10:126691979")</f>
        <v/>
      </c>
      <c r="C211" t="inlineStr">
        <is>
          <t>chr10</t>
        </is>
      </c>
      <c r="D211" t="n">
        <v>126691979</v>
      </c>
      <c r="E211" t="n">
        <v>126691979</v>
      </c>
      <c r="F211" t="inlineStr">
        <is>
          <t>C</t>
        </is>
      </c>
      <c r="G211" t="inlineStr">
        <is>
          <t>G</t>
        </is>
      </c>
      <c r="H211" t="inlineStr">
        <is>
          <t>1577.06</t>
        </is>
      </c>
      <c r="I211" t="inlineStr">
        <is>
          <t>56</t>
        </is>
      </c>
      <c r="J211" t="inlineStr">
        <is>
          <t>0,56</t>
        </is>
      </c>
      <c r="K211" t="inlineStr">
        <is>
          <t>.</t>
        </is>
      </c>
      <c r="L211">
        <f>HYPERLINK("https://www.ncbi.nlm.nih.gov/snp/rs74705267", "rs74705267")</f>
        <v/>
      </c>
      <c r="M211">
        <f>HYPERLINK("https://www.genecards.org/Search/Keyword?queryString=%5Baliases%5D(%20CTBP2%20)&amp;keywords=CTBP2", "CTBP2")</f>
        <v/>
      </c>
      <c r="N211" t="inlineStr">
        <is>
          <t>exonic</t>
        </is>
      </c>
      <c r="O211" t="inlineStr">
        <is>
          <t>nonsynonymous SNV</t>
        </is>
      </c>
      <c r="P211" t="inlineStr">
        <is>
          <t>CTBP2:NM_001363508:exon2:c.G345C:p.E115D,CTBP2:NM_022802:exon2:c.G1761C:p.E587D,CTBP2:NM_001321013:exon3:c.G141C:p.E47D,CTBP2:NM_001083914:exon4:c.G141C:p.E47D,CTBP2:NM_001290214:exon4:c.G141C:p.E47D,CTBP2:NM_001290215:exon4:c.G141C:p.E47D,CTBP2:NM_001321012:exon4:c.G141C:p.E47D,CTBP2:NM_001321014:exon4:c.G141C:p.E47D,CTBP2:NM_001329:exon4:c.G141C:p.E47D;CTBP2:uc001lid.4:exon2:c.G345C:p.E115D,CTBP2:uc001lie.4:exon2:c.G1761C:p.E587D,CTBP2:uc001lif.4:exon4:c.G141C:p.E47D,CTBP2:uc001lih.4:exon4:c.G141C:p.E47D,CTBP2:uc009yak.3:exon4:c.G141C:p.E47D,CTBP2:uc009yal.3:exon4:c.G141C:p.E47D;CTBP2:ENST00000309035.11_5:exon2:c.G1761C:p.E587D,CTBP2:ENST00000334808.10_4:exon2:c.G345C:p.E115D,CTBP2:ENST00000337195.9_3:exon4:c.G141C:p.E47D,CTBP2:ENST00000411419.6_3:exon4:c.G141C:p.E47D,CTBP2:ENST00000494626.6_3:exon4:c.G141C:p.E47D,CTBP2:ENST00000531469.5_3:exon4:c.G141C:p.E47D</t>
        </is>
      </c>
      <c r="Q211" t="n">
        <v>3.23e-05</v>
      </c>
      <c r="R211" t="n">
        <v>-1</v>
      </c>
      <c r="S211" t="n">
        <v>-1</v>
      </c>
      <c r="T211" t="n">
        <v>-1</v>
      </c>
      <c r="U211" t="n">
        <v>-1</v>
      </c>
      <c r="V211" t="inlineStr">
        <is>
          <t>7/12</t>
        </is>
      </c>
      <c r="W211" t="inlineStr">
        <is>
          <t>.</t>
        </is>
      </c>
      <c r="X211" t="inlineStr">
        <is>
          <t>.</t>
        </is>
      </c>
      <c r="Y211" t="inlineStr">
        <is>
          <t>.</t>
        </is>
      </c>
      <c r="Z211" t="inlineStr">
        <is>
          <t>3/7</t>
        </is>
      </c>
      <c r="AA211" t="inlineStr">
        <is>
          <t>Uncertain significance</t>
        </is>
      </c>
      <c r="AB211" t="inlineStr">
        <is>
          <t>.</t>
        </is>
      </c>
      <c r="AC211" t="inlineStr">
        <is>
          <t>HOMO</t>
        </is>
      </c>
      <c r="AD211" t="inlineStr">
        <is>
          <t>82</t>
        </is>
      </c>
      <c r="AE211" t="inlineStr">
        <is>
          <t>0.655184958473335</t>
        </is>
      </c>
      <c r="AF211" t="inlineStr">
        <is>
          <t>C-terminal binding protein 2</t>
        </is>
      </c>
      <c r="AG211" t="inlineStr">
        <is>
          <t xml:space="preserve">FUNCTION: Corepressor targeting diverse transcription regulators. Functions in brown adipose tissue (BAT) differentiation (By similarity). {ECO:0000250}.; </t>
        </is>
      </c>
      <c r="AH211" t="inlineStr">
        <is>
          <t>.</t>
        </is>
      </c>
      <c r="AI211" t="inlineStr">
        <is>
          <t>.</t>
        </is>
      </c>
      <c r="AJ211" t="inlineStr">
        <is>
          <t>.</t>
        </is>
      </c>
      <c r="AK211" t="inlineStr">
        <is>
          <t>.</t>
        </is>
      </c>
      <c r="AL211" t="inlineStr">
        <is>
          <t>.</t>
        </is>
      </c>
    </row>
    <row r="212">
      <c r="A212" t="inlineStr"/>
      <c r="B212">
        <f>HYPERLINK("https://genome.ucsc.edu/cgi-bin/hgTracks?db=hg19&amp;position=chr10%3A126692017%2D126692017", "chr10:126692017")</f>
        <v/>
      </c>
      <c r="C212" t="inlineStr">
        <is>
          <t>chr10</t>
        </is>
      </c>
      <c r="D212" t="n">
        <v>126692017</v>
      </c>
      <c r="E212" t="n">
        <v>126692017</v>
      </c>
      <c r="F212" t="inlineStr">
        <is>
          <t>G</t>
        </is>
      </c>
      <c r="G212" t="inlineStr">
        <is>
          <t>C</t>
        </is>
      </c>
      <c r="H212" t="inlineStr">
        <is>
          <t>2146.06</t>
        </is>
      </c>
      <c r="I212" t="inlineStr">
        <is>
          <t>48</t>
        </is>
      </c>
      <c r="J212" t="inlineStr">
        <is>
          <t>0,48</t>
        </is>
      </c>
      <c r="K212" t="inlineStr">
        <is>
          <t>.</t>
        </is>
      </c>
      <c r="L212">
        <f>HYPERLINK("https://www.ncbi.nlm.nih.gov/snp/rs3198920", "rs3198920")</f>
        <v/>
      </c>
      <c r="M212">
        <f>HYPERLINK("https://www.genecards.org/Search/Keyword?queryString=%5Baliases%5D(%20CTBP2%20)&amp;keywords=CTBP2", "CTBP2")</f>
        <v/>
      </c>
      <c r="N212" t="inlineStr">
        <is>
          <t>exonic</t>
        </is>
      </c>
      <c r="O212" t="inlineStr">
        <is>
          <t>nonsynonymous SNV</t>
        </is>
      </c>
      <c r="P212" t="inlineStr">
        <is>
          <t>CTBP2:NM_001363508:exon2:c.C307G:p.L103V,CTBP2:NM_022802:exon2:c.C1723G:p.L575V,CTBP2:NM_001321013:exon3:c.C103G:p.L35V,CTBP2:NM_001083914:exon4:c.C103G:p.L35V,CTBP2:NM_001290214:exon4:c.C103G:p.L35V,CTBP2:NM_001290215:exon4:c.C103G:p.L35V,CTBP2:NM_001321012:exon4:c.C103G:p.L35V,CTBP2:NM_001321014:exon4:c.C103G:p.L35V,CTBP2:NM_001329:exon4:c.C103G:p.L35V;CTBP2:uc001lid.4:exon2:c.C307G:p.L103V,CTBP2:uc001lie.4:exon2:c.C1723G:p.L575V,CTBP2:uc001lif.4:exon4:c.C103G:p.L35V,CTBP2:uc001lih.4:exon4:c.C103G:p.L35V,CTBP2:uc009yak.3:exon4:c.C103G:p.L35V,CTBP2:uc009yal.3:exon4:c.C103G:p.L35V;CTBP2:ENST00000309035.11_5:exon2:c.C1723G:p.L575V,CTBP2:ENST00000334808.10_4:exon2:c.C307G:p.L103V,CTBP2:ENST00000337195.9_3:exon4:c.C103G:p.L35V,CTBP2:ENST00000411419.6_3:exon4:c.C103G:p.L35V,CTBP2:ENST00000494626.6_3:exon4:c.C103G:p.L35V,CTBP2:ENST00000531469.5_3:exon4:c.C103G:p.L35V</t>
        </is>
      </c>
      <c r="Q212" t="n">
        <v>6.5e-06</v>
      </c>
      <c r="R212" t="n">
        <v>-1</v>
      </c>
      <c r="S212" t="n">
        <v>-1</v>
      </c>
      <c r="T212" t="n">
        <v>-1</v>
      </c>
      <c r="U212" t="n">
        <v>-1</v>
      </c>
      <c r="V212" t="inlineStr">
        <is>
          <t>6/12</t>
        </is>
      </c>
      <c r="W212" t="inlineStr">
        <is>
          <t>.</t>
        </is>
      </c>
      <c r="X212" t="inlineStr">
        <is>
          <t>.</t>
        </is>
      </c>
      <c r="Y212" t="inlineStr">
        <is>
          <t>.</t>
        </is>
      </c>
      <c r="Z212" t="inlineStr">
        <is>
          <t>2/7</t>
        </is>
      </c>
      <c r="AA212" t="inlineStr">
        <is>
          <t>Uncertain significance</t>
        </is>
      </c>
      <c r="AB212" t="inlineStr">
        <is>
          <t>.</t>
        </is>
      </c>
      <c r="AC212" t="inlineStr">
        <is>
          <t>.</t>
        </is>
      </c>
      <c r="AD212" t="inlineStr">
        <is>
          <t>82</t>
        </is>
      </c>
      <c r="AE212" t="inlineStr">
        <is>
          <t>0.655184958473335</t>
        </is>
      </c>
      <c r="AF212" t="inlineStr">
        <is>
          <t>C-terminal binding protein 2</t>
        </is>
      </c>
      <c r="AG212" t="inlineStr">
        <is>
          <t xml:space="preserve">FUNCTION: Corepressor targeting diverse transcription regulators. Functions in brown adipose tissue (BAT) differentiation (By similarity). {ECO:0000250}.; </t>
        </is>
      </c>
      <c r="AH212" t="inlineStr">
        <is>
          <t>.</t>
        </is>
      </c>
      <c r="AI212" t="inlineStr">
        <is>
          <t>.</t>
        </is>
      </c>
      <c r="AJ212" t="inlineStr">
        <is>
          <t>.</t>
        </is>
      </c>
      <c r="AK212" t="inlineStr">
        <is>
          <t>.</t>
        </is>
      </c>
      <c r="AL212" t="inlineStr">
        <is>
          <t>.</t>
        </is>
      </c>
    </row>
    <row r="213">
      <c r="A213" t="inlineStr"/>
      <c r="B213">
        <f>HYPERLINK("https://genome.ucsc.edu/cgi-bin/hgTracks?db=hg19&amp;position=chr10%3A126692019%2D126692019", "chr10:126692019")</f>
        <v/>
      </c>
      <c r="C213" t="inlineStr">
        <is>
          <t>chr10</t>
        </is>
      </c>
      <c r="D213" t="n">
        <v>126692019</v>
      </c>
      <c r="E213" t="n">
        <v>126692019</v>
      </c>
      <c r="F213" t="inlineStr">
        <is>
          <t>G</t>
        </is>
      </c>
      <c r="G213" t="inlineStr">
        <is>
          <t>A</t>
        </is>
      </c>
      <c r="H213" t="inlineStr">
        <is>
          <t>255.97</t>
        </is>
      </c>
      <c r="I213" t="inlineStr">
        <is>
          <t>6</t>
        </is>
      </c>
      <c r="J213" t="inlineStr">
        <is>
          <t>0,6</t>
        </is>
      </c>
      <c r="K213" t="inlineStr">
        <is>
          <t>.</t>
        </is>
      </c>
      <c r="L213">
        <f>HYPERLINK("https://www.ncbi.nlm.nih.gov/snp/rs796256730", "rs796256730")</f>
        <v/>
      </c>
      <c r="M213">
        <f>HYPERLINK("https://www.genecards.org/Search/Keyword?queryString=%5Baliases%5D(%20CTBP2%20)&amp;keywords=CTBP2", "CTBP2")</f>
        <v/>
      </c>
      <c r="N213" t="inlineStr">
        <is>
          <t>exonic</t>
        </is>
      </c>
      <c r="O213" t="inlineStr">
        <is>
          <t>nonsynonymous SNV</t>
        </is>
      </c>
      <c r="P213" t="inlineStr">
        <is>
          <t>CTBP2:NM_001363508:exon2:c.C305T:p.P102L,CTBP2:NM_022802:exon2:c.C1721T:p.P574L,CTBP2:NM_001321013:exon3:c.C101T:p.P34L,CTBP2:NM_001083914:exon4:c.C101T:p.P34L,CTBP2:NM_001290214:exon4:c.C101T:p.P34L,CTBP2:NM_001290215:exon4:c.C101T:p.P34L,CTBP2:NM_001321012:exon4:c.C101T:p.P34L,CTBP2:NM_001321014:exon4:c.C101T:p.P34L,CTBP2:NM_001329:exon4:c.C101T:p.P34L;CTBP2:uc001lid.4:exon2:c.C305T:p.P102L,CTBP2:uc001lie.4:exon2:c.C1721T:p.P574L,CTBP2:uc001lif.4:exon4:c.C101T:p.P34L,CTBP2:uc001lih.4:exon4:c.C101T:p.P34L,CTBP2:uc009yak.3:exon4:c.C101T:p.P34L,CTBP2:uc009yal.3:exon4:c.C101T:p.P34L;CTBP2:ENST00000309035.11_5:exon2:c.C1721T:p.P574L,CTBP2:ENST00000334808.10_4:exon2:c.C305T:p.P102L,CTBP2:ENST00000337195.9_3:exon4:c.C101T:p.P34L,CTBP2:ENST00000411419.6_3:exon4:c.C101T:p.P34L,CTBP2:ENST00000494626.6_3:exon4:c.C101T:p.P34L,CTBP2:ENST00000531469.5_3:exon4:c.C101T:p.P34L</t>
        </is>
      </c>
      <c r="Q213" t="n">
        <v>-1</v>
      </c>
      <c r="R213" t="n">
        <v>-1</v>
      </c>
      <c r="S213" t="n">
        <v>-1</v>
      </c>
      <c r="T213" t="n">
        <v>-1</v>
      </c>
      <c r="U213" t="n">
        <v>-1</v>
      </c>
      <c r="V213" t="inlineStr">
        <is>
          <t>6/12</t>
        </is>
      </c>
      <c r="W213" t="inlineStr">
        <is>
          <t>.</t>
        </is>
      </c>
      <c r="X213" t="inlineStr">
        <is>
          <t>.</t>
        </is>
      </c>
      <c r="Y213" t="inlineStr">
        <is>
          <t>.</t>
        </is>
      </c>
      <c r="Z213" t="inlineStr">
        <is>
          <t>5/7</t>
        </is>
      </c>
      <c r="AA213" t="inlineStr">
        <is>
          <t>Uncertain significance</t>
        </is>
      </c>
      <c r="AB213" t="inlineStr">
        <is>
          <t>.</t>
        </is>
      </c>
      <c r="AC213" t="inlineStr">
        <is>
          <t>.</t>
        </is>
      </c>
      <c r="AD213" t="inlineStr">
        <is>
          <t>82</t>
        </is>
      </c>
      <c r="AE213" t="inlineStr">
        <is>
          <t>0.655184958473335</t>
        </is>
      </c>
      <c r="AF213" t="inlineStr">
        <is>
          <t>C-terminal binding protein 2</t>
        </is>
      </c>
      <c r="AG213" t="inlineStr">
        <is>
          <t xml:space="preserve">FUNCTION: Corepressor targeting diverse transcription regulators. Functions in brown adipose tissue (BAT) differentiation (By similarity). {ECO:0000250}.; </t>
        </is>
      </c>
      <c r="AH213" t="inlineStr">
        <is>
          <t>.</t>
        </is>
      </c>
      <c r="AI213" t="inlineStr">
        <is>
          <t>.</t>
        </is>
      </c>
      <c r="AJ213" t="inlineStr">
        <is>
          <t>.</t>
        </is>
      </c>
      <c r="AK213" t="inlineStr">
        <is>
          <t>.</t>
        </is>
      </c>
      <c r="AL213" t="inlineStr">
        <is>
          <t>.</t>
        </is>
      </c>
    </row>
    <row r="214">
      <c r="A214" t="inlineStr"/>
      <c r="B214">
        <f>HYPERLINK("https://genome.ucsc.edu/cgi-bin/hgTracks?db=hg19&amp;position=chr10%3A126692023%2D126692023", "chr10:126692023")</f>
        <v/>
      </c>
      <c r="C214" t="inlineStr">
        <is>
          <t>chr10</t>
        </is>
      </c>
      <c r="D214" t="n">
        <v>126692023</v>
      </c>
      <c r="E214" t="n">
        <v>126692023</v>
      </c>
      <c r="F214" t="inlineStr">
        <is>
          <t>G</t>
        </is>
      </c>
      <c r="G214" t="inlineStr">
        <is>
          <t>-</t>
        </is>
      </c>
      <c r="H214" t="inlineStr">
        <is>
          <t>255.93</t>
        </is>
      </c>
      <c r="I214" t="inlineStr">
        <is>
          <t>6</t>
        </is>
      </c>
      <c r="J214" t="inlineStr">
        <is>
          <t>0,6</t>
        </is>
      </c>
      <c r="K214" t="inlineStr">
        <is>
          <t>.</t>
        </is>
      </c>
      <c r="L214" t="inlineStr">
        <is>
          <t>.</t>
        </is>
      </c>
      <c r="M214">
        <f>HYPERLINK("https://www.genecards.org/Search/Keyword?queryString=%5Baliases%5D(%20CTBP2%20)&amp;keywords=CTBP2", "CTBP2")</f>
        <v/>
      </c>
      <c r="N214" t="inlineStr">
        <is>
          <t>exonic</t>
        </is>
      </c>
      <c r="O214" t="inlineStr">
        <is>
          <t>frameshift deletion</t>
        </is>
      </c>
      <c r="P214" t="inlineStr">
        <is>
          <t>CTBP2:NM_001363508:exon2:c.301delC:p.R101Afs*19,CTBP2:NM_022802:exon2:c.1717delC:p.R573Afs*19,CTBP2:NM_001321013:exon3:c.97delC:p.R33Afs*19,CTBP2:NM_001083914:exon4:c.97delC:p.R33Afs*19,CTBP2:NM_001290214:exon4:c.97delC:p.R33Afs*19,CTBP2:NM_001290215:exon4:c.97delC:p.R33Afs*19,CTBP2:NM_001321012:exon4:c.97delC:p.R33Afs*19,CTBP2:NM_001321014:exon4:c.97delC:p.R33Afs*19,CTBP2:NM_001329:exon4:c.97delC:p.R33Afs*19;CTBP2:uc001lid.4:exon2:c.301delC:p.R101Afs*19,CTBP2:uc001lie.4:exon2:c.1717delC:p.R573Afs*19,CTBP2:uc001lif.4:exon4:c.97delC:p.R33Afs*19,CTBP2:uc001lih.4:exon4:c.97delC:p.R33Afs*19,CTBP2:uc009yak.3:exon4:c.97delC:p.R33Afs*19,CTBP2:uc009yal.3:exon4:c.97delC:p.R33Afs*19;CTBP2:ENST00000309035.11_5:exon2:c.1717delC:p.R573Afs*19,CTBP2:ENST00000334808.10_4:exon2:c.301delC:p.R101Afs*19,CTBP2:ENST00000337195.9_3:exon4:c.97delC:p.R33Afs*19,CTBP2:ENST00000411419.6_3:exon4:c.97delC:p.R33Afs*19,CTBP2:ENST00000494626.6_3:exon4:c.97delC:p.R33Afs*19,CTBP2:ENST00000531469.5_3:exon4:c.97delC:p.R33Afs*19</t>
        </is>
      </c>
      <c r="Q214" t="n">
        <v>-1</v>
      </c>
      <c r="R214" t="n">
        <v>-1</v>
      </c>
      <c r="S214" t="n">
        <v>-1</v>
      </c>
      <c r="T214" t="n">
        <v>-1</v>
      </c>
      <c r="U214" t="n">
        <v>-1</v>
      </c>
      <c r="V214" t="inlineStr">
        <is>
          <t>.</t>
        </is>
      </c>
      <c r="W214" t="inlineStr">
        <is>
          <t>.</t>
        </is>
      </c>
      <c r="X214" t="inlineStr">
        <is>
          <t>.</t>
        </is>
      </c>
      <c r="Y214" t="inlineStr">
        <is>
          <t>.</t>
        </is>
      </c>
      <c r="Z214" t="inlineStr">
        <is>
          <t>.</t>
        </is>
      </c>
      <c r="AA214" t="inlineStr">
        <is>
          <t>.</t>
        </is>
      </c>
      <c r="AB214" t="inlineStr">
        <is>
          <t>.</t>
        </is>
      </c>
      <c r="AC214" t="inlineStr">
        <is>
          <t>.</t>
        </is>
      </c>
      <c r="AD214" t="inlineStr">
        <is>
          <t>82</t>
        </is>
      </c>
      <c r="AE214" t="inlineStr">
        <is>
          <t>0.655184958473335</t>
        </is>
      </c>
      <c r="AF214" t="inlineStr">
        <is>
          <t>C-terminal binding protein 2</t>
        </is>
      </c>
      <c r="AG214" t="inlineStr">
        <is>
          <t xml:space="preserve">FUNCTION: Corepressor targeting diverse transcription regulators. Functions in brown adipose tissue (BAT) differentiation (By similarity). {ECO:0000250}.; </t>
        </is>
      </c>
      <c r="AH214" t="inlineStr">
        <is>
          <t>.</t>
        </is>
      </c>
      <c r="AI214" t="inlineStr">
        <is>
          <t>.</t>
        </is>
      </c>
      <c r="AJ214" t="inlineStr">
        <is>
          <t>.</t>
        </is>
      </c>
      <c r="AK214" t="inlineStr">
        <is>
          <t>.</t>
        </is>
      </c>
      <c r="AL214" t="inlineStr">
        <is>
          <t>.</t>
        </is>
      </c>
    </row>
    <row r="215">
      <c r="A215" t="inlineStr"/>
      <c r="B215">
        <f>HYPERLINK("https://genome.ucsc.edu/cgi-bin/hgTracks?db=hg19&amp;position=chr10%3A126692029%2D126692029", "chr10:126692029")</f>
        <v/>
      </c>
      <c r="C215" t="inlineStr">
        <is>
          <t>chr10</t>
        </is>
      </c>
      <c r="D215" t="n">
        <v>126692029</v>
      </c>
      <c r="E215" t="n">
        <v>126692029</v>
      </c>
      <c r="F215" t="inlineStr">
        <is>
          <t>G</t>
        </is>
      </c>
      <c r="G215" t="inlineStr">
        <is>
          <t>T</t>
        </is>
      </c>
      <c r="H215" t="inlineStr">
        <is>
          <t>255.97</t>
        </is>
      </c>
      <c r="I215" t="inlineStr">
        <is>
          <t>6</t>
        </is>
      </c>
      <c r="J215" t="inlineStr">
        <is>
          <t>0,6</t>
        </is>
      </c>
      <c r="K215" t="inlineStr">
        <is>
          <t>.</t>
        </is>
      </c>
      <c r="L215">
        <f>HYPERLINK("https://www.ncbi.nlm.nih.gov/snp/rs796388243", "rs796388243")</f>
        <v/>
      </c>
      <c r="M215">
        <f>HYPERLINK("https://www.genecards.org/Search/Keyword?queryString=%5Baliases%5D(%20CTBP2%20)&amp;keywords=CTBP2", "CTBP2")</f>
        <v/>
      </c>
      <c r="N215" t="inlineStr">
        <is>
          <t>exonic</t>
        </is>
      </c>
      <c r="O215" t="inlineStr">
        <is>
          <t>nonsynonymous SNV</t>
        </is>
      </c>
      <c r="P215" t="inlineStr">
        <is>
          <t>CTBP2:NM_001363508:exon2:c.C295A:p.H99N,CTBP2:NM_022802:exon2:c.C1711A:p.H571N,CTBP2:NM_001321013:exon3:c.C91A:p.H31N,CTBP2:NM_001083914:exon4:c.C91A:p.H31N,CTBP2:NM_001290214:exon4:c.C91A:p.H31N,CTBP2:NM_001290215:exon4:c.C91A:p.H31N,CTBP2:NM_001321012:exon4:c.C91A:p.H31N,CTBP2:NM_001321014:exon4:c.C91A:p.H31N,CTBP2:NM_001329:exon4:c.C91A:p.H31N;CTBP2:uc001lid.4:exon2:c.C295A:p.H99N,CTBP2:uc001lie.4:exon2:c.C1711A:p.H571N,CTBP2:uc001lif.4:exon4:c.C91A:p.H31N,CTBP2:uc001lih.4:exon4:c.C91A:p.H31N,CTBP2:uc009yak.3:exon4:c.C91A:p.H31N,CTBP2:uc009yal.3:exon4:c.C91A:p.H31N;CTBP2:ENST00000309035.11_5:exon2:c.C1711A:p.H571N,CTBP2:ENST00000334808.10_4:exon2:c.C295A:p.H99N,CTBP2:ENST00000337195.9_3:exon4:c.C91A:p.H31N,CTBP2:ENST00000411419.6_3:exon4:c.C91A:p.H31N,CTBP2:ENST00000494626.6_3:exon4:c.C91A:p.H31N,CTBP2:ENST00000531469.5_3:exon4:c.C91A:p.H31N</t>
        </is>
      </c>
      <c r="Q215" t="n">
        <v>6.5e-06</v>
      </c>
      <c r="R215" t="n">
        <v>-1</v>
      </c>
      <c r="S215" t="n">
        <v>-1</v>
      </c>
      <c r="T215" t="n">
        <v>-1</v>
      </c>
      <c r="U215" t="n">
        <v>-1</v>
      </c>
      <c r="V215" t="inlineStr">
        <is>
          <t>10/12</t>
        </is>
      </c>
      <c r="W215" t="inlineStr">
        <is>
          <t>.</t>
        </is>
      </c>
      <c r="X215" t="inlineStr">
        <is>
          <t>.</t>
        </is>
      </c>
      <c r="Y215" t="inlineStr">
        <is>
          <t>.</t>
        </is>
      </c>
      <c r="Z215" t="inlineStr">
        <is>
          <t>5/7</t>
        </is>
      </c>
      <c r="AA215" t="inlineStr">
        <is>
          <t>Uncertain significance</t>
        </is>
      </c>
      <c r="AB215" t="inlineStr">
        <is>
          <t>.</t>
        </is>
      </c>
      <c r="AC215" t="inlineStr">
        <is>
          <t>.</t>
        </is>
      </c>
      <c r="AD215" t="inlineStr">
        <is>
          <t>82</t>
        </is>
      </c>
      <c r="AE215" t="inlineStr">
        <is>
          <t>0.655184958473335</t>
        </is>
      </c>
      <c r="AF215" t="inlineStr">
        <is>
          <t>C-terminal binding protein 2</t>
        </is>
      </c>
      <c r="AG215" t="inlineStr">
        <is>
          <t xml:space="preserve">FUNCTION: Corepressor targeting diverse transcription regulators. Functions in brown adipose tissue (BAT) differentiation (By similarity). {ECO:0000250}.; </t>
        </is>
      </c>
      <c r="AH215" t="inlineStr">
        <is>
          <t>.</t>
        </is>
      </c>
      <c r="AI215" t="inlineStr">
        <is>
          <t>.</t>
        </is>
      </c>
      <c r="AJ215" t="inlineStr">
        <is>
          <t>.</t>
        </is>
      </c>
      <c r="AK215" t="inlineStr">
        <is>
          <t>.</t>
        </is>
      </c>
      <c r="AL215" t="inlineStr">
        <is>
          <t>.</t>
        </is>
      </c>
    </row>
    <row r="216">
      <c r="A216" t="inlineStr"/>
      <c r="B216">
        <f>HYPERLINK("https://genome.ucsc.edu/cgi-bin/hgTracks?db=hg19&amp;position=chr10%3A126692035%2D126692035", "chr10:126692035")</f>
        <v/>
      </c>
      <c r="C216" t="inlineStr">
        <is>
          <t>chr10</t>
        </is>
      </c>
      <c r="D216" t="n">
        <v>126692035</v>
      </c>
      <c r="E216" t="n">
        <v>126692035</v>
      </c>
      <c r="F216" t="inlineStr">
        <is>
          <t>G</t>
        </is>
      </c>
      <c r="G216" t="inlineStr">
        <is>
          <t>T</t>
        </is>
      </c>
      <c r="H216" t="inlineStr">
        <is>
          <t>166.14</t>
        </is>
      </c>
      <c r="I216" t="inlineStr">
        <is>
          <t>4</t>
        </is>
      </c>
      <c r="J216" t="inlineStr">
        <is>
          <t>0,4</t>
        </is>
      </c>
      <c r="K216" t="inlineStr">
        <is>
          <t>.</t>
        </is>
      </c>
      <c r="L216" t="inlineStr">
        <is>
          <t>.</t>
        </is>
      </c>
      <c r="M216">
        <f>HYPERLINK("https://www.genecards.org/Search/Keyword?queryString=%5Baliases%5D(%20CTBP2%20)&amp;keywords=CTBP2", "CTBP2")</f>
        <v/>
      </c>
      <c r="N216" t="inlineStr">
        <is>
          <t>exonic</t>
        </is>
      </c>
      <c r="O216" t="inlineStr">
        <is>
          <t>nonsynonymous SNV</t>
        </is>
      </c>
      <c r="P216" t="inlineStr">
        <is>
          <t>CTBP2:NM_001363508:exon2:c.C289A:p.P97T,CTBP2:NM_022802:exon2:c.C1705A:p.P569T,CTBP2:NM_001321013:exon3:c.C85A:p.P29T,CTBP2:NM_001083914:exon4:c.C85A:p.P29T,CTBP2:NM_001290214:exon4:c.C85A:p.P29T,CTBP2:NM_001290215:exon4:c.C85A:p.P29T,CTBP2:NM_001321012:exon4:c.C85A:p.P29T,CTBP2:NM_001321014:exon4:c.C85A:p.P29T,CTBP2:NM_001329:exon4:c.C85A:p.P29T;CTBP2:uc001lid.4:exon2:c.C289A:p.P97T,CTBP2:uc001lie.4:exon2:c.C1705A:p.P569T,CTBP2:uc001lif.4:exon4:c.C85A:p.P29T,CTBP2:uc001lih.4:exon4:c.C85A:p.P29T,CTBP2:uc009yak.3:exon4:c.C85A:p.P29T,CTBP2:uc009yal.3:exon4:c.C85A:p.P29T;CTBP2:ENST00000309035.11_5:exon2:c.C1705A:p.P569T,CTBP2:ENST00000334808.10_4:exon2:c.C289A:p.P97T,CTBP2:ENST00000337195.9_3:exon4:c.C85A:p.P29T,CTBP2:ENST00000411419.6_3:exon4:c.C85A:p.P29T,CTBP2:ENST00000494626.6_3:exon4:c.C85A:p.P29T,CTBP2:ENST00000531469.5_3:exon4:c.C85A:p.P29T</t>
        </is>
      </c>
      <c r="Q216" t="n">
        <v>-1</v>
      </c>
      <c r="R216" t="n">
        <v>-1</v>
      </c>
      <c r="S216" t="n">
        <v>-1</v>
      </c>
      <c r="T216" t="n">
        <v>-1</v>
      </c>
      <c r="U216" t="n">
        <v>-1</v>
      </c>
      <c r="V216" t="inlineStr">
        <is>
          <t>10/12</t>
        </is>
      </c>
      <c r="W216" t="inlineStr">
        <is>
          <t>.</t>
        </is>
      </c>
      <c r="X216" t="inlineStr">
        <is>
          <t>.</t>
        </is>
      </c>
      <c r="Y216" t="inlineStr">
        <is>
          <t>.</t>
        </is>
      </c>
      <c r="Z216" t="inlineStr">
        <is>
          <t>5/7</t>
        </is>
      </c>
      <c r="AA216" t="inlineStr">
        <is>
          <t>Uncertain significance</t>
        </is>
      </c>
      <c r="AB216" t="inlineStr">
        <is>
          <t>.</t>
        </is>
      </c>
      <c r="AC216" t="inlineStr">
        <is>
          <t>.</t>
        </is>
      </c>
      <c r="AD216" t="inlineStr">
        <is>
          <t>82</t>
        </is>
      </c>
      <c r="AE216" t="inlineStr">
        <is>
          <t>0.655184958473335</t>
        </is>
      </c>
      <c r="AF216" t="inlineStr">
        <is>
          <t>C-terminal binding protein 2</t>
        </is>
      </c>
      <c r="AG216" t="inlineStr">
        <is>
          <t xml:space="preserve">FUNCTION: Corepressor targeting diverse transcription regulators. Functions in brown adipose tissue (BAT) differentiation (By similarity). {ECO:0000250}.; </t>
        </is>
      </c>
      <c r="AH216" t="inlineStr">
        <is>
          <t>.</t>
        </is>
      </c>
      <c r="AI216" t="inlineStr">
        <is>
          <t>.</t>
        </is>
      </c>
      <c r="AJ216" t="inlineStr">
        <is>
          <t>.</t>
        </is>
      </c>
      <c r="AK216" t="inlineStr">
        <is>
          <t>.</t>
        </is>
      </c>
      <c r="AL216" t="inlineStr">
        <is>
          <t>.</t>
        </is>
      </c>
    </row>
    <row r="217">
      <c r="A217" t="inlineStr"/>
      <c r="B217">
        <f>HYPERLINK("https://genome.ucsc.edu/cgi-bin/hgTracks?db=hg19&amp;position=chr10%3A126692037%2D126692037", "chr10:126692037")</f>
        <v/>
      </c>
      <c r="C217" t="inlineStr">
        <is>
          <t>chr10</t>
        </is>
      </c>
      <c r="D217" t="n">
        <v>126692037</v>
      </c>
      <c r="E217" t="n">
        <v>126692037</v>
      </c>
      <c r="F217" t="inlineStr">
        <is>
          <t>C</t>
        </is>
      </c>
      <c r="G217" t="inlineStr">
        <is>
          <t>A</t>
        </is>
      </c>
      <c r="H217" t="inlineStr">
        <is>
          <t>166.14</t>
        </is>
      </c>
      <c r="I217" t="inlineStr">
        <is>
          <t>4</t>
        </is>
      </c>
      <c r="J217" t="inlineStr">
        <is>
          <t>0,4</t>
        </is>
      </c>
      <c r="K217" t="inlineStr">
        <is>
          <t>.</t>
        </is>
      </c>
      <c r="L217">
        <f>HYPERLINK("https://www.ncbi.nlm.nih.gov/snp/rs368195398", "rs368195398")</f>
        <v/>
      </c>
      <c r="M217">
        <f>HYPERLINK("https://www.genecards.org/Search/Keyword?queryString=%5Baliases%5D(%20CTBP2%20)&amp;keywords=CTBP2", "CTBP2")</f>
        <v/>
      </c>
      <c r="N217" t="inlineStr">
        <is>
          <t>exonic</t>
        </is>
      </c>
      <c r="O217" t="inlineStr">
        <is>
          <t>nonsynonymous SNV</t>
        </is>
      </c>
      <c r="P217" t="inlineStr">
        <is>
          <t>CTBP2:NM_001363508:exon2:c.G287T:p.G96V,CTBP2:NM_022802:exon2:c.G1703T:p.G568V,CTBP2:NM_001321013:exon3:c.G83T:p.G28V,CTBP2:NM_001083914:exon4:c.G83T:p.G28V,CTBP2:NM_001290214:exon4:c.G83T:p.G28V,CTBP2:NM_001290215:exon4:c.G83T:p.G28V,CTBP2:NM_001321012:exon4:c.G83T:p.G28V,CTBP2:NM_001321014:exon4:c.G83T:p.G28V,CTBP2:NM_001329:exon4:c.G83T:p.G28V;CTBP2:uc001lid.4:exon2:c.G287T:p.G96V,CTBP2:uc001lie.4:exon2:c.G1703T:p.G568V,CTBP2:uc001lif.4:exon4:c.G83T:p.G28V,CTBP2:uc001lih.4:exon4:c.G83T:p.G28V,CTBP2:uc009yak.3:exon4:c.G83T:p.G28V,CTBP2:uc009yal.3:exon4:c.G83T:p.G28V;CTBP2:ENST00000309035.11_5:exon2:c.G1703T:p.G568V,CTBP2:ENST00000334808.10_4:exon2:c.G287T:p.G96V,CTBP2:ENST00000337195.9_3:exon4:c.G83T:p.G28V,CTBP2:ENST00000411419.6_3:exon4:c.G83T:p.G28V,CTBP2:ENST00000494626.6_3:exon4:c.G83T:p.G28V,CTBP2:ENST00000531469.5_3:exon4:c.G83T:p.G28V</t>
        </is>
      </c>
      <c r="Q217" t="n">
        <v>7.9e-05</v>
      </c>
      <c r="R217" t="n">
        <v>-1</v>
      </c>
      <c r="S217" t="n">
        <v>-1</v>
      </c>
      <c r="T217" t="n">
        <v>-1</v>
      </c>
      <c r="U217" t="n">
        <v>-1</v>
      </c>
      <c r="V217" t="inlineStr">
        <is>
          <t>10/11</t>
        </is>
      </c>
      <c r="W217" t="inlineStr">
        <is>
          <t>.</t>
        </is>
      </c>
      <c r="X217" t="inlineStr">
        <is>
          <t>.</t>
        </is>
      </c>
      <c r="Y217" t="inlineStr">
        <is>
          <t>.</t>
        </is>
      </c>
      <c r="Z217" t="inlineStr">
        <is>
          <t>4/7</t>
        </is>
      </c>
      <c r="AA217" t="inlineStr">
        <is>
          <t>Uncertain significance</t>
        </is>
      </c>
      <c r="AB217" t="inlineStr">
        <is>
          <t>.</t>
        </is>
      </c>
      <c r="AC217" t="inlineStr">
        <is>
          <t>.</t>
        </is>
      </c>
      <c r="AD217" t="inlineStr">
        <is>
          <t>82</t>
        </is>
      </c>
      <c r="AE217" t="inlineStr">
        <is>
          <t>0.655184958473335</t>
        </is>
      </c>
      <c r="AF217" t="inlineStr">
        <is>
          <t>C-terminal binding protein 2</t>
        </is>
      </c>
      <c r="AG217" t="inlineStr">
        <is>
          <t xml:space="preserve">FUNCTION: Corepressor targeting diverse transcription regulators. Functions in brown adipose tissue (BAT) differentiation (By similarity). {ECO:0000250}.; </t>
        </is>
      </c>
      <c r="AH217" t="inlineStr">
        <is>
          <t>.</t>
        </is>
      </c>
      <c r="AI217" t="inlineStr">
        <is>
          <t>.</t>
        </is>
      </c>
      <c r="AJ217" t="inlineStr">
        <is>
          <t>.</t>
        </is>
      </c>
      <c r="AK217" t="inlineStr">
        <is>
          <t>.</t>
        </is>
      </c>
      <c r="AL217" t="inlineStr">
        <is>
          <t>.</t>
        </is>
      </c>
    </row>
    <row r="218">
      <c r="A218" t="inlineStr"/>
      <c r="B218">
        <f>HYPERLINK("https://genome.ucsc.edu/cgi-bin/hgTracks?db=hg19&amp;position=chr10%3A126692039%2D126692039", "chr10:126692039")</f>
        <v/>
      </c>
      <c r="C218" t="inlineStr">
        <is>
          <t>chr10</t>
        </is>
      </c>
      <c r="D218" t="n">
        <v>126692039</v>
      </c>
      <c r="E218" t="n">
        <v>126692039</v>
      </c>
      <c r="F218" t="inlineStr">
        <is>
          <t>G</t>
        </is>
      </c>
      <c r="G218" t="inlineStr">
        <is>
          <t>T</t>
        </is>
      </c>
      <c r="H218" t="inlineStr">
        <is>
          <t>166.14</t>
        </is>
      </c>
      <c r="I218" t="inlineStr">
        <is>
          <t>4</t>
        </is>
      </c>
      <c r="J218" t="inlineStr">
        <is>
          <t>0,4</t>
        </is>
      </c>
      <c r="K218" t="inlineStr">
        <is>
          <t>.</t>
        </is>
      </c>
      <c r="L218">
        <f>HYPERLINK("https://www.ncbi.nlm.nih.gov/snp/rs797010536", "rs797010536")</f>
        <v/>
      </c>
      <c r="M218">
        <f>HYPERLINK("https://www.genecards.org/Search/Keyword?queryString=%5Baliases%5D(%20CTBP2%20)&amp;keywords=CTBP2", "CTBP2")</f>
        <v/>
      </c>
      <c r="N218" t="inlineStr">
        <is>
          <t>exonic</t>
        </is>
      </c>
      <c r="O218" t="inlineStr">
        <is>
          <t>nonsynonymous SNV</t>
        </is>
      </c>
      <c r="P218" t="inlineStr">
        <is>
          <t>CTBP2:NM_001363508:exon2:c.C285A:p.N95K,CTBP2:NM_022802:exon2:c.C1701A:p.N567K,CTBP2:NM_001321013:exon3:c.C81A:p.N27K,CTBP2:NM_001083914:exon4:c.C81A:p.N27K,CTBP2:NM_001290214:exon4:c.C81A:p.N27K,CTBP2:NM_001290215:exon4:c.C81A:p.N27K,CTBP2:NM_001321012:exon4:c.C81A:p.N27K,CTBP2:NM_001321014:exon4:c.C81A:p.N27K,CTBP2:NM_001329:exon4:c.C81A:p.N27K;CTBP2:uc001lid.4:exon2:c.C285A:p.N95K,CTBP2:uc001lie.4:exon2:c.C1701A:p.N567K,CTBP2:uc001lif.4:exon4:c.C81A:p.N27K,CTBP2:uc001lih.4:exon4:c.C81A:p.N27K,CTBP2:uc009yak.3:exon4:c.C81A:p.N27K,CTBP2:uc009yal.3:exon4:c.C81A:p.N27K;CTBP2:ENST00000309035.11_5:exon2:c.C1701A:p.N567K,CTBP2:ENST00000334808.10_4:exon2:c.C285A:p.N95K,CTBP2:ENST00000337195.9_3:exon4:c.C81A:p.N27K,CTBP2:ENST00000411419.6_3:exon4:c.C81A:p.N27K,CTBP2:ENST00000494626.6_3:exon4:c.C81A:p.N27K,CTBP2:ENST00000531469.5_3:exon4:c.C81A:p.N27K</t>
        </is>
      </c>
      <c r="Q218" t="n">
        <v>-1</v>
      </c>
      <c r="R218" t="n">
        <v>-1</v>
      </c>
      <c r="S218" t="n">
        <v>-1</v>
      </c>
      <c r="T218" t="n">
        <v>-1</v>
      </c>
      <c r="U218" t="n">
        <v>-1</v>
      </c>
      <c r="V218" t="inlineStr">
        <is>
          <t>7/12</t>
        </is>
      </c>
      <c r="W218" t="inlineStr">
        <is>
          <t>.</t>
        </is>
      </c>
      <c r="X218" t="inlineStr">
        <is>
          <t>.</t>
        </is>
      </c>
      <c r="Y218" t="inlineStr">
        <is>
          <t>.</t>
        </is>
      </c>
      <c r="Z218" t="inlineStr">
        <is>
          <t>3/7</t>
        </is>
      </c>
      <c r="AA218" t="inlineStr">
        <is>
          <t>Uncertain significance</t>
        </is>
      </c>
      <c r="AB218" t="inlineStr">
        <is>
          <t>.</t>
        </is>
      </c>
      <c r="AC218" t="inlineStr">
        <is>
          <t>.</t>
        </is>
      </c>
      <c r="AD218" t="inlineStr">
        <is>
          <t>82</t>
        </is>
      </c>
      <c r="AE218" t="inlineStr">
        <is>
          <t>0.655184958473335</t>
        </is>
      </c>
      <c r="AF218" t="inlineStr">
        <is>
          <t>C-terminal binding protein 2</t>
        </is>
      </c>
      <c r="AG218" t="inlineStr">
        <is>
          <t xml:space="preserve">FUNCTION: Corepressor targeting diverse transcription regulators. Functions in brown adipose tissue (BAT) differentiation (By similarity). {ECO:0000250}.; </t>
        </is>
      </c>
      <c r="AH218" t="inlineStr">
        <is>
          <t>.</t>
        </is>
      </c>
      <c r="AI218" t="inlineStr">
        <is>
          <t>.</t>
        </is>
      </c>
      <c r="AJ218" t="inlineStr">
        <is>
          <t>.</t>
        </is>
      </c>
      <c r="AK218" t="inlineStr">
        <is>
          <t>.</t>
        </is>
      </c>
      <c r="AL218" t="inlineStr">
        <is>
          <t>.</t>
        </is>
      </c>
    </row>
    <row r="219">
      <c r="A219" t="inlineStr"/>
      <c r="B219">
        <f>HYPERLINK("https://genome.ucsc.edu/cgi-bin/hgTracks?db=hg19&amp;position=chr10%3A126727602%2D126727602", "chr10:126727602")</f>
        <v/>
      </c>
      <c r="C219" t="inlineStr">
        <is>
          <t>chr10</t>
        </is>
      </c>
      <c r="D219" t="n">
        <v>126727602</v>
      </c>
      <c r="E219" t="n">
        <v>126727602</v>
      </c>
      <c r="F219" t="inlineStr">
        <is>
          <t>T</t>
        </is>
      </c>
      <c r="G219" t="inlineStr">
        <is>
          <t>A</t>
        </is>
      </c>
      <c r="H219" t="inlineStr">
        <is>
          <t>6064.06</t>
        </is>
      </c>
      <c r="I219" t="inlineStr">
        <is>
          <t>140</t>
        </is>
      </c>
      <c r="J219" t="inlineStr">
        <is>
          <t>2,138</t>
        </is>
      </c>
      <c r="K219" t="inlineStr">
        <is>
          <t>.</t>
        </is>
      </c>
      <c r="L219">
        <f>HYPERLINK("https://www.ncbi.nlm.nih.gov/snp/rs76555439", "rs76555439")</f>
        <v/>
      </c>
      <c r="M219">
        <f>HYPERLINK("https://www.genecards.org/Search/Keyword?queryString=%5Baliases%5D(%20CTBP2%20)&amp;keywords=CTBP2", "CTBP2")</f>
        <v/>
      </c>
      <c r="N219" t="inlineStr">
        <is>
          <t>exonic</t>
        </is>
      </c>
      <c r="O219" t="inlineStr">
        <is>
          <t>stopgain</t>
        </is>
      </c>
      <c r="P219" t="inlineStr">
        <is>
          <t>CTBP2:NM_001321013:exon2:c.A22T:p.K8X,CTBP2:NM_001083914:exon3:c.A22T:p.K8X,CTBP2:NM_001290214:exon3:c.A22T:p.K8X,CTBP2:NM_001290215:exon3:c.A22T:p.K8X,CTBP2:NM_001321012:exon3:c.A22T:p.K8X,CTBP2:NM_001321014:exon3:c.A22T:p.K8X,CTBP2:NM_001329:exon3:c.A22T:p.K8X;CTBP2:uc001lif.4:exon3:c.A22T:p.K8X,CTBP2:uc001lih.4:exon3:c.A22T:p.K8X,CTBP2:uc009yak.3:exon3:c.A22T:p.K8X,CTBP2:uc009yal.3:exon3:c.A22T:p.K8X;CTBP2:ENST00000337195.9_3:exon3:c.A22T:p.K8X,CTBP2:ENST00000411419.6_3:exon3:c.A22T:p.K8X,CTBP2:ENST00000494626.6_3:exon3:c.A22T:p.K8X,CTBP2:ENST00000531469.5_3:exon3:c.A22T:p.K8X</t>
        </is>
      </c>
      <c r="Q219" t="n">
        <v>2.59e-05</v>
      </c>
      <c r="R219" t="n">
        <v>-1</v>
      </c>
      <c r="S219" t="n">
        <v>-1</v>
      </c>
      <c r="T219" t="n">
        <v>-1</v>
      </c>
      <c r="U219" t="n">
        <v>-1</v>
      </c>
      <c r="V219" t="inlineStr">
        <is>
          <t>2/2</t>
        </is>
      </c>
      <c r="W219" t="inlineStr">
        <is>
          <t>.</t>
        </is>
      </c>
      <c r="X219" t="inlineStr">
        <is>
          <t>.</t>
        </is>
      </c>
      <c r="Y219" t="inlineStr">
        <is>
          <t>.</t>
        </is>
      </c>
      <c r="Z219" t="inlineStr">
        <is>
          <t>4/7</t>
        </is>
      </c>
      <c r="AA219" t="inlineStr">
        <is>
          <t>Uncertain significance</t>
        </is>
      </c>
      <c r="AB219" t="inlineStr">
        <is>
          <t>.</t>
        </is>
      </c>
      <c r="AC219" t="inlineStr">
        <is>
          <t>.</t>
        </is>
      </c>
      <c r="AD219" t="inlineStr">
        <is>
          <t>82</t>
        </is>
      </c>
      <c r="AE219" t="inlineStr">
        <is>
          <t>0.655184958473335</t>
        </is>
      </c>
      <c r="AF219" t="inlineStr">
        <is>
          <t>C-terminal binding protein 2</t>
        </is>
      </c>
      <c r="AG219" t="inlineStr">
        <is>
          <t xml:space="preserve">FUNCTION: Corepressor targeting diverse transcription regulators. Functions in brown adipose tissue (BAT) differentiation (By similarity). {ECO:0000250}.; </t>
        </is>
      </c>
      <c r="AH219" t="inlineStr">
        <is>
          <t>.</t>
        </is>
      </c>
      <c r="AI219" t="inlineStr">
        <is>
          <t>.</t>
        </is>
      </c>
      <c r="AJ219" t="inlineStr">
        <is>
          <t>.</t>
        </is>
      </c>
      <c r="AK219" t="inlineStr">
        <is>
          <t>.</t>
        </is>
      </c>
      <c r="AL219" t="inlineStr">
        <is>
          <t>.</t>
        </is>
      </c>
    </row>
    <row r="220">
      <c r="A220" t="inlineStr"/>
      <c r="B220">
        <f>HYPERLINK("https://genome.ucsc.edu/cgi-bin/hgTracks?db=hg19&amp;position=chr10%3A126727604%2D126727604", "chr10:126727604")</f>
        <v/>
      </c>
      <c r="C220" t="inlineStr">
        <is>
          <t>chr10</t>
        </is>
      </c>
      <c r="D220" t="n">
        <v>126727604</v>
      </c>
      <c r="E220" t="n">
        <v>126727604</v>
      </c>
      <c r="F220" t="inlineStr">
        <is>
          <t>T</t>
        </is>
      </c>
      <c r="G220" t="inlineStr">
        <is>
          <t>C</t>
        </is>
      </c>
      <c r="H220" t="inlineStr">
        <is>
          <t>6154.06</t>
        </is>
      </c>
      <c r="I220" t="inlineStr">
        <is>
          <t>142</t>
        </is>
      </c>
      <c r="J220" t="inlineStr">
        <is>
          <t>2,140</t>
        </is>
      </c>
      <c r="K220" t="inlineStr">
        <is>
          <t>.</t>
        </is>
      </c>
      <c r="L220">
        <f>HYPERLINK("https://www.ncbi.nlm.nih.gov/snp/rs78849795", "rs78849795")</f>
        <v/>
      </c>
      <c r="M220">
        <f>HYPERLINK("https://www.genecards.org/Search/Keyword?queryString=%5Baliases%5D(%20CTBP2%20)&amp;keywords=CTBP2", "CTBP2")</f>
        <v/>
      </c>
      <c r="N220" t="inlineStr">
        <is>
          <t>exonic</t>
        </is>
      </c>
      <c r="O220" t="inlineStr">
        <is>
          <t>nonsynonymous SNV</t>
        </is>
      </c>
      <c r="P220" t="inlineStr">
        <is>
          <t>CTBP2:NM_001321013:exon2:c.A20G:p.H7R,CTBP2:NM_001083914:exon3:c.A20G:p.H7R,CTBP2:NM_001290214:exon3:c.A20G:p.H7R,CTBP2:NM_001290215:exon3:c.A20G:p.H7R,CTBP2:NM_001321012:exon3:c.A20G:p.H7R,CTBP2:NM_001321014:exon3:c.A20G:p.H7R,CTBP2:NM_001329:exon3:c.A20G:p.H7R;CTBP2:uc001lif.4:exon3:c.A20G:p.H7R,CTBP2:uc001lih.4:exon3:c.A20G:p.H7R,CTBP2:uc009yak.3:exon3:c.A20G:p.H7R,CTBP2:uc009yal.3:exon3:c.A20G:p.H7R;CTBP2:ENST00000337195.9_3:exon3:c.A20G:p.H7R,CTBP2:ENST00000411419.6_3:exon3:c.A20G:p.H7R,CTBP2:ENST00000494626.6_3:exon3:c.A20G:p.H7R,CTBP2:ENST00000531469.5_3:exon3:c.A20G:p.H7R</t>
        </is>
      </c>
      <c r="Q220" t="n">
        <v>3.23e-05</v>
      </c>
      <c r="R220" t="n">
        <v>-1</v>
      </c>
      <c r="S220" t="n">
        <v>-1</v>
      </c>
      <c r="T220" t="n">
        <v>-1</v>
      </c>
      <c r="U220" t="n">
        <v>-1</v>
      </c>
      <c r="V220" t="inlineStr">
        <is>
          <t>3/11</t>
        </is>
      </c>
      <c r="W220" t="inlineStr">
        <is>
          <t>.</t>
        </is>
      </c>
      <c r="X220" t="inlineStr">
        <is>
          <t>.</t>
        </is>
      </c>
      <c r="Y220" t="inlineStr">
        <is>
          <t>.</t>
        </is>
      </c>
      <c r="Z220" t="inlineStr">
        <is>
          <t>4/7</t>
        </is>
      </c>
      <c r="AA220" t="inlineStr">
        <is>
          <t>Uncertain significance</t>
        </is>
      </c>
      <c r="AB220" t="inlineStr">
        <is>
          <t>.</t>
        </is>
      </c>
      <c r="AC220" t="inlineStr">
        <is>
          <t>.</t>
        </is>
      </c>
      <c r="AD220" t="inlineStr">
        <is>
          <t>82</t>
        </is>
      </c>
      <c r="AE220" t="inlineStr">
        <is>
          <t>0.655184958473335</t>
        </is>
      </c>
      <c r="AF220" t="inlineStr">
        <is>
          <t>C-terminal binding protein 2</t>
        </is>
      </c>
      <c r="AG220" t="inlineStr">
        <is>
          <t xml:space="preserve">FUNCTION: Corepressor targeting diverse transcription regulators. Functions in brown adipose tissue (BAT) differentiation (By similarity). {ECO:0000250}.; </t>
        </is>
      </c>
      <c r="AH220" t="inlineStr">
        <is>
          <t>.</t>
        </is>
      </c>
      <c r="AI220" t="inlineStr">
        <is>
          <t>GenotypeConflict</t>
        </is>
      </c>
      <c r="AJ220" t="inlineStr">
        <is>
          <t>.</t>
        </is>
      </c>
      <c r="AK220" t="inlineStr">
        <is>
          <t>.</t>
        </is>
      </c>
      <c r="AL220" t="inlineStr">
        <is>
          <t>.</t>
        </is>
      </c>
    </row>
    <row r="221">
      <c r="A221" t="inlineStr"/>
      <c r="B221">
        <f>HYPERLINK("https://genome.ucsc.edu/cgi-bin/hgTracks?db=hg19&amp;position=chr10%3A126727615%2D126727615", "chr10:126727615")</f>
        <v/>
      </c>
      <c r="C221" t="inlineStr">
        <is>
          <t>chr10</t>
        </is>
      </c>
      <c r="D221" t="n">
        <v>126727615</v>
      </c>
      <c r="E221" t="n">
        <v>126727615</v>
      </c>
      <c r="F221" t="inlineStr">
        <is>
          <t>A</t>
        </is>
      </c>
      <c r="G221" t="inlineStr">
        <is>
          <t>-</t>
        </is>
      </c>
      <c r="H221" t="inlineStr">
        <is>
          <t>1305.60</t>
        </is>
      </c>
      <c r="I221" t="inlineStr">
        <is>
          <t>148</t>
        </is>
      </c>
      <c r="J221" t="inlineStr">
        <is>
          <t>101,47</t>
        </is>
      </c>
      <c r="K221" t="inlineStr">
        <is>
          <t>.</t>
        </is>
      </c>
      <c r="L221">
        <f>HYPERLINK("https://www.ncbi.nlm.nih.gov/snp/rs144283283", "rs144283283")</f>
        <v/>
      </c>
      <c r="M221">
        <f>HYPERLINK("https://www.genecards.org/Search/Keyword?queryString=%5Baliases%5D(%20CTBP2%20)&amp;keywords=CTBP2", "CTBP2")</f>
        <v/>
      </c>
      <c r="N221" t="inlineStr">
        <is>
          <t>exonic</t>
        </is>
      </c>
      <c r="O221" t="inlineStr">
        <is>
          <t>frameshift deletion</t>
        </is>
      </c>
      <c r="P221" t="inlineStr">
        <is>
          <t>CTBP2:NM_001321013:exon2:c.9delT:p.V4Wfs*23,CTBP2:NM_001083914:exon3:c.9delT:p.V4Wfs*23,CTBP2:NM_001290214:exon3:c.9delT:p.V4Wfs*23,CTBP2:NM_001290215:exon3:c.9delT:p.V4Wfs*23,CTBP2:NM_001321012:exon3:c.9delT:p.V4Wfs*23,CTBP2:NM_001321014:exon3:c.9delT:p.V4Wfs*23,CTBP2:NM_001329:exon3:c.9delT:p.V4Wfs*23;CTBP2:uc001lif.4:exon3:c.9delT:p.V4Wfs*23,CTBP2:uc001lih.4:exon3:c.9delT:p.V4Wfs*23,CTBP2:uc009yak.3:exon3:c.9delT:p.V4Wfs*23,CTBP2:uc009yal.3:exon3:c.9delT:p.V4Wfs*23;CTBP2:ENST00000337195.9_3:exon3:c.9delT:p.V4Wfs*23,CTBP2:ENST00000411419.6_3:exon3:c.9delT:p.V4Wfs*23,CTBP2:ENST00000494626.6_3:exon3:c.9delT:p.V4Wfs*23,CTBP2:ENST00000531469.5_3:exon3:c.9delT:p.V4Wfs*23</t>
        </is>
      </c>
      <c r="Q221" t="n">
        <v>6.5e-06</v>
      </c>
      <c r="R221" t="n">
        <v>-1</v>
      </c>
      <c r="S221" t="n">
        <v>-1</v>
      </c>
      <c r="T221" t="n">
        <v>-1</v>
      </c>
      <c r="U221" t="n">
        <v>-1</v>
      </c>
      <c r="V221" t="inlineStr">
        <is>
          <t>.</t>
        </is>
      </c>
      <c r="W221" t="inlineStr">
        <is>
          <t>.</t>
        </is>
      </c>
      <c r="X221" t="inlineStr">
        <is>
          <t>.</t>
        </is>
      </c>
      <c r="Y221" t="inlineStr">
        <is>
          <t>.</t>
        </is>
      </c>
      <c r="Z221" t="inlineStr">
        <is>
          <t>.</t>
        </is>
      </c>
      <c r="AA221" t="inlineStr">
        <is>
          <t>.</t>
        </is>
      </c>
      <c r="AB221" t="inlineStr">
        <is>
          <t>.</t>
        </is>
      </c>
      <c r="AC221" t="inlineStr">
        <is>
          <t>0/1</t>
        </is>
      </c>
      <c r="AD221" t="inlineStr">
        <is>
          <t>82</t>
        </is>
      </c>
      <c r="AE221" t="inlineStr">
        <is>
          <t>0.655184958473335</t>
        </is>
      </c>
      <c r="AF221" t="inlineStr">
        <is>
          <t>C-terminal binding protein 2</t>
        </is>
      </c>
      <c r="AG221" t="inlineStr">
        <is>
          <t xml:space="preserve">FUNCTION: Corepressor targeting diverse transcription regulators. Functions in brown adipose tissue (BAT) differentiation (By similarity). {ECO:0000250}.; </t>
        </is>
      </c>
      <c r="AH221" t="inlineStr">
        <is>
          <t>.</t>
        </is>
      </c>
      <c r="AI221" t="inlineStr">
        <is>
          <t>.</t>
        </is>
      </c>
      <c r="AJ221" t="inlineStr">
        <is>
          <t>.</t>
        </is>
      </c>
      <c r="AK221" t="inlineStr">
        <is>
          <t>.</t>
        </is>
      </c>
      <c r="AL221" t="inlineStr">
        <is>
          <t>.</t>
        </is>
      </c>
    </row>
    <row r="222">
      <c r="A222" t="inlineStr"/>
      <c r="B222">
        <f>HYPERLINK("https://genome.ucsc.edu/cgi-bin/hgTracks?db=hg19&amp;position=chr10%3A129905112%2D129905113", "chr10:129905112")</f>
        <v/>
      </c>
      <c r="C222" t="inlineStr">
        <is>
          <t>chr10</t>
        </is>
      </c>
      <c r="D222" t="n">
        <v>129905112</v>
      </c>
      <c r="E222" t="n">
        <v>129905113</v>
      </c>
      <c r="F222" t="inlineStr">
        <is>
          <t>TG</t>
        </is>
      </c>
      <c r="G222" t="inlineStr">
        <is>
          <t>-</t>
        </is>
      </c>
      <c r="H222" t="inlineStr">
        <is>
          <t>60.60</t>
        </is>
      </c>
      <c r="I222" t="inlineStr">
        <is>
          <t>105</t>
        </is>
      </c>
      <c r="J222" t="inlineStr">
        <is>
          <t>95,10</t>
        </is>
      </c>
      <c r="K222" t="inlineStr">
        <is>
          <t>.</t>
        </is>
      </c>
      <c r="L222">
        <f>HYPERLINK("https://www.ncbi.nlm.nih.gov/snp/rs145960091", "rs145960091")</f>
        <v/>
      </c>
      <c r="M222">
        <f>HYPERLINK("https://www.genecards.org/Search/Keyword?queryString=%5Baliases%5D(%20MKI67%20)&amp;keywords=MKI67", "MKI67")</f>
        <v/>
      </c>
      <c r="N222" t="inlineStr">
        <is>
          <t>exonic</t>
        </is>
      </c>
      <c r="O222" t="inlineStr">
        <is>
          <t>frameshift deletion</t>
        </is>
      </c>
      <c r="P222" t="inlineStr">
        <is>
          <t>MKI67:NM_001145966:exon12:c.3911_3912del:p.T1304Rfs*7,MKI67:NM_002417:exon13:c.4991_4992del:p.T1664Rfs*7;MKI67:uc009yaw.1:exon2:c.2441_2442del:p.T814Rfs*7,MKI67:uc009yav.1:exon9:c.3716_3717del:p.T1239Rfs*7,MKI67:uc001lkf.3:exon12:c.3911_3912del:p.T1304Rfs*7,MKI67:uc001lke.3:exon13:c.4991_4992del:p.T1664Rfs*7;MKI67:ENST00000368653.7_3:exon12:c.3911_3912del:p.T1304Rfs*7,MKI67:ENST00000368654.8_6:exon13:c.4991_4992del:p.T1664Rfs*7</t>
        </is>
      </c>
      <c r="Q222" t="n">
        <v>0.0021</v>
      </c>
      <c r="R222" t="n">
        <v>0.0001</v>
      </c>
      <c r="S222" t="n">
        <v>-1</v>
      </c>
      <c r="T222" t="n">
        <v>-1</v>
      </c>
      <c r="U222" t="n">
        <v>-1</v>
      </c>
      <c r="V222" t="inlineStr">
        <is>
          <t>.</t>
        </is>
      </c>
      <c r="W222" t="inlineStr">
        <is>
          <t>.</t>
        </is>
      </c>
      <c r="X222" t="inlineStr">
        <is>
          <t>.</t>
        </is>
      </c>
      <c r="Y222" t="inlineStr">
        <is>
          <t>.</t>
        </is>
      </c>
      <c r="Z222" t="inlineStr">
        <is>
          <t>.</t>
        </is>
      </c>
      <c r="AA222" t="inlineStr">
        <is>
          <t>.</t>
        </is>
      </c>
      <c r="AB222" t="inlineStr">
        <is>
          <t>.</t>
        </is>
      </c>
      <c r="AC222" t="inlineStr">
        <is>
          <t>0/1</t>
        </is>
      </c>
      <c r="AD222" t="inlineStr">
        <is>
          <t>1</t>
        </is>
      </c>
      <c r="AE222" t="inlineStr">
        <is>
          <t>4.17035383841505e-16</t>
        </is>
      </c>
      <c r="AF222" t="inlineStr">
        <is>
          <t>marker of proliferation Ki-67</t>
        </is>
      </c>
      <c r="AG222" t="inlineStr">
        <is>
          <t xml:space="preserve">FUNCTION: Thought to be required for maintaining cell proliferation.; </t>
        </is>
      </c>
      <c r="AH222" t="inlineStr">
        <is>
          <t>.</t>
        </is>
      </c>
      <c r="AI222" t="inlineStr">
        <is>
          <t>.</t>
        </is>
      </c>
      <c r="AJ222" t="inlineStr">
        <is>
          <t>.</t>
        </is>
      </c>
      <c r="AK222" t="inlineStr">
        <is>
          <t>.</t>
        </is>
      </c>
      <c r="AL222" t="inlineStr">
        <is>
          <t>.</t>
        </is>
      </c>
    </row>
    <row r="223">
      <c r="A223" t="inlineStr"/>
      <c r="B223">
        <f>HYPERLINK("https://genome.ucsc.edu/cgi-bin/hgTracks?db=hg19&amp;position=chr11%3A397348%2D397348", "chr11:397348")</f>
        <v/>
      </c>
      <c r="C223" t="inlineStr">
        <is>
          <t>chr11</t>
        </is>
      </c>
      <c r="D223" t="n">
        <v>397348</v>
      </c>
      <c r="E223" t="n">
        <v>397348</v>
      </c>
      <c r="F223" t="inlineStr">
        <is>
          <t>A</t>
        </is>
      </c>
      <c r="G223" t="inlineStr">
        <is>
          <t>G</t>
        </is>
      </c>
      <c r="H223" t="inlineStr">
        <is>
          <t>1398.64</t>
        </is>
      </c>
      <c r="I223" t="inlineStr">
        <is>
          <t>98</t>
        </is>
      </c>
      <c r="J223" t="inlineStr">
        <is>
          <t>44,54</t>
        </is>
      </c>
      <c r="K223" t="inlineStr">
        <is>
          <t>.</t>
        </is>
      </c>
      <c r="L223">
        <f>HYPERLINK("https://www.ncbi.nlm.nih.gov/snp/rs891780476", "rs891780476")</f>
        <v/>
      </c>
      <c r="M223">
        <f>HYPERLINK("https://www.genecards.org/Search/Keyword?queryString=%5Baliases%5D(%20PKP3%20)&amp;keywords=PKP3", "PKP3")</f>
        <v/>
      </c>
      <c r="N223" t="inlineStr">
        <is>
          <t>exonic</t>
        </is>
      </c>
      <c r="O223" t="inlineStr">
        <is>
          <t>nonsynonymous SNV</t>
        </is>
      </c>
      <c r="P223" t="inlineStr">
        <is>
          <t>PKP3:NM_007183:exon3:c.A847G:p.S283G,PKP3:NM_001303029:exon4:c.A892G:p.S298G;PKP3:uc001lpc.3:exon3:c.A847G:p.S283G,PKP3:uc021qbk.1:exon4:c.A892G:p.S298G;PKP3:ENST00000331563.7_3:exon3:c.A847G:p.S283G</t>
        </is>
      </c>
      <c r="Q223" t="n">
        <v>-1</v>
      </c>
      <c r="R223" t="n">
        <v>-1</v>
      </c>
      <c r="S223" t="n">
        <v>-1</v>
      </c>
      <c r="T223" t="n">
        <v>-1</v>
      </c>
      <c r="U223" t="n">
        <v>-1</v>
      </c>
      <c r="V223" t="inlineStr">
        <is>
          <t>5/12</t>
        </is>
      </c>
      <c r="W223" t="inlineStr">
        <is>
          <t>.</t>
        </is>
      </c>
      <c r="X223" t="inlineStr">
        <is>
          <t>.</t>
        </is>
      </c>
      <c r="Y223" t="inlineStr">
        <is>
          <t>.</t>
        </is>
      </c>
      <c r="Z223" t="inlineStr">
        <is>
          <t>1/7</t>
        </is>
      </c>
      <c r="AA223" t="inlineStr">
        <is>
          <t>Uncertain significance</t>
        </is>
      </c>
      <c r="AB223" t="inlineStr">
        <is>
          <t>.</t>
        </is>
      </c>
      <c r="AC223" t="inlineStr">
        <is>
          <t>0/1</t>
        </is>
      </c>
      <c r="AD223" t="inlineStr">
        <is>
          <t>1</t>
        </is>
      </c>
      <c r="AE223" t="inlineStr">
        <is>
          <t>0.194350414769518</t>
        </is>
      </c>
      <c r="AF223" t="inlineStr">
        <is>
          <t>plakophilin 3</t>
        </is>
      </c>
      <c r="AG223" t="inlineStr">
        <is>
          <t xml:space="preserve">FUNCTION: May play a role in junctional plaques.; </t>
        </is>
      </c>
      <c r="AH223" t="inlineStr">
        <is>
          <t>.</t>
        </is>
      </c>
      <c r="AI223" t="inlineStr">
        <is>
          <t>.</t>
        </is>
      </c>
      <c r="AJ223" t="inlineStr">
        <is>
          <t>.</t>
        </is>
      </c>
      <c r="AK223" t="inlineStr">
        <is>
          <t>.</t>
        </is>
      </c>
      <c r="AL223" t="inlineStr">
        <is>
          <t>.</t>
        </is>
      </c>
    </row>
    <row r="224">
      <c r="A224" t="inlineStr"/>
      <c r="B224">
        <f>HYPERLINK("https://genome.ucsc.edu/cgi-bin/hgTracks?db=hg19&amp;position=chr11%3A619468%2D619468", "chr11:619468")</f>
        <v/>
      </c>
      <c r="C224" t="inlineStr">
        <is>
          <t>chr11</t>
        </is>
      </c>
      <c r="D224" t="n">
        <v>619468</v>
      </c>
      <c r="E224" t="n">
        <v>619468</v>
      </c>
      <c r="F224" t="inlineStr">
        <is>
          <t>C</t>
        </is>
      </c>
      <c r="G224" t="inlineStr">
        <is>
          <t>T</t>
        </is>
      </c>
      <c r="H224" t="inlineStr">
        <is>
          <t>666.64</t>
        </is>
      </c>
      <c r="I224" t="inlineStr">
        <is>
          <t>90</t>
        </is>
      </c>
      <c r="J224" t="inlineStr">
        <is>
          <t>69,21</t>
        </is>
      </c>
      <c r="K224" t="inlineStr">
        <is>
          <t>.</t>
        </is>
      </c>
      <c r="L224" t="inlineStr">
        <is>
          <t>.</t>
        </is>
      </c>
      <c r="M224">
        <f>HYPERLINK("https://www.genecards.org/Search/Keyword?queryString=%5Baliases%5D(%20CDHR5%20)&amp;keywords=CDHR5", "CDHR5")</f>
        <v/>
      </c>
      <c r="N224" t="inlineStr">
        <is>
          <t>exonic;intronic</t>
        </is>
      </c>
      <c r="O224" t="inlineStr">
        <is>
          <t>synonymous SNV</t>
        </is>
      </c>
      <c r="P224" t="inlineStr">
        <is>
          <t>CDHR5:uc001lqm.2:exon10:c.G801A:p.R267R,CDHR5:uc009yce.1:exon10:c.G1206A:p.R402R</t>
        </is>
      </c>
      <c r="Q224" t="n">
        <v>-1</v>
      </c>
      <c r="R224" t="n">
        <v>-1</v>
      </c>
      <c r="S224" t="n">
        <v>-1</v>
      </c>
      <c r="T224" t="n">
        <v>-1</v>
      </c>
      <c r="U224" t="n">
        <v>-1</v>
      </c>
      <c r="V224" t="inlineStr">
        <is>
          <t>.</t>
        </is>
      </c>
      <c r="W224" t="inlineStr">
        <is>
          <t>T</t>
        </is>
      </c>
      <c r="X224" t="inlineStr">
        <is>
          <t>PD</t>
        </is>
      </c>
      <c r="Y224" t="inlineStr">
        <is>
          <t>on</t>
        </is>
      </c>
      <c r="Z224" t="inlineStr">
        <is>
          <t>.</t>
        </is>
      </c>
      <c r="AA224" t="inlineStr">
        <is>
          <t>.</t>
        </is>
      </c>
      <c r="AB224" t="inlineStr">
        <is>
          <t>.</t>
        </is>
      </c>
      <c r="AC224" t="inlineStr">
        <is>
          <t>.</t>
        </is>
      </c>
      <c r="AD224" t="inlineStr">
        <is>
          <t>2</t>
        </is>
      </c>
      <c r="AE224" t="inlineStr">
        <is>
          <t>1.31307026997115e-10</t>
        </is>
      </c>
      <c r="AF224" t="inlineStr">
        <is>
          <t>cadherin related family member 5</t>
        </is>
      </c>
      <c r="AG224" t="inlineStr">
        <is>
          <t xml:space="preserve">FUNCTION: Acts as a calcium-dependent cell adhesion protein. {ECO:0000250|UniProtKB:Q9JIK1}.; </t>
        </is>
      </c>
      <c r="AH224" t="inlineStr">
        <is>
          <t>.</t>
        </is>
      </c>
      <c r="AI224" t="inlineStr">
        <is>
          <t>.</t>
        </is>
      </c>
      <c r="AJ224" t="inlineStr">
        <is>
          <t>.</t>
        </is>
      </c>
      <c r="AK224" t="inlineStr">
        <is>
          <t>.</t>
        </is>
      </c>
      <c r="AL224" t="inlineStr">
        <is>
          <t>.</t>
        </is>
      </c>
    </row>
    <row r="225">
      <c r="A225" t="inlineStr"/>
      <c r="B225">
        <f>HYPERLINK("https://genome.ucsc.edu/cgi-bin/hgTracks?db=hg19&amp;position=chr11%3A619469%2D619469", "chr11:619469")</f>
        <v/>
      </c>
      <c r="C225" t="inlineStr">
        <is>
          <t>chr11</t>
        </is>
      </c>
      <c r="D225" t="n">
        <v>619469</v>
      </c>
      <c r="E225" t="n">
        <v>619469</v>
      </c>
      <c r="F225" t="inlineStr">
        <is>
          <t>C</t>
        </is>
      </c>
      <c r="G225" t="inlineStr">
        <is>
          <t>T</t>
        </is>
      </c>
      <c r="H225" t="inlineStr">
        <is>
          <t>666.64</t>
        </is>
      </c>
      <c r="I225" t="inlineStr">
        <is>
          <t>90</t>
        </is>
      </c>
      <c r="J225" t="inlineStr">
        <is>
          <t>69,21</t>
        </is>
      </c>
      <c r="K225" t="inlineStr">
        <is>
          <t>.</t>
        </is>
      </c>
      <c r="L225">
        <f>HYPERLINK("https://www.ncbi.nlm.nih.gov/snp/rs777024708", "rs777024708")</f>
        <v/>
      </c>
      <c r="M225">
        <f>HYPERLINK("https://www.genecards.org/Search/Keyword?queryString=%5Baliases%5D(%20CDHR5%20)&amp;keywords=CDHR5", "CDHR5")</f>
        <v/>
      </c>
      <c r="N225" t="inlineStr">
        <is>
          <t>exonic;intronic</t>
        </is>
      </c>
      <c r="O225" t="inlineStr">
        <is>
          <t>nonsynonymous SNV</t>
        </is>
      </c>
      <c r="P225" t="inlineStr">
        <is>
          <t>CDHR5:uc001lqm.2:exon10:c.G800A:p.R267Q,CDHR5:uc009yce.1:exon10:c.G1205A:p.R402Q</t>
        </is>
      </c>
      <c r="Q225" t="n">
        <v>2.59e-05</v>
      </c>
      <c r="R225" t="n">
        <v>-1</v>
      </c>
      <c r="S225" t="n">
        <v>-1</v>
      </c>
      <c r="T225" t="n">
        <v>-1</v>
      </c>
      <c r="U225" t="n">
        <v>-1</v>
      </c>
      <c r="V225" t="inlineStr">
        <is>
          <t>.</t>
        </is>
      </c>
      <c r="W225" t="inlineStr">
        <is>
          <t>D</t>
        </is>
      </c>
      <c r="X225" t="inlineStr">
        <is>
          <t>D</t>
        </is>
      </c>
      <c r="Y225" t="inlineStr">
        <is>
          <t>on</t>
        </is>
      </c>
      <c r="Z225" t="inlineStr">
        <is>
          <t>.</t>
        </is>
      </c>
      <c r="AA225" t="inlineStr">
        <is>
          <t>.</t>
        </is>
      </c>
      <c r="AB225" t="inlineStr">
        <is>
          <t>.</t>
        </is>
      </c>
      <c r="AC225" t="inlineStr">
        <is>
          <t>.</t>
        </is>
      </c>
      <c r="AD225" t="inlineStr">
        <is>
          <t>2</t>
        </is>
      </c>
      <c r="AE225" t="inlineStr">
        <is>
          <t>1.31307026997115e-10</t>
        </is>
      </c>
      <c r="AF225" t="inlineStr">
        <is>
          <t>cadherin related family member 5</t>
        </is>
      </c>
      <c r="AG225" t="inlineStr">
        <is>
          <t xml:space="preserve">FUNCTION: Acts as a calcium-dependent cell adhesion protein. {ECO:0000250|UniProtKB:Q9JIK1}.; </t>
        </is>
      </c>
      <c r="AH225" t="inlineStr">
        <is>
          <t>.</t>
        </is>
      </c>
      <c r="AI225" t="inlineStr">
        <is>
          <t>.</t>
        </is>
      </c>
      <c r="AJ225" t="inlineStr">
        <is>
          <t>.</t>
        </is>
      </c>
      <c r="AK225" t="inlineStr">
        <is>
          <t>.</t>
        </is>
      </c>
      <c r="AL225" t="inlineStr">
        <is>
          <t>.</t>
        </is>
      </c>
    </row>
    <row r="226">
      <c r="A226" t="inlineStr"/>
      <c r="B226">
        <f>HYPERLINK("https://genome.ucsc.edu/cgi-bin/hgTracks?db=hg19&amp;position=chr11%3A1031602%2D1031602", "chr11:1031602")</f>
        <v/>
      </c>
      <c r="C226" t="inlineStr">
        <is>
          <t>chr11</t>
        </is>
      </c>
      <c r="D226" t="n">
        <v>1031602</v>
      </c>
      <c r="E226" t="n">
        <v>1031602</v>
      </c>
      <c r="F226" t="inlineStr">
        <is>
          <t>C</t>
        </is>
      </c>
      <c r="G226" t="inlineStr">
        <is>
          <t>T</t>
        </is>
      </c>
      <c r="H226" t="inlineStr">
        <is>
          <t>1740.64</t>
        </is>
      </c>
      <c r="I226" t="inlineStr">
        <is>
          <t>81</t>
        </is>
      </c>
      <c r="J226" t="inlineStr">
        <is>
          <t>17,64</t>
        </is>
      </c>
      <c r="K226" t="inlineStr">
        <is>
          <t>.</t>
        </is>
      </c>
      <c r="L226">
        <f>HYPERLINK("https://www.ncbi.nlm.nih.gov/snp/rs149883855", "rs149883855")</f>
        <v/>
      </c>
      <c r="M226">
        <f>HYPERLINK("https://www.genecards.org/Search/Keyword?queryString=%5Baliases%5D(%20MUC6%20)&amp;keywords=MUC6", "MUC6")</f>
        <v/>
      </c>
      <c r="N226" t="inlineStr">
        <is>
          <t>intronic</t>
        </is>
      </c>
      <c r="O226" t="inlineStr">
        <is>
          <t>.</t>
        </is>
      </c>
      <c r="P226" t="inlineStr">
        <is>
          <t>.</t>
        </is>
      </c>
      <c r="Q226" t="n">
        <v>0.0248</v>
      </c>
      <c r="R226" t="n">
        <v>0.026</v>
      </c>
      <c r="S226" t="n">
        <v>0.0344</v>
      </c>
      <c r="T226" t="n">
        <v>-1</v>
      </c>
      <c r="U226" t="n">
        <v>0.0447</v>
      </c>
      <c r="V226" t="inlineStr">
        <is>
          <t>.</t>
        </is>
      </c>
      <c r="W226" t="inlineStr">
        <is>
          <t>D</t>
        </is>
      </c>
      <c r="X226" t="inlineStr">
        <is>
          <t>D</t>
        </is>
      </c>
      <c r="Y226" t="inlineStr">
        <is>
          <t>on</t>
        </is>
      </c>
      <c r="Z226" t="inlineStr">
        <is>
          <t>.</t>
        </is>
      </c>
      <c r="AA226" t="inlineStr">
        <is>
          <t>.</t>
        </is>
      </c>
      <c r="AB226" t="inlineStr">
        <is>
          <t>.</t>
        </is>
      </c>
      <c r="AC226" t="inlineStr">
        <is>
          <t>0/1</t>
        </is>
      </c>
      <c r="AD226" t="inlineStr">
        <is>
          <t>1</t>
        </is>
      </c>
      <c r="AE226" t="inlineStr">
        <is>
          <t>1.08683766450872e-32</t>
        </is>
      </c>
      <c r="AF226" t="inlineStr">
        <is>
          <t>mucin 6, oligomeric mucus/gel-forming</t>
        </is>
      </c>
      <c r="AG226" t="inlineStr">
        <is>
          <t xml:space="preserve">FUNCTION: May provide a mechanism for modulation of the composition of the protective mucus layer related to acid secretion or the presence of bacteria and noxious agents in the lumen. Plays an important role in the cytoprotection of epithelial surfaces and are used as tumor markers in a variety of cancers. May play a role in epithelial organogenesis. {ECO:0000269|PubMed:10209489, ECO:0000269|PubMed:10330458, ECO:0000269|PubMed:11988092}.; </t>
        </is>
      </c>
      <c r="AH226" t="inlineStr">
        <is>
          <t>.</t>
        </is>
      </c>
      <c r="AI226" t="inlineStr">
        <is>
          <t>.</t>
        </is>
      </c>
      <c r="AJ226" t="inlineStr">
        <is>
          <t>.</t>
        </is>
      </c>
      <c r="AK226" t="inlineStr">
        <is>
          <t>.</t>
        </is>
      </c>
      <c r="AL226" t="inlineStr">
        <is>
          <t>.</t>
        </is>
      </c>
    </row>
    <row r="227">
      <c r="A227" t="inlineStr"/>
      <c r="B227">
        <f>HYPERLINK("https://genome.ucsc.edu/cgi-bin/hgTracks?db=hg19&amp;position=chr11%3A1085814%2D1085814", "chr11:1085814")</f>
        <v/>
      </c>
      <c r="C227" t="inlineStr">
        <is>
          <t>chr11</t>
        </is>
      </c>
      <c r="D227" t="n">
        <v>1085814</v>
      </c>
      <c r="E227" t="n">
        <v>1085814</v>
      </c>
      <c r="F227" t="inlineStr">
        <is>
          <t>-</t>
        </is>
      </c>
      <c r="G227" t="inlineStr">
        <is>
          <t>A</t>
        </is>
      </c>
      <c r="H227" t="inlineStr">
        <is>
          <t>261.60</t>
        </is>
      </c>
      <c r="I227" t="inlineStr">
        <is>
          <t>120</t>
        </is>
      </c>
      <c r="J227" t="inlineStr">
        <is>
          <t>106,14</t>
        </is>
      </c>
      <c r="K227" t="inlineStr">
        <is>
          <t>.</t>
        </is>
      </c>
      <c r="L227" t="inlineStr">
        <is>
          <t>.</t>
        </is>
      </c>
      <c r="M227">
        <f>HYPERLINK("https://www.genecards.org/Search/Keyword?queryString=%5Baliases%5D(%20MUC2%20)&amp;keywords=MUC2", "MUC2")</f>
        <v/>
      </c>
      <c r="N227" t="inlineStr">
        <is>
          <t>exonic</t>
        </is>
      </c>
      <c r="O227" t="inlineStr">
        <is>
          <t>frameshift insertion</t>
        </is>
      </c>
      <c r="P227" t="inlineStr">
        <is>
          <t>MUC2:NM_002457:exon21:c.2735_2736insA:p.V914Rfs*29;MUC2:uc001lsx.1:exon21:c.2735_2736insA:p.V914Rfs*29;MUC2:ENST00000675028.1_3:exon21:c.2735_2736insA:p.V914Rfs*29</t>
        </is>
      </c>
      <c r="Q227" t="n">
        <v>0.0016</v>
      </c>
      <c r="R227" t="n">
        <v>-1</v>
      </c>
      <c r="S227" t="n">
        <v>-1</v>
      </c>
      <c r="T227" t="n">
        <v>-1</v>
      </c>
      <c r="U227" t="n">
        <v>-1</v>
      </c>
      <c r="V227" t="inlineStr">
        <is>
          <t>.</t>
        </is>
      </c>
      <c r="W227" t="inlineStr">
        <is>
          <t>.</t>
        </is>
      </c>
      <c r="X227" t="inlineStr">
        <is>
          <t>.</t>
        </is>
      </c>
      <c r="Y227" t="inlineStr">
        <is>
          <t>.</t>
        </is>
      </c>
      <c r="Z227" t="inlineStr">
        <is>
          <t>.</t>
        </is>
      </c>
      <c r="AA227" t="inlineStr">
        <is>
          <t>.</t>
        </is>
      </c>
      <c r="AB227" t="inlineStr">
        <is>
          <t>.</t>
        </is>
      </c>
      <c r="AC227" t="inlineStr">
        <is>
          <t>.</t>
        </is>
      </c>
      <c r="AD227" t="inlineStr">
        <is>
          <t>3</t>
        </is>
      </c>
      <c r="AE227" t="inlineStr">
        <is>
          <t>4.54632231934197e-05</t>
        </is>
      </c>
      <c r="AF227" t="inlineStr">
        <is>
          <t>mucin 2, oligomeric mucus/gel-forming</t>
        </is>
      </c>
      <c r="AG227" t="inlineStr">
        <is>
          <t xml:space="preserve">FUNCTION: Coats the epithelia of the intestines, airways, and other mucus membrane-containing organs. Thought to provide a protective, lubricating barrier against particles and infectious agents at mucosal surfaces. Major constituent of both the inner and outer mucus layers of the colon and may play a role in excluding bacteria from the inner mucus layer. {ECO:0000269|PubMed:19432394}.; </t>
        </is>
      </c>
      <c r="AH227" t="inlineStr">
        <is>
          <t>.</t>
        </is>
      </c>
      <c r="AI227" t="inlineStr">
        <is>
          <t>.</t>
        </is>
      </c>
      <c r="AJ227" t="inlineStr">
        <is>
          <t>.</t>
        </is>
      </c>
      <c r="AK227" t="inlineStr">
        <is>
          <t>.</t>
        </is>
      </c>
      <c r="AL227" t="inlineStr">
        <is>
          <t>.</t>
        </is>
      </c>
    </row>
    <row r="228">
      <c r="A228" t="inlineStr"/>
      <c r="B228">
        <f>HYPERLINK("https://genome.ucsc.edu/cgi-bin/hgTracks?db=hg19&amp;position=chr11%3A1085817%2D1085817", "chr11:1085817")</f>
        <v/>
      </c>
      <c r="C228" t="inlineStr">
        <is>
          <t>chr11</t>
        </is>
      </c>
      <c r="D228" t="n">
        <v>1085817</v>
      </c>
      <c r="E228" t="n">
        <v>1085817</v>
      </c>
      <c r="F228" t="inlineStr">
        <is>
          <t>-</t>
        </is>
      </c>
      <c r="G228" t="inlineStr">
        <is>
          <t>A</t>
        </is>
      </c>
      <c r="H228" t="inlineStr">
        <is>
          <t>213.60</t>
        </is>
      </c>
      <c r="I228" t="inlineStr">
        <is>
          <t>121</t>
        </is>
      </c>
      <c r="J228" t="inlineStr">
        <is>
          <t>108,13</t>
        </is>
      </c>
      <c r="K228" t="inlineStr">
        <is>
          <t>.</t>
        </is>
      </c>
      <c r="L228" t="inlineStr">
        <is>
          <t>.</t>
        </is>
      </c>
      <c r="M228">
        <f>HYPERLINK("https://www.genecards.org/Search/Keyword?queryString=%5Baliases%5D(%20MUC2%20)&amp;keywords=MUC2", "MUC2")</f>
        <v/>
      </c>
      <c r="N228" t="inlineStr">
        <is>
          <t>exonic</t>
        </is>
      </c>
      <c r="O228" t="inlineStr">
        <is>
          <t>frameshift insertion</t>
        </is>
      </c>
      <c r="P228" t="inlineStr">
        <is>
          <t>MUC2:NM_002457:exon21:c.2738_2739insA:p.V914Rfs*29;MUC2:uc001lsx.1:exon21:c.2738_2739insA:p.V914Rfs*29;MUC2:ENST00000675028.1_3:exon21:c.2738_2739insA:p.V914Rfs*29</t>
        </is>
      </c>
      <c r="Q228" t="n">
        <v>0.0016</v>
      </c>
      <c r="R228" t="n">
        <v>-1</v>
      </c>
      <c r="S228" t="n">
        <v>-1</v>
      </c>
      <c r="T228" t="n">
        <v>-1</v>
      </c>
      <c r="U228" t="n">
        <v>-1</v>
      </c>
      <c r="V228" t="inlineStr">
        <is>
          <t>.</t>
        </is>
      </c>
      <c r="W228" t="inlineStr">
        <is>
          <t>.</t>
        </is>
      </c>
      <c r="X228" t="inlineStr">
        <is>
          <t>.</t>
        </is>
      </c>
      <c r="Y228" t="inlineStr">
        <is>
          <t>.</t>
        </is>
      </c>
      <c r="Z228" t="inlineStr">
        <is>
          <t>.</t>
        </is>
      </c>
      <c r="AA228" t="inlineStr">
        <is>
          <t>.</t>
        </is>
      </c>
      <c r="AB228" t="inlineStr">
        <is>
          <t>.</t>
        </is>
      </c>
      <c r="AC228" t="inlineStr">
        <is>
          <t>.</t>
        </is>
      </c>
      <c r="AD228" t="inlineStr">
        <is>
          <t>3</t>
        </is>
      </c>
      <c r="AE228" t="inlineStr">
        <is>
          <t>4.54632231934197e-05</t>
        </is>
      </c>
      <c r="AF228" t="inlineStr">
        <is>
          <t>mucin 2, oligomeric mucus/gel-forming</t>
        </is>
      </c>
      <c r="AG228" t="inlineStr">
        <is>
          <t xml:space="preserve">FUNCTION: Coats the epithelia of the intestines, airways, and other mucus membrane-containing organs. Thought to provide a protective, lubricating barrier against particles and infectious agents at mucosal surfaces. Major constituent of both the inner and outer mucus layers of the colon and may play a role in excluding bacteria from the inner mucus layer. {ECO:0000269|PubMed:19432394}.; </t>
        </is>
      </c>
      <c r="AH228" t="inlineStr">
        <is>
          <t>.</t>
        </is>
      </c>
      <c r="AI228" t="inlineStr">
        <is>
          <t>.</t>
        </is>
      </c>
      <c r="AJ228" t="inlineStr">
        <is>
          <t>.</t>
        </is>
      </c>
      <c r="AK228" t="inlineStr">
        <is>
          <t>.</t>
        </is>
      </c>
      <c r="AL228" t="inlineStr">
        <is>
          <t>.</t>
        </is>
      </c>
    </row>
    <row r="229">
      <c r="A229" t="inlineStr"/>
      <c r="B229">
        <f>HYPERLINK("https://genome.ucsc.edu/cgi-bin/hgTracks?db=hg19&amp;position=chr11%3A1085819%2D1085820", "chr11:1085819")</f>
        <v/>
      </c>
      <c r="C229" t="inlineStr">
        <is>
          <t>chr11</t>
        </is>
      </c>
      <c r="D229" t="n">
        <v>1085819</v>
      </c>
      <c r="E229" t="n">
        <v>1085820</v>
      </c>
      <c r="F229" t="inlineStr">
        <is>
          <t>GT</t>
        </is>
      </c>
      <c r="G229" t="inlineStr">
        <is>
          <t>-</t>
        </is>
      </c>
      <c r="H229" t="inlineStr">
        <is>
          <t>213.60</t>
        </is>
      </c>
      <c r="I229" t="inlineStr">
        <is>
          <t>121</t>
        </is>
      </c>
      <c r="J229" t="inlineStr">
        <is>
          <t>108,13</t>
        </is>
      </c>
      <c r="K229" t="inlineStr">
        <is>
          <t>.</t>
        </is>
      </c>
      <c r="L229" t="inlineStr">
        <is>
          <t>.</t>
        </is>
      </c>
      <c r="M229">
        <f>HYPERLINK("https://www.genecards.org/Search/Keyword?queryString=%5Baliases%5D(%20MUC2%20)&amp;keywords=MUC2", "MUC2")</f>
        <v/>
      </c>
      <c r="N229" t="inlineStr">
        <is>
          <t>exonic</t>
        </is>
      </c>
      <c r="O229" t="inlineStr">
        <is>
          <t>frameshift deletion</t>
        </is>
      </c>
      <c r="P229" t="inlineStr">
        <is>
          <t>MUC2:NM_002457:exon21:c.2740_2741del:p.V914Hfs*28;MUC2:uc001lsx.1:exon21:c.2740_2741del:p.V914Hfs*28;MUC2:ENST00000675028.1_3:exon21:c.2740_2741del:p.V914Hfs*28</t>
        </is>
      </c>
      <c r="Q229" t="n">
        <v>0.0015</v>
      </c>
      <c r="R229" t="n">
        <v>-1</v>
      </c>
      <c r="S229" t="n">
        <v>-1</v>
      </c>
      <c r="T229" t="n">
        <v>-1</v>
      </c>
      <c r="U229" t="n">
        <v>-1</v>
      </c>
      <c r="V229" t="inlineStr">
        <is>
          <t>.</t>
        </is>
      </c>
      <c r="W229" t="inlineStr">
        <is>
          <t>.</t>
        </is>
      </c>
      <c r="X229" t="inlineStr">
        <is>
          <t>.</t>
        </is>
      </c>
      <c r="Y229" t="inlineStr">
        <is>
          <t>.</t>
        </is>
      </c>
      <c r="Z229" t="inlineStr">
        <is>
          <t>.</t>
        </is>
      </c>
      <c r="AA229" t="inlineStr">
        <is>
          <t>.</t>
        </is>
      </c>
      <c r="AB229" t="inlineStr">
        <is>
          <t>.</t>
        </is>
      </c>
      <c r="AC229" t="inlineStr">
        <is>
          <t>.</t>
        </is>
      </c>
      <c r="AD229" t="inlineStr">
        <is>
          <t>3</t>
        </is>
      </c>
      <c r="AE229" t="inlineStr">
        <is>
          <t>4.54632231934197e-05</t>
        </is>
      </c>
      <c r="AF229" t="inlineStr">
        <is>
          <t>mucin 2, oligomeric mucus/gel-forming</t>
        </is>
      </c>
      <c r="AG229" t="inlineStr">
        <is>
          <t xml:space="preserve">FUNCTION: Coats the epithelia of the intestines, airways, and other mucus membrane-containing organs. Thought to provide a protective, lubricating barrier against particles and infectious agents at mucosal surfaces. Major constituent of both the inner and outer mucus layers of the colon and may play a role in excluding bacteria from the inner mucus layer. {ECO:0000269|PubMed:19432394}.; </t>
        </is>
      </c>
      <c r="AH229" t="inlineStr">
        <is>
          <t>.</t>
        </is>
      </c>
      <c r="AI229" t="inlineStr">
        <is>
          <t>.</t>
        </is>
      </c>
      <c r="AJ229" t="inlineStr">
        <is>
          <t>.</t>
        </is>
      </c>
      <c r="AK229" t="inlineStr">
        <is>
          <t>.</t>
        </is>
      </c>
      <c r="AL229" t="inlineStr">
        <is>
          <t>.</t>
        </is>
      </c>
    </row>
    <row r="230">
      <c r="A230" t="inlineStr"/>
      <c r="B230">
        <f>HYPERLINK("https://genome.ucsc.edu/cgi-bin/hgTracks?db=hg19&amp;position=chr11%3A1471022%2D1471022", "chr11:1471022")</f>
        <v/>
      </c>
      <c r="C230" t="inlineStr">
        <is>
          <t>chr11</t>
        </is>
      </c>
      <c r="D230" t="n">
        <v>1471022</v>
      </c>
      <c r="E230" t="n">
        <v>1471022</v>
      </c>
      <c r="F230" t="inlineStr">
        <is>
          <t>G</t>
        </is>
      </c>
      <c r="G230" t="inlineStr">
        <is>
          <t>A</t>
        </is>
      </c>
      <c r="H230" t="inlineStr">
        <is>
          <t>651.64</t>
        </is>
      </c>
      <c r="I230" t="inlineStr">
        <is>
          <t>82</t>
        </is>
      </c>
      <c r="J230" t="inlineStr">
        <is>
          <t>54,28</t>
        </is>
      </c>
      <c r="K230" t="inlineStr">
        <is>
          <t>.</t>
        </is>
      </c>
      <c r="L230">
        <f>HYPERLINK("https://www.ncbi.nlm.nih.gov/snp/rs201822879", "rs201822879")</f>
        <v/>
      </c>
      <c r="M230">
        <f>HYPERLINK("https://www.genecards.org/Search/Keyword?queryString=%5Baliases%5D(%20BRSK2%20)&amp;keywords=BRSK2", "BRSK2")</f>
        <v/>
      </c>
      <c r="N230" t="inlineStr">
        <is>
          <t>exonic</t>
        </is>
      </c>
      <c r="O230" t="inlineStr">
        <is>
          <t>nonsynonymous SNV</t>
        </is>
      </c>
      <c r="P230" t="inlineStr">
        <is>
          <t>BRSK2:NM_001256627:exon13:c.G1243A:p.G415S,BRSK2:NM_001256629:exon13:c.G1243A:p.G415S,BRSK2:NM_001256630:exon13:c.G1381A:p.G461S,BRSK2:NM_001282218:exon13:c.G1063A:p.G355S,BRSK2:NM_003957:exon13:c.G1243A:p.G415S;BRSK2:uc001lth.1:exon13:c.G1243A:p.G415S,BRSK2:uc001lti.4:exon13:c.G1243A:p.G415S,BRSK2:uc001ltj.4:exon13:c.G1243A:p.G415S,BRSK2:uc001ltl.4:exon13:c.G1243A:p.G415S,BRSK2:uc001ltm.4:exon13:c.G1381A:p.G461S,BRSK2:uc031pyc.1:exon13:c.G1063A:p.G355S,BRSK2:uc009ycv.1:exon14:c.G1309A:p.G437S;BRSK2:ENST00000308219.13_3:exon13:c.G1243A:p.G415S,BRSK2:ENST00000382179.5_1:exon13:c.G1381A:p.G461S,BRSK2:ENST00000528710.5_1:exon13:c.G1063A:p.G355S,BRSK2:ENST00000528841.6_4:exon13:c.G1243A:p.G415S,BRSK2:ENST00000531197.5_2:exon13:c.G1243A:p.G415S,BRSK2:ENST00000526678.5_3:exon14:c.G1309A:p.G437S</t>
        </is>
      </c>
      <c r="Q230" t="n">
        <v>6.503000000000001e-05</v>
      </c>
      <c r="R230" t="n">
        <v>-1</v>
      </c>
      <c r="S230" t="n">
        <v>7.368999999999999e-05</v>
      </c>
      <c r="T230" t="n">
        <v>-1</v>
      </c>
      <c r="U230" t="n">
        <v>-1</v>
      </c>
      <c r="V230" t="inlineStr">
        <is>
          <t>6/11</t>
        </is>
      </c>
      <c r="W230" t="inlineStr">
        <is>
          <t>.</t>
        </is>
      </c>
      <c r="X230" t="inlineStr">
        <is>
          <t>.</t>
        </is>
      </c>
      <c r="Y230" t="inlineStr">
        <is>
          <t>.</t>
        </is>
      </c>
      <c r="Z230" t="inlineStr">
        <is>
          <t>3/7</t>
        </is>
      </c>
      <c r="AA230" t="inlineStr">
        <is>
          <t>Uncertain significance</t>
        </is>
      </c>
      <c r="AB230" t="inlineStr">
        <is>
          <t>.</t>
        </is>
      </c>
      <c r="AC230" t="inlineStr">
        <is>
          <t>0/1</t>
        </is>
      </c>
      <c r="AD230" t="inlineStr">
        <is>
          <t>1</t>
        </is>
      </c>
      <c r="AE230" t="inlineStr">
        <is>
          <t>0.779570081093511</t>
        </is>
      </c>
      <c r="AF230" t="inlineStr">
        <is>
          <t>BR serine/threonine kinase 2</t>
        </is>
      </c>
      <c r="AG230" t="inlineStr">
        <is>
          <t xml:space="preserve">FUNCTION: Serine/threonine-protein kinase that plays a key role in polarization of neurons and axonogenesis, cell cycle progress and insulin secretion. Phosphorylates CDK16, CDC25C, MAPT/TAU, PAK1 and WEE1. Following phosphorylation and activation by STK11/LKB1, acts as a key regulator of polarization of cortical neurons, probably by mediating phosphorylation of microtubule-associated proteins such as MAPT/TAU at 'Thr-529' and 'Ser-579'. Also regulates neuron polarization by mediating phosphorylation of WEE1 at 'Ser-642' in postmitotic neurons, leading to down-regulate WEE1 activity in polarized neurons. Plays a role in the regulation of the mitotic cell cycle progress and the onset of mitosis. Plays a role in the regulation of insulin secretion in response to elevated glucose levels, probably via phosphorylation of CDK16 and PAK1. While BRSK2 phosphorylated at Thr-174 can inhibit insulin secretion (PubMed:22798068), BRSK2 phosphorylated at Thr-260 can promote insulin secretion (PubMed:22669945). Regulates reorganization of the actin cytoskeleton. May play a role in the apoptotic response triggered by endoplasmatic reticulum (ER) stress. {ECO:0000269|PubMed:14976552, ECO:0000269|PubMed:20026642, ECO:0000269|PubMed:21985311, ECO:0000269|PubMed:22669945, ECO:0000269|PubMed:22798068, ECO:0000269|PubMed:23029325}.; </t>
        </is>
      </c>
      <c r="AH230" t="inlineStr">
        <is>
          <t>.</t>
        </is>
      </c>
      <c r="AI230" t="inlineStr">
        <is>
          <t>.</t>
        </is>
      </c>
      <c r="AJ230" t="inlineStr">
        <is>
          <t>.</t>
        </is>
      </c>
      <c r="AK230" t="inlineStr">
        <is>
          <t>.</t>
        </is>
      </c>
      <c r="AL230" t="inlineStr">
        <is>
          <t>.</t>
        </is>
      </c>
    </row>
    <row r="231">
      <c r="A231" t="inlineStr"/>
      <c r="B231">
        <f>HYPERLINK("https://genome.ucsc.edu/cgi-bin/hgTracks?db=hg19&amp;position=chr11%3A1857050%2D1857050", "chr11:1857050")</f>
        <v/>
      </c>
      <c r="C231" t="inlineStr">
        <is>
          <t>chr11</t>
        </is>
      </c>
      <c r="D231" t="n">
        <v>1857050</v>
      </c>
      <c r="E231" t="n">
        <v>1857050</v>
      </c>
      <c r="F231" t="inlineStr">
        <is>
          <t>G</t>
        </is>
      </c>
      <c r="G231" t="inlineStr">
        <is>
          <t>A</t>
        </is>
      </c>
      <c r="H231" t="inlineStr">
        <is>
          <t>765.64</t>
        </is>
      </c>
      <c r="I231" t="inlineStr">
        <is>
          <t>32</t>
        </is>
      </c>
      <c r="J231" t="inlineStr">
        <is>
          <t>7,25</t>
        </is>
      </c>
      <c r="K231" t="inlineStr">
        <is>
          <t>.</t>
        </is>
      </c>
      <c r="L231">
        <f>HYPERLINK("https://www.ncbi.nlm.nih.gov/snp/rs151145287", "rs151145287")</f>
        <v/>
      </c>
      <c r="M231">
        <f>HYPERLINK("https://www.genecards.org/Search/Keyword?queryString=%5Baliases%5D(%20SYT8%20)&amp;keywords=SYT8", "SYT8")</f>
        <v/>
      </c>
      <c r="N231" t="inlineStr">
        <is>
          <t>intronic</t>
        </is>
      </c>
      <c r="O231" t="inlineStr">
        <is>
          <t>.</t>
        </is>
      </c>
      <c r="P231" t="inlineStr">
        <is>
          <t>.</t>
        </is>
      </c>
      <c r="Q231" t="n">
        <v>0.0146034</v>
      </c>
      <c r="R231" t="n">
        <v>0.012</v>
      </c>
      <c r="S231" t="n">
        <v>0.0124</v>
      </c>
      <c r="T231" t="n">
        <v>-1</v>
      </c>
      <c r="U231" t="n">
        <v>0.009299999999999999</v>
      </c>
      <c r="V231" t="inlineStr">
        <is>
          <t>.</t>
        </is>
      </c>
      <c r="W231" t="inlineStr">
        <is>
          <t>.</t>
        </is>
      </c>
      <c r="X231" t="inlineStr">
        <is>
          <t>D</t>
        </is>
      </c>
      <c r="Y231" t="inlineStr">
        <is>
          <t>off</t>
        </is>
      </c>
      <c r="Z231" t="inlineStr">
        <is>
          <t>.</t>
        </is>
      </c>
      <c r="AA231" t="inlineStr">
        <is>
          <t>.</t>
        </is>
      </c>
      <c r="AB231" t="inlineStr">
        <is>
          <t>.</t>
        </is>
      </c>
      <c r="AC231" t="inlineStr">
        <is>
          <t>0/1</t>
        </is>
      </c>
      <c r="AD231" t="inlineStr">
        <is>
          <t>1</t>
        </is>
      </c>
      <c r="AE231" t="inlineStr">
        <is>
          <t>7.5902706627317e-13</t>
        </is>
      </c>
      <c r="AF231" t="inlineStr">
        <is>
          <t>synaptotagmin 8</t>
        </is>
      </c>
      <c r="AG231" t="inlineStr">
        <is>
          <t xml:space="preserve">FUNCTION: Isoform 4 may play a role in the trafficking and exocytosis of secretory vesicles in non-neuronal tissues. Mediates Ca(2+)-regulation of exocytosis acrosomal reaction in sperm. May mediate Ca(2+)-regulation of exocytosis in insulin secreted cells (By similarity). {ECO:0000250}.; </t>
        </is>
      </c>
      <c r="AH231" t="inlineStr">
        <is>
          <t>.</t>
        </is>
      </c>
      <c r="AI231" t="inlineStr">
        <is>
          <t>.</t>
        </is>
      </c>
      <c r="AJ231" t="inlineStr">
        <is>
          <t>.</t>
        </is>
      </c>
      <c r="AK231" t="inlineStr">
        <is>
          <t>.</t>
        </is>
      </c>
      <c r="AL231" t="inlineStr">
        <is>
          <t>.</t>
        </is>
      </c>
    </row>
    <row r="232">
      <c r="A232" t="inlineStr"/>
      <c r="B232">
        <f>HYPERLINK("https://genome.ucsc.edu/cgi-bin/hgTracks?db=hg19&amp;position=chr11%3A3129139%2D3129139", "chr11:3129139")</f>
        <v/>
      </c>
      <c r="C232" t="inlineStr">
        <is>
          <t>chr11</t>
        </is>
      </c>
      <c r="D232" t="n">
        <v>3129139</v>
      </c>
      <c r="E232" t="n">
        <v>3129139</v>
      </c>
      <c r="F232" t="inlineStr">
        <is>
          <t>C</t>
        </is>
      </c>
      <c r="G232" t="inlineStr">
        <is>
          <t>T</t>
        </is>
      </c>
      <c r="H232" t="inlineStr">
        <is>
          <t>339.64</t>
        </is>
      </c>
      <c r="I232" t="inlineStr">
        <is>
          <t>88</t>
        </is>
      </c>
      <c r="J232" t="inlineStr">
        <is>
          <t>70,18</t>
        </is>
      </c>
      <c r="K232" t="inlineStr">
        <is>
          <t>.</t>
        </is>
      </c>
      <c r="L232">
        <f>HYPERLINK("https://www.ncbi.nlm.nih.gov/snp/rs373421505", "rs373421505")</f>
        <v/>
      </c>
      <c r="M232">
        <f>HYPERLINK("https://www.genecards.org/Search/Keyword?queryString=%5Baliases%5D(%20OSBPL5%20)&amp;keywords=OSBPL5", "OSBPL5")</f>
        <v/>
      </c>
      <c r="N232" t="inlineStr">
        <is>
          <t>exonic</t>
        </is>
      </c>
      <c r="O232" t="inlineStr">
        <is>
          <t>nonsynonymous SNV</t>
        </is>
      </c>
      <c r="P232" t="inlineStr">
        <is>
          <t>OSBPL5:NM_001144063:exon7:c.G524A:p.R175H,OSBPL5:NM_145638:exon7:c.G524A:p.R175H,OSBPL5:NM_020896:exon8:c.G728A:p.R243H;OSBPL5:uc010qxq.1:exon6:c.G461A:p.R154H,OSBPL5:uc001lxl.2:exon7:c.G524A:p.R175H,OSBPL5:uc009ydw.2:exon7:c.G524A:p.R175H,OSBPL5:uc001lxk.2:exon8:c.G728A:p.R243H,OSBPL5:uc009ydx.3:exon8:c.G800A:p.R267H;OSBPL5:ENST00000525498.5_3:exon6:c.G461A:p.R154H,OSBPL5:ENST00000348039.9_3:exon7:c.G524A:p.R175H,OSBPL5:ENST00000389989.7_3:exon7:c.G524A:p.R175H,OSBPL5:ENST00000263650.12_5:exon8:c.G728A:p.R243H</t>
        </is>
      </c>
      <c r="Q232" t="n">
        <v>0.0008</v>
      </c>
      <c r="R232" t="n">
        <v>-1</v>
      </c>
      <c r="S232" t="n">
        <v>-1</v>
      </c>
      <c r="T232" t="n">
        <v>-1</v>
      </c>
      <c r="U232" t="n">
        <v>-1</v>
      </c>
      <c r="V232" t="inlineStr">
        <is>
          <t>7/11</t>
        </is>
      </c>
      <c r="W232" t="inlineStr">
        <is>
          <t>.</t>
        </is>
      </c>
      <c r="X232" t="inlineStr">
        <is>
          <t>.</t>
        </is>
      </c>
      <c r="Y232" t="inlineStr">
        <is>
          <t>.</t>
        </is>
      </c>
      <c r="Z232" t="inlineStr">
        <is>
          <t>0/7</t>
        </is>
      </c>
      <c r="AA232" t="inlineStr">
        <is>
          <t>Uncertain significance</t>
        </is>
      </c>
      <c r="AB232" t="inlineStr">
        <is>
          <t>.</t>
        </is>
      </c>
      <c r="AC232" t="inlineStr">
        <is>
          <t>0/1</t>
        </is>
      </c>
      <c r="AD232" t="inlineStr">
        <is>
          <t>1</t>
        </is>
      </c>
      <c r="AE232" t="inlineStr">
        <is>
          <t>0.000848897697066133</t>
        </is>
      </c>
      <c r="AF232" t="inlineStr">
        <is>
          <t>oxysterol binding protein like 5</t>
        </is>
      </c>
      <c r="AG232" t="inlineStr">
        <is>
          <t xml:space="preserve">FUNCTION: Lipid transporter involved in lipid countertransport between the endoplasmic reticulum and the plasma membrane: specifically exchanges phosphatidylserine with phosphatidylinositol 4-phosphate (PI4P), delivering phosphatidylserine to the plasma membrane in exchange for PI4P, which is degraded by the SAC1/SACM1L phosphatase in the endoplasmic reticulum. Binds phosphatidylserine and PI4P in a mutually exclusive manner (PubMed:23934110, PubMed:26206935). May cooperate with NPC1 to mediate the exit of cholesterol from endosomes/lysosomes (PubMed:21220512). Binds 25-hydroxycholesterol and cholesterol (PubMed:17428193). {ECO:0000269|PubMed:17428193, ECO:0000269|PubMed:21220512, ECO:0000269|PubMed:23934110, ECO:0000269|PubMed:26206935}.; </t>
        </is>
      </c>
      <c r="AH232" t="inlineStr">
        <is>
          <t>.</t>
        </is>
      </c>
      <c r="AI232" t="inlineStr">
        <is>
          <t>.</t>
        </is>
      </c>
      <c r="AJ232" t="inlineStr">
        <is>
          <t>.</t>
        </is>
      </c>
      <c r="AK232" t="inlineStr">
        <is>
          <t>.</t>
        </is>
      </c>
      <c r="AL232" t="inlineStr">
        <is>
          <t>.</t>
        </is>
      </c>
    </row>
    <row r="233">
      <c r="A233" t="inlineStr"/>
      <c r="B233">
        <f>HYPERLINK("https://genome.ucsc.edu/cgi-bin/hgTracks?db=hg19&amp;position=chr11%3A3382070%2D3382070", "chr11:3382070")</f>
        <v/>
      </c>
      <c r="C233" t="inlineStr">
        <is>
          <t>chr11</t>
        </is>
      </c>
      <c r="D233" t="n">
        <v>3382070</v>
      </c>
      <c r="E233" t="n">
        <v>3382070</v>
      </c>
      <c r="F233" t="inlineStr">
        <is>
          <t>C</t>
        </is>
      </c>
      <c r="G233" t="inlineStr">
        <is>
          <t>T</t>
        </is>
      </c>
      <c r="H233" t="inlineStr">
        <is>
          <t>427.64</t>
        </is>
      </c>
      <c r="I233" t="inlineStr">
        <is>
          <t>63</t>
        </is>
      </c>
      <c r="J233" t="inlineStr">
        <is>
          <t>44,19</t>
        </is>
      </c>
      <c r="K233" t="inlineStr">
        <is>
          <t>.</t>
        </is>
      </c>
      <c r="L233">
        <f>HYPERLINK("https://www.ncbi.nlm.nih.gov/snp/rs184239505", "rs184239505")</f>
        <v/>
      </c>
      <c r="M233">
        <f>HYPERLINK("https://www.genecards.org/Search/Keyword?queryString=%5Baliases%5D(%20ZNF195%20)&amp;keywords=ZNF195", "ZNF195")</f>
        <v/>
      </c>
      <c r="N233" t="inlineStr">
        <is>
          <t>intronic</t>
        </is>
      </c>
      <c r="O233" t="inlineStr">
        <is>
          <t>.</t>
        </is>
      </c>
      <c r="P233" t="inlineStr">
        <is>
          <t>.</t>
        </is>
      </c>
      <c r="Q233" t="n">
        <v>0.008</v>
      </c>
      <c r="R233" t="n">
        <v>0.0091</v>
      </c>
      <c r="S233" t="n">
        <v>0.0078</v>
      </c>
      <c r="T233" t="n">
        <v>-1</v>
      </c>
      <c r="U233" t="n">
        <v>0.0112</v>
      </c>
      <c r="V233" t="inlineStr">
        <is>
          <t>.</t>
        </is>
      </c>
      <c r="W233" t="inlineStr">
        <is>
          <t>.</t>
        </is>
      </c>
      <c r="X233" t="inlineStr">
        <is>
          <t>D</t>
        </is>
      </c>
      <c r="Y233" t="inlineStr">
        <is>
          <t>off</t>
        </is>
      </c>
      <c r="Z233" t="inlineStr">
        <is>
          <t>.</t>
        </is>
      </c>
      <c r="AA233" t="inlineStr">
        <is>
          <t>.</t>
        </is>
      </c>
      <c r="AB233" t="inlineStr">
        <is>
          <t>.</t>
        </is>
      </c>
      <c r="AC233" t="inlineStr">
        <is>
          <t>.</t>
        </is>
      </c>
      <c r="AD233" t="inlineStr">
        <is>
          <t>1</t>
        </is>
      </c>
      <c r="AE233" t="inlineStr">
        <is>
          <t>0.731668924641439</t>
        </is>
      </c>
      <c r="AF233" t="inlineStr">
        <is>
          <t>zinc finger protein 195</t>
        </is>
      </c>
      <c r="AG233" t="inlineStr">
        <is>
          <t xml:space="preserve">FUNCTION: May be involved in transcriptional regulation.; </t>
        </is>
      </c>
      <c r="AH233" t="inlineStr">
        <is>
          <t>.</t>
        </is>
      </c>
      <c r="AI233" t="inlineStr">
        <is>
          <t>.</t>
        </is>
      </c>
      <c r="AJ233" t="inlineStr">
        <is>
          <t>.</t>
        </is>
      </c>
      <c r="AK233" t="inlineStr">
        <is>
          <t>.</t>
        </is>
      </c>
      <c r="AL233" t="inlineStr">
        <is>
          <t>.</t>
        </is>
      </c>
    </row>
    <row r="234">
      <c r="A234" t="inlineStr"/>
      <c r="B234">
        <f>HYPERLINK("https://genome.ucsc.edu/cgi-bin/hgTracks?db=hg19&amp;position=chr11%3A4567130%2D4567130", "chr11:4567130")</f>
        <v/>
      </c>
      <c r="C234" t="inlineStr">
        <is>
          <t>chr11</t>
        </is>
      </c>
      <c r="D234" t="n">
        <v>4567130</v>
      </c>
      <c r="E234" t="n">
        <v>4567130</v>
      </c>
      <c r="F234" t="inlineStr">
        <is>
          <t>G</t>
        </is>
      </c>
      <c r="G234" t="inlineStr">
        <is>
          <t>A</t>
        </is>
      </c>
      <c r="H234" t="inlineStr">
        <is>
          <t>2619.64</t>
        </is>
      </c>
      <c r="I234" t="inlineStr">
        <is>
          <t>152</t>
        </is>
      </c>
      <c r="J234" t="inlineStr">
        <is>
          <t>56,96</t>
        </is>
      </c>
      <c r="K234" t="inlineStr">
        <is>
          <t>.</t>
        </is>
      </c>
      <c r="L234">
        <f>HYPERLINK("https://www.ncbi.nlm.nih.gov/snp/rs144526139", "rs144526139")</f>
        <v/>
      </c>
      <c r="M234">
        <f>HYPERLINK("https://www.genecards.org/Search/Keyword?queryString=%5Baliases%5D(%20OR52M1%20)&amp;keywords=OR52M1", "OR52M1")</f>
        <v/>
      </c>
      <c r="N234" t="inlineStr">
        <is>
          <t>exonic</t>
        </is>
      </c>
      <c r="O234" t="inlineStr">
        <is>
          <t>nonsynonymous SNV</t>
        </is>
      </c>
      <c r="P234" t="inlineStr">
        <is>
          <t>OR52M1:NM_001004137:exon1:c.G710A:p.R237K;OR52M1:uc010qyf.2:exon1:c.G710A:p.R237K;OR52M1:ENST00000360213.1_3:exon1:c.G710A:p.R237K</t>
        </is>
      </c>
      <c r="Q234" t="n">
        <v>0.0029</v>
      </c>
      <c r="R234" t="n">
        <v>0.0017</v>
      </c>
      <c r="S234" t="n">
        <v>0.0015</v>
      </c>
      <c r="T234" t="n">
        <v>-1</v>
      </c>
      <c r="U234" t="n">
        <v>0.0025</v>
      </c>
      <c r="V234" t="inlineStr">
        <is>
          <t>5/11</t>
        </is>
      </c>
      <c r="W234" t="inlineStr">
        <is>
          <t>.</t>
        </is>
      </c>
      <c r="X234" t="inlineStr">
        <is>
          <t>.</t>
        </is>
      </c>
      <c r="Y234" t="inlineStr">
        <is>
          <t>.</t>
        </is>
      </c>
      <c r="Z234" t="inlineStr">
        <is>
          <t>0/7</t>
        </is>
      </c>
      <c r="AA234" t="inlineStr">
        <is>
          <t>Uncertain significance</t>
        </is>
      </c>
      <c r="AB234" t="inlineStr">
        <is>
          <t>.</t>
        </is>
      </c>
      <c r="AC234" t="inlineStr">
        <is>
          <t>0/1</t>
        </is>
      </c>
      <c r="AD234" t="inlineStr">
        <is>
          <t>1</t>
        </is>
      </c>
      <c r="AE234" t="inlineStr">
        <is>
          <t>4.69164554510947e-06</t>
        </is>
      </c>
      <c r="AF234" t="inlineStr">
        <is>
          <t>olfactory receptor family 52 subfamily M member 1</t>
        </is>
      </c>
      <c r="AG234" t="inlineStr">
        <is>
          <t xml:space="preserve">FUNCTION: Odorant receptor. {ECO:0000305}.; </t>
        </is>
      </c>
      <c r="AH234" t="inlineStr">
        <is>
          <t>.</t>
        </is>
      </c>
      <c r="AI234" t="inlineStr">
        <is>
          <t>.</t>
        </is>
      </c>
      <c r="AJ234" t="inlineStr">
        <is>
          <t>.</t>
        </is>
      </c>
      <c r="AK234" t="inlineStr">
        <is>
          <t>.</t>
        </is>
      </c>
      <c r="AL234" t="inlineStr">
        <is>
          <t>.</t>
        </is>
      </c>
    </row>
    <row r="235">
      <c r="A235" t="inlineStr"/>
      <c r="B235">
        <f>HYPERLINK("https://genome.ucsc.edu/cgi-bin/hgTracks?db=hg19&amp;position=chr11%3A6637741%2D6637741", "chr11:6637741")</f>
        <v/>
      </c>
      <c r="C235" t="inlineStr">
        <is>
          <t>chr11</t>
        </is>
      </c>
      <c r="D235" t="n">
        <v>6637741</v>
      </c>
      <c r="E235" t="n">
        <v>6637741</v>
      </c>
      <c r="F235" t="inlineStr">
        <is>
          <t>T</t>
        </is>
      </c>
      <c r="G235" t="inlineStr">
        <is>
          <t>-</t>
        </is>
      </c>
      <c r="H235" t="inlineStr">
        <is>
          <t>1084.02</t>
        </is>
      </c>
      <c r="I235" t="inlineStr">
        <is>
          <t>66</t>
        </is>
      </c>
      <c r="J235" t="inlineStr">
        <is>
          <t>8,29,15</t>
        </is>
      </c>
      <c r="K235" t="inlineStr">
        <is>
          <t>.</t>
        </is>
      </c>
      <c r="L235" t="inlineStr">
        <is>
          <t>.</t>
        </is>
      </c>
      <c r="M235">
        <f>HYPERLINK("https://www.genecards.org/Search/Keyword?queryString=%5Baliases%5D(%20TPP1%20)&amp;keywords=TPP1", "TPP1")</f>
        <v/>
      </c>
      <c r="N235" t="inlineStr">
        <is>
          <t>intronic;ncRNA_exonic</t>
        </is>
      </c>
      <c r="O235" t="inlineStr">
        <is>
          <t>.</t>
        </is>
      </c>
      <c r="P235" t="inlineStr">
        <is>
          <t>.</t>
        </is>
      </c>
      <c r="Q235" t="n">
        <v>-1</v>
      </c>
      <c r="R235" t="n">
        <v>-1</v>
      </c>
      <c r="S235" t="n">
        <v>-1</v>
      </c>
      <c r="T235" t="n">
        <v>-1</v>
      </c>
      <c r="U235" t="n">
        <v>-1</v>
      </c>
      <c r="V235" t="inlineStr">
        <is>
          <t>.</t>
        </is>
      </c>
      <c r="W235" t="inlineStr">
        <is>
          <t>.</t>
        </is>
      </c>
      <c r="X235" t="inlineStr">
        <is>
          <t>.</t>
        </is>
      </c>
      <c r="Y235" t="inlineStr">
        <is>
          <t>.</t>
        </is>
      </c>
      <c r="Z235" t="inlineStr">
        <is>
          <t>.</t>
        </is>
      </c>
      <c r="AA235" t="inlineStr">
        <is>
          <t>.</t>
        </is>
      </c>
      <c r="AB235" t="inlineStr">
        <is>
          <t>.</t>
        </is>
      </c>
      <c r="AC235" t="inlineStr">
        <is>
          <t>1/2</t>
        </is>
      </c>
      <c r="AD235" t="inlineStr">
        <is>
          <t>1</t>
        </is>
      </c>
      <c r="AE235" t="inlineStr">
        <is>
          <t>0.0257560632861161</t>
        </is>
      </c>
      <c r="AF235" t="inlineStr">
        <is>
          <t>tripeptidyl peptidase I</t>
        </is>
      </c>
      <c r="AG235" t="inlineStr">
        <is>
          <t xml:space="preserve">FUNCTION: Lysosomal serine protease with tripeptidyl-peptidase I activity. May act as a non-specific lysosomal peptidase which generates tripeptides from the breakdown products produced by lysosomal proteinases. Requires substrates with an unsubstituted N-terminus (By similarity). {ECO:0000250}.; </t>
        </is>
      </c>
      <c r="AH235" t="inlineStr">
        <is>
          <t xml:space="preserve">DISEASE: Ceroid lipofuscinosis, neuronal, 2 (CLN2) [MIM:204500]: A form of neuronal ceroid lipofuscinosis. Neuronal ceroid lipofuscinoses are progressive neurodegenerative, lysosomal storage diseases characterized by intracellular accumulation of autofluorescent liposomal material, and clinically by seizures, dementia, visual loss, and/or cerebral atrophy. The lipopigment pattern seen most often in CLN2 consists of curvilinear profiles. {ECO:0000269|PubMed:10330339, ECO:0000269|PubMed:10665500, ECO:0000269|PubMed:11241479, ECO:0000269|PubMed:11339651, ECO:0000269|PubMed:11589012, ECO:0000269|PubMed:12376936, ECO:0000269|PubMed:12414822, ECO:0000269|PubMed:12698559, ECO:0000269|PubMed:19201763, ECO:0000269|PubMed:20340139, ECO:0000269|PubMed:21990111, ECO:0000269|PubMed:22612257, ECO:0000269|PubMed:9295267}. Note=The disease is caused by mutations affecting the gene represented in this entry.; DISEASE: Spinocerebellar ataxia, autosomal recessive, 7 (SCAR7) [MIM:609270]: Spinocerebellar ataxia defines a clinically and genetically heterogeneous group of cerebellar disorders. Patients show progressive incoordination of gait and often poor coordination of hands, speech and eye movements, due to degeneration of the cerebellum with variable involvement of the brainstem and spinal cord. SCAR7 patients show difficulty walking and writing, dysarthria, limb ataxia, and cerebellar atrophy. {ECO:0000269|PubMed:23418007}. Note=The disease is caused by mutations affecting the gene represented in this entry.; </t>
        </is>
      </c>
      <c r="AI235" t="inlineStr">
        <is>
          <t>.</t>
        </is>
      </c>
      <c r="AJ235" t="inlineStr">
        <is>
          <t>.</t>
        </is>
      </c>
      <c r="AK235" t="inlineStr">
        <is>
          <t>.</t>
        </is>
      </c>
      <c r="AL235" t="inlineStr">
        <is>
          <t>.</t>
        </is>
      </c>
    </row>
    <row r="236">
      <c r="A236" t="inlineStr"/>
      <c r="B236">
        <f>HYPERLINK("https://genome.ucsc.edu/cgi-bin/hgTracks?db=hg19&amp;position=chr11%3A10483074%2D10483074", "chr11:10483074")</f>
        <v/>
      </c>
      <c r="C236" t="inlineStr">
        <is>
          <t>chr11</t>
        </is>
      </c>
      <c r="D236" t="n">
        <v>10483074</v>
      </c>
      <c r="E236" t="n">
        <v>10483074</v>
      </c>
      <c r="F236" t="inlineStr">
        <is>
          <t>G</t>
        </is>
      </c>
      <c r="G236" t="inlineStr">
        <is>
          <t>A</t>
        </is>
      </c>
      <c r="H236" t="inlineStr">
        <is>
          <t>1072.64</t>
        </is>
      </c>
      <c r="I236" t="inlineStr">
        <is>
          <t>138</t>
        </is>
      </c>
      <c r="J236" t="inlineStr">
        <is>
          <t>92,46</t>
        </is>
      </c>
      <c r="K236" t="inlineStr">
        <is>
          <t>.</t>
        </is>
      </c>
      <c r="L236" t="inlineStr">
        <is>
          <t>.</t>
        </is>
      </c>
      <c r="M236">
        <f>HYPERLINK("https://www.genecards.org/Search/Keyword?queryString=%5Baliases%5D(%20AMPD3%20)&amp;keywords=AMPD3", "AMPD3")</f>
        <v/>
      </c>
      <c r="N236" t="inlineStr">
        <is>
          <t>exonic</t>
        </is>
      </c>
      <c r="O236" t="inlineStr">
        <is>
          <t>nonsynonymous SNV</t>
        </is>
      </c>
      <c r="P236" t="inlineStr">
        <is>
          <t>AMPD3:NM_000480:exon2:c.G35A:p.R12Q,AMPD3:NM_001025389:exon2:c.G8A:p.R3Q,AMPD3:NM_001025390:exon2:c.G29A:p.R10Q,AMPD3:NM_001172430:exon2:c.G8A:p.R3Q;AMPD3:uc001min.1:exon2:c.G35A:p.R12Q,AMPD3:uc001mio.1:exon2:c.G8A:p.R3Q,AMPD3:uc001mip.1:exon2:c.G29A:p.R10Q,AMPD3:uc009yfy.2:exon2:c.G8A:p.R3Q,AMPD3:uc009yfx.1:exon3:c.G8A:p.R3Q;AMPD3:ENST00000396553.7_5:exon2:c.G8A:p.R3Q,AMPD3:ENST00000396554.7_6:exon2:c.G35A:p.R12Q,AMPD3:ENST00000528723.5_5:exon2:c.G29A:p.R10Q,AMPD3:ENST00000529507.5_4:exon2:c.G8A:p.R3Q</t>
        </is>
      </c>
      <c r="Q236" t="n">
        <v>-1</v>
      </c>
      <c r="R236" t="n">
        <v>-1</v>
      </c>
      <c r="S236" t="n">
        <v>-1</v>
      </c>
      <c r="T236" t="n">
        <v>-1</v>
      </c>
      <c r="U236" t="n">
        <v>-1</v>
      </c>
      <c r="V236" t="inlineStr">
        <is>
          <t>8/11</t>
        </is>
      </c>
      <c r="W236" t="inlineStr">
        <is>
          <t>.</t>
        </is>
      </c>
      <c r="X236" t="inlineStr">
        <is>
          <t>.</t>
        </is>
      </c>
      <c r="Y236" t="inlineStr">
        <is>
          <t>.</t>
        </is>
      </c>
      <c r="Z236" t="inlineStr">
        <is>
          <t>6/7</t>
        </is>
      </c>
      <c r="AA236" t="inlineStr">
        <is>
          <t>Uncertain significance</t>
        </is>
      </c>
      <c r="AB236" t="inlineStr">
        <is>
          <t>.</t>
        </is>
      </c>
      <c r="AC236" t="inlineStr">
        <is>
          <t>0/1</t>
        </is>
      </c>
      <c r="AD236" t="inlineStr">
        <is>
          <t>1</t>
        </is>
      </c>
      <c r="AE236" t="inlineStr">
        <is>
          <t>1.3313454680315e-08</t>
        </is>
      </c>
      <c r="AF236" t="inlineStr">
        <is>
          <t>adenosine monophosphate deaminase 3</t>
        </is>
      </c>
      <c r="AG236" t="inlineStr">
        <is>
          <t xml:space="preserve">FUNCTION: AMP deaminase plays a critical role in energy metabolism.; </t>
        </is>
      </c>
      <c r="AH236" t="inlineStr">
        <is>
          <t>.</t>
        </is>
      </c>
      <c r="AI236" t="inlineStr">
        <is>
          <t>.</t>
        </is>
      </c>
      <c r="AJ236" t="inlineStr">
        <is>
          <t>.</t>
        </is>
      </c>
      <c r="AK236" t="inlineStr">
        <is>
          <t>.</t>
        </is>
      </c>
      <c r="AL236" t="inlineStr">
        <is>
          <t>.</t>
        </is>
      </c>
    </row>
    <row r="237">
      <c r="A237" t="inlineStr"/>
      <c r="B237">
        <f>HYPERLINK("https://genome.ucsc.edu/cgi-bin/hgTracks?db=hg19&amp;position=chr11%3A16340147%2D16340147", "chr11:16340147")</f>
        <v/>
      </c>
      <c r="C237" t="inlineStr">
        <is>
          <t>chr11</t>
        </is>
      </c>
      <c r="D237" t="n">
        <v>16340147</v>
      </c>
      <c r="E237" t="n">
        <v>16340147</v>
      </c>
      <c r="F237" t="inlineStr">
        <is>
          <t>G</t>
        </is>
      </c>
      <c r="G237" t="inlineStr">
        <is>
          <t>A</t>
        </is>
      </c>
      <c r="H237" t="inlineStr">
        <is>
          <t>611.64</t>
        </is>
      </c>
      <c r="I237" t="inlineStr">
        <is>
          <t>110</t>
        </is>
      </c>
      <c r="J237" t="inlineStr">
        <is>
          <t>80,30</t>
        </is>
      </c>
      <c r="K237" t="inlineStr">
        <is>
          <t>.</t>
        </is>
      </c>
      <c r="L237" t="inlineStr">
        <is>
          <t>.</t>
        </is>
      </c>
      <c r="M237">
        <f>HYPERLINK("https://www.genecards.org/Search/Keyword?queryString=%5Baliases%5D(%20SOX6%20)&amp;keywords=SOX6", "SOX6")</f>
        <v/>
      </c>
      <c r="N237" t="inlineStr">
        <is>
          <t>exonic</t>
        </is>
      </c>
      <c r="O237" t="inlineStr">
        <is>
          <t>nonsynonymous SNV</t>
        </is>
      </c>
      <c r="P237" t="inlineStr">
        <is>
          <t>SOX6:NM_001145811:exon3:c.C290T:p.T97I,SOX6:NM_001145819:exon3:c.C290T:p.T97I,SOX6:NM_001367873:exon3:c.C290T:p.T97I,SOX6:NM_017508:exon3:c.C290T:p.T97I,SOX6:NM_033326:exon3:c.C290T:p.T97I,SOX6:NM_001367872:exon5:c.C290T:p.T97I;SOX6:uc001mmd.3:exon3:c.C299T:p.T100I,SOX6:uc001mme.3:exon3:c.C329T:p.T110I,SOX6:uc001mmf.3:exon3:c.C290T:p.T97I,SOX6:uc001mmg.3:exon3:c.C290T:p.T97I,SOX6:uc001mmi.3:exon4:c.C290T:p.T97I,SOX6:uc001mmj.3:exon6:c.C290T:p.T97I;SOX6:ENST00000316399.10_7:exon2:c.C290T:p.T97I,SOX6:ENST00000396356.7_7:exon3:c.C290T:p.T97I,SOX6:ENST00000527619.6_7:exon3:c.C290T:p.T97I,SOX6:ENST00000528252.5_6:exon3:c.C290T:p.T97I,SOX6:ENST00000528429.5_5:exon3:c.C290T:p.T97I,SOX6:ENST00000655819.1_6:exon3:c.C299T:p.T100I,SOX6:ENST00000683767.1_3:exon3:c.C290T:p.T97I</t>
        </is>
      </c>
      <c r="Q237" t="n">
        <v>-1</v>
      </c>
      <c r="R237" t="n">
        <v>-1</v>
      </c>
      <c r="S237" t="n">
        <v>-1</v>
      </c>
      <c r="T237" t="n">
        <v>-1</v>
      </c>
      <c r="U237" t="n">
        <v>-1</v>
      </c>
      <c r="V237" t="inlineStr">
        <is>
          <t>10/12</t>
        </is>
      </c>
      <c r="W237" t="inlineStr">
        <is>
          <t>.</t>
        </is>
      </c>
      <c r="X237" t="inlineStr">
        <is>
          <t>.</t>
        </is>
      </c>
      <c r="Y237" t="inlineStr">
        <is>
          <t>.</t>
        </is>
      </c>
      <c r="Z237" t="inlineStr">
        <is>
          <t>5/7</t>
        </is>
      </c>
      <c r="AA237" t="inlineStr">
        <is>
          <t>Uncertain significance</t>
        </is>
      </c>
      <c r="AB237" t="inlineStr">
        <is>
          <t>.</t>
        </is>
      </c>
      <c r="AC237" t="inlineStr">
        <is>
          <t>0/1</t>
        </is>
      </c>
      <c r="AD237" t="inlineStr">
        <is>
          <t>1</t>
        </is>
      </c>
      <c r="AE237" t="inlineStr">
        <is>
          <t>0.999530959870119</t>
        </is>
      </c>
      <c r="AF237" t="inlineStr">
        <is>
          <t>SRY-box 6</t>
        </is>
      </c>
      <c r="AG237" t="inlineStr">
        <is>
          <t xml:space="preserve">FUNCTION: Transcriptional activator. Binds specifically to the DNA sequence 5'-AACAAT-3'. Plays a key role in several developmental processes, including neurogenesis and skeleton formation.; </t>
        </is>
      </c>
      <c r="AH237" t="inlineStr">
        <is>
          <t>.</t>
        </is>
      </c>
      <c r="AI237" t="inlineStr">
        <is>
          <t>.</t>
        </is>
      </c>
      <c r="AJ237" t="inlineStr">
        <is>
          <t>.</t>
        </is>
      </c>
      <c r="AK237" t="inlineStr">
        <is>
          <t>.</t>
        </is>
      </c>
      <c r="AL237" t="inlineStr">
        <is>
          <t>.</t>
        </is>
      </c>
    </row>
    <row r="238">
      <c r="A238" t="inlineStr"/>
      <c r="B238">
        <f>HYPERLINK("https://genome.ucsc.edu/cgi-bin/hgTracks?db=hg19&amp;position=chr11%3A17617669%2D17617669", "chr11:17617669")</f>
        <v/>
      </c>
      <c r="C238" t="inlineStr">
        <is>
          <t>chr11</t>
        </is>
      </c>
      <c r="D238" t="n">
        <v>17617669</v>
      </c>
      <c r="E238" t="n">
        <v>17617669</v>
      </c>
      <c r="F238" t="inlineStr">
        <is>
          <t>C</t>
        </is>
      </c>
      <c r="G238" t="inlineStr">
        <is>
          <t>T</t>
        </is>
      </c>
      <c r="H238" t="inlineStr">
        <is>
          <t>719.64</t>
        </is>
      </c>
      <c r="I238" t="inlineStr">
        <is>
          <t>72</t>
        </is>
      </c>
      <c r="J238" t="inlineStr">
        <is>
          <t>43,29</t>
        </is>
      </c>
      <c r="K238" t="inlineStr">
        <is>
          <t>.</t>
        </is>
      </c>
      <c r="L238" t="inlineStr">
        <is>
          <t>.</t>
        </is>
      </c>
      <c r="M238">
        <f>HYPERLINK("https://www.genecards.org/Search/Keyword?queryString=%5Baliases%5D(%20OTOG%20)&amp;keywords=OTOG", "OTOG")</f>
        <v/>
      </c>
      <c r="N238" t="inlineStr">
        <is>
          <t>exonic</t>
        </is>
      </c>
      <c r="O238" t="inlineStr">
        <is>
          <t>nonsynonymous SNV</t>
        </is>
      </c>
      <c r="P238" t="inlineStr">
        <is>
          <t>OTOG:NM_001277269:exon28:c.C3529T:p.L1177F,OTOG:NM_001292063:exon29:c.C3493T:p.L1165F;OTOG:uc001mnh.1:exon6:c.C574T:p.L192F,OTOG:uc031pzc.1:exon28:c.C3529T:p.L1177F;OTOG:ENST00000399391.7_3:exon28:c.C3529T:p.L1177F,OTOG:ENST00000399397.6_8:exon29:c.C3493T:p.L1165F</t>
        </is>
      </c>
      <c r="Q238" t="n">
        <v>-1</v>
      </c>
      <c r="R238" t="n">
        <v>-1</v>
      </c>
      <c r="S238" t="n">
        <v>-1</v>
      </c>
      <c r="T238" t="n">
        <v>-1</v>
      </c>
      <c r="U238" t="n">
        <v>-1</v>
      </c>
      <c r="V238" t="inlineStr">
        <is>
          <t>6/12</t>
        </is>
      </c>
      <c r="W238" t="inlineStr">
        <is>
          <t>.</t>
        </is>
      </c>
      <c r="X238" t="inlineStr">
        <is>
          <t>.</t>
        </is>
      </c>
      <c r="Y238" t="inlineStr">
        <is>
          <t>.</t>
        </is>
      </c>
      <c r="Z238" t="inlineStr">
        <is>
          <t>3/7</t>
        </is>
      </c>
      <c r="AA238" t="inlineStr">
        <is>
          <t>Uncertain significance</t>
        </is>
      </c>
      <c r="AB238" t="inlineStr">
        <is>
          <t>.</t>
        </is>
      </c>
      <c r="AC238" t="inlineStr">
        <is>
          <t>0/1</t>
        </is>
      </c>
      <c r="AD238" t="inlineStr">
        <is>
          <t>1</t>
        </is>
      </c>
      <c r="AE238" t="inlineStr">
        <is>
          <t>.</t>
        </is>
      </c>
      <c r="AF238" t="inlineStr">
        <is>
          <t>otogelin</t>
        </is>
      </c>
      <c r="AG238" t="inlineStr">
        <is>
          <t xml:space="preserve">FUNCTION: Glycoprotein specific to acellular membranes of the inner ear. May be required for the anchoring of the otoconial membranes and cupulae to the underlying neuroepithelia in the vestibule. May be involved in the organization and/or stabilization of the fibrillar network that compose the tectorial membrane in the cochlea. May play a role in mechanotransduction processes (By similarity). {ECO:0000250}.; </t>
        </is>
      </c>
      <c r="AH238" t="inlineStr">
        <is>
          <t xml:space="preserve">DISEASE: Deafness, autosomal recessive, 18B (DFNB18B) [MIM:614945]: A form of non-syndromic deafness characterized by a moderate hearing impairment, which can be associated with vestibular dysfunction, and a flat to shallow "U" or slightly downsloping shaped audiograms. {ECO:0000269|PubMed:23122587}. Note=The disease is caused by mutations affecting the gene represented in this entry.; </t>
        </is>
      </c>
      <c r="AI238" t="inlineStr">
        <is>
          <t>.</t>
        </is>
      </c>
      <c r="AJ238" t="inlineStr">
        <is>
          <t>.</t>
        </is>
      </c>
      <c r="AK238" t="inlineStr">
        <is>
          <t>.</t>
        </is>
      </c>
      <c r="AL238" t="inlineStr">
        <is>
          <t>.</t>
        </is>
      </c>
    </row>
    <row r="239">
      <c r="A239" t="inlineStr"/>
      <c r="B239">
        <f>HYPERLINK("https://genome.ucsc.edu/cgi-bin/hgTracks?db=hg19&amp;position=chr11%3A18266961%2D18266961", "chr11:18266961")</f>
        <v/>
      </c>
      <c r="C239" t="inlineStr">
        <is>
          <t>chr11</t>
        </is>
      </c>
      <c r="D239" t="n">
        <v>18266961</v>
      </c>
      <c r="E239" t="n">
        <v>18266961</v>
      </c>
      <c r="F239" t="inlineStr">
        <is>
          <t>T</t>
        </is>
      </c>
      <c r="G239" t="inlineStr">
        <is>
          <t>C</t>
        </is>
      </c>
      <c r="H239" t="inlineStr">
        <is>
          <t>607.64</t>
        </is>
      </c>
      <c r="I239" t="inlineStr">
        <is>
          <t>100</t>
        </is>
      </c>
      <c r="J239" t="inlineStr">
        <is>
          <t>69,31</t>
        </is>
      </c>
      <c r="K239" t="inlineStr">
        <is>
          <t>.</t>
        </is>
      </c>
      <c r="L239">
        <f>HYPERLINK("https://www.ncbi.nlm.nih.gov/snp/rs138002965", "rs138002965")</f>
        <v/>
      </c>
      <c r="M239">
        <f>HYPERLINK("https://www.genecards.org/Search/Keyword?queryString=%5Baliases%5D(%20SAA2%20)&amp;keywords=SAA2", "SAA2")</f>
        <v/>
      </c>
      <c r="N239" t="inlineStr">
        <is>
          <t>exonic</t>
        </is>
      </c>
      <c r="O239" t="inlineStr">
        <is>
          <t>nonsynonymous SNV</t>
        </is>
      </c>
      <c r="P239" t="inlineStr">
        <is>
          <t>SAA2:NM_001385673:exon2:c.A100G:p.I34V,SAA2:NM_001385668:exon3:c.A193G:p.I65V,SAA2:NM_001385671:exon3:c.A230G:p.N77S,SAA2:NM_001385670:exon4:c.A239G:p.N80S,SAA2:NM_030754:exon4:c.A332G:p.N111S,SAA2:NM_001385666:exon5:c.A332G:p.N111S;SAA2:uc001mnz.4:exon4:c.A332G:p.N111S;SAA2:ENST00000256733.9_5:exon4:c.A332G:p.N111S,SAA2:ENST00000526900.1_3:exon4:c.A332G:p.N111S,SAA2:ENST00000529528.5_3:exon5:c.A332G:p.N111S</t>
        </is>
      </c>
      <c r="Q239" t="n">
        <v>0.0086</v>
      </c>
      <c r="R239" t="n">
        <v>0.0051</v>
      </c>
      <c r="S239" t="n">
        <v>0.0054</v>
      </c>
      <c r="T239" t="n">
        <v>-1</v>
      </c>
      <c r="U239" t="n">
        <v>0.0047</v>
      </c>
      <c r="V239" t="inlineStr">
        <is>
          <t>8/11</t>
        </is>
      </c>
      <c r="W239" t="inlineStr">
        <is>
          <t>.</t>
        </is>
      </c>
      <c r="X239" t="inlineStr">
        <is>
          <t>.</t>
        </is>
      </c>
      <c r="Y239" t="inlineStr">
        <is>
          <t>.</t>
        </is>
      </c>
      <c r="Z239" t="inlineStr">
        <is>
          <t>1/7</t>
        </is>
      </c>
      <c r="AA239" t="inlineStr">
        <is>
          <t>Uncertain significance</t>
        </is>
      </c>
      <c r="AB239" t="inlineStr">
        <is>
          <t>.</t>
        </is>
      </c>
      <c r="AC239" t="inlineStr">
        <is>
          <t>0/1</t>
        </is>
      </c>
      <c r="AD239" t="inlineStr">
        <is>
          <t>1</t>
        </is>
      </c>
      <c r="AE239" t="inlineStr">
        <is>
          <t>0.0286553987840972</t>
        </is>
      </c>
      <c r="AF239" t="inlineStr">
        <is>
          <t>serum amyloid A2</t>
        </is>
      </c>
      <c r="AG239" t="inlineStr">
        <is>
          <t xml:space="preserve">FUNCTION: Major acute phase reactant. Apolipoprotein of the HDL complex.; </t>
        </is>
      </c>
      <c r="AH239" t="inlineStr">
        <is>
          <t xml:space="preserve">DISEASE: Note=Reactive, secondary amyloidosis is characterized by the extracellular accumulation in various tissues of the SAA2 protein. These deposits are highly insoluble and resistant to proteolysis; they disrupt tissue structure and compromise function. {ECO:0000269|PubMed:1463770}.; </t>
        </is>
      </c>
      <c r="AI239" t="inlineStr">
        <is>
          <t>.</t>
        </is>
      </c>
      <c r="AJ239" t="inlineStr">
        <is>
          <t>.</t>
        </is>
      </c>
      <c r="AK239" t="inlineStr">
        <is>
          <t>.</t>
        </is>
      </c>
      <c r="AL239" t="inlineStr">
        <is>
          <t>.</t>
        </is>
      </c>
    </row>
    <row r="240">
      <c r="A240" t="inlineStr"/>
      <c r="B240">
        <f>HYPERLINK("https://genome.ucsc.edu/cgi-bin/hgTracks?db=hg19&amp;position=chr11%3A18305355%2D18305355", "chr11:18305355")</f>
        <v/>
      </c>
      <c r="C240" t="inlineStr">
        <is>
          <t>chr11</t>
        </is>
      </c>
      <c r="D240" t="n">
        <v>18305355</v>
      </c>
      <c r="E240" t="n">
        <v>18305355</v>
      </c>
      <c r="F240" t="inlineStr">
        <is>
          <t>C</t>
        </is>
      </c>
      <c r="G240" t="inlineStr">
        <is>
          <t>T</t>
        </is>
      </c>
      <c r="H240" t="inlineStr">
        <is>
          <t>513.64</t>
        </is>
      </c>
      <c r="I240" t="inlineStr">
        <is>
          <t>87</t>
        </is>
      </c>
      <c r="J240" t="inlineStr">
        <is>
          <t>65,22</t>
        </is>
      </c>
      <c r="K240" t="inlineStr">
        <is>
          <t>.</t>
        </is>
      </c>
      <c r="L240">
        <f>HYPERLINK("https://www.ncbi.nlm.nih.gov/snp/rs61755718", "rs61755718")</f>
        <v/>
      </c>
      <c r="M240">
        <f>HYPERLINK("https://www.genecards.org/Search/Keyword?queryString=%5Baliases%5D(%20HPS5%20)&amp;keywords=HPS5", "HPS5")</f>
        <v/>
      </c>
      <c r="N240" t="inlineStr">
        <is>
          <t>exonic</t>
        </is>
      </c>
      <c r="O240" t="inlineStr">
        <is>
          <t>nonsynonymous SNV</t>
        </is>
      </c>
      <c r="P240" t="inlineStr">
        <is>
          <t>HPS5:NM_007216:exon20:c.G2703A:p.M901I,HPS5:NM_181508:exon20:c.G2703A:p.M901I,HPS5:NM_181507:exon21:c.G3045A:p.M1015I;HPS5:uc001moe.1:exon20:c.G2703A:p.M901I,HPS5:uc001mof.1:exon20:c.G2703A:p.M901I,HPS5:uc001mod.1:exon21:c.G3045A:p.M1015I;HPS5:ENST00000537258.1_5:exon3:c.G366A:p.M122I,HPS5:ENST00000396253.7_5:exon20:c.G2703A:p.M901I,HPS5:ENST00000438420.6_5:exon20:c.G2703A:p.M901I,HPS5:ENST00000349215.8_7:exon21:c.G3045A:p.M1015I</t>
        </is>
      </c>
      <c r="Q240" t="n">
        <v>0.024457</v>
      </c>
      <c r="R240" t="n">
        <v>0.0061</v>
      </c>
      <c r="S240" t="n">
        <v>0.0068</v>
      </c>
      <c r="T240" t="n">
        <v>-1</v>
      </c>
      <c r="U240" t="n">
        <v>0.0053</v>
      </c>
      <c r="V240" t="inlineStr">
        <is>
          <t>3/11</t>
        </is>
      </c>
      <c r="W240" t="inlineStr">
        <is>
          <t>.</t>
        </is>
      </c>
      <c r="X240" t="inlineStr">
        <is>
          <t>.</t>
        </is>
      </c>
      <c r="Y240" t="inlineStr">
        <is>
          <t>.</t>
        </is>
      </c>
      <c r="Z240" t="inlineStr">
        <is>
          <t>3/7</t>
        </is>
      </c>
      <c r="AA240" t="inlineStr">
        <is>
          <t>Likely benign</t>
        </is>
      </c>
      <c r="AB240" t="inlineStr">
        <is>
          <t>Conflicting_interpretations_of_pathogenicity</t>
        </is>
      </c>
      <c r="AC240" t="inlineStr">
        <is>
          <t>0/1</t>
        </is>
      </c>
      <c r="AD240" t="inlineStr">
        <is>
          <t>1</t>
        </is>
      </c>
      <c r="AE240" t="inlineStr">
        <is>
          <t>9.07535902902917e-06</t>
        </is>
      </c>
      <c r="AF240" t="inlineStr">
        <is>
          <t>HPS5, biogenesis of lysosomal organelles complex 2 subunit 2</t>
        </is>
      </c>
      <c r="AG240" t="inlineStr">
        <is>
          <t xml:space="preserve">FUNCTION: May regulate the synthesis and function of lysosomes and of highly specialized organelles, such as melanosomes and platelet dense granules. Regulates intracellular vesicular trafficking in fibroblasts. May be involved in the regulation of general functions of integrins. {ECO:0000269|PubMed:15296495, ECO:0000269|PubMed:17301833}.; </t>
        </is>
      </c>
      <c r="AH240" t="inlineStr">
        <is>
          <t>.</t>
        </is>
      </c>
      <c r="AI240" t="inlineStr">
        <is>
          <t>.</t>
        </is>
      </c>
      <c r="AJ240" t="inlineStr">
        <is>
          <t>.</t>
        </is>
      </c>
      <c r="AK240" t="inlineStr">
        <is>
          <t>.</t>
        </is>
      </c>
      <c r="AL240" t="inlineStr">
        <is>
          <t>.</t>
        </is>
      </c>
    </row>
    <row r="241">
      <c r="A241" t="inlineStr"/>
      <c r="B241">
        <f>HYPERLINK("https://genome.ucsc.edu/cgi-bin/hgTracks?db=hg19&amp;position=chr11%3A20949031%2D20949031", "chr11:20949031")</f>
        <v/>
      </c>
      <c r="C241" t="inlineStr">
        <is>
          <t>chr11</t>
        </is>
      </c>
      <c r="D241" t="n">
        <v>20949031</v>
      </c>
      <c r="E241" t="n">
        <v>20949031</v>
      </c>
      <c r="F241" t="inlineStr">
        <is>
          <t>G</t>
        </is>
      </c>
      <c r="G241" t="inlineStr">
        <is>
          <t>T</t>
        </is>
      </c>
      <c r="H241" t="inlineStr">
        <is>
          <t>59.64</t>
        </is>
      </c>
      <c r="I241" t="inlineStr">
        <is>
          <t>29</t>
        </is>
      </c>
      <c r="J241" t="inlineStr">
        <is>
          <t>25,4</t>
        </is>
      </c>
      <c r="K241" t="inlineStr">
        <is>
          <t>.</t>
        </is>
      </c>
      <c r="L241" t="inlineStr">
        <is>
          <t>.</t>
        </is>
      </c>
      <c r="M241">
        <f>HYPERLINK("https://www.genecards.org/Search/Keyword?queryString=%5Baliases%5D(%20NELL1%20)&amp;keywords=NELL1", "NELL1")</f>
        <v/>
      </c>
      <c r="N241" t="inlineStr">
        <is>
          <t>intronic</t>
        </is>
      </c>
      <c r="O241" t="inlineStr">
        <is>
          <t>.</t>
        </is>
      </c>
      <c r="P241" t="inlineStr">
        <is>
          <t>.</t>
        </is>
      </c>
      <c r="Q241" t="n">
        <v>-1</v>
      </c>
      <c r="R241" t="n">
        <v>-1</v>
      </c>
      <c r="S241" t="n">
        <v>-1</v>
      </c>
      <c r="T241" t="n">
        <v>-1</v>
      </c>
      <c r="U241" t="n">
        <v>-1</v>
      </c>
      <c r="V241" t="inlineStr">
        <is>
          <t>.</t>
        </is>
      </c>
      <c r="W241" t="inlineStr">
        <is>
          <t>.</t>
        </is>
      </c>
      <c r="X241" t="inlineStr">
        <is>
          <t>D</t>
        </is>
      </c>
      <c r="Y241" t="inlineStr">
        <is>
          <t>off</t>
        </is>
      </c>
      <c r="Z241" t="inlineStr">
        <is>
          <t>.</t>
        </is>
      </c>
      <c r="AA241" t="inlineStr">
        <is>
          <t>.</t>
        </is>
      </c>
      <c r="AB241" t="inlineStr">
        <is>
          <t>.</t>
        </is>
      </c>
      <c r="AC241" t="inlineStr">
        <is>
          <t>0/1</t>
        </is>
      </c>
      <c r="AD241" t="inlineStr">
        <is>
          <t>1</t>
        </is>
      </c>
      <c r="AE241" t="inlineStr">
        <is>
          <t>2.16981597021605e-09</t>
        </is>
      </c>
      <c r="AF241" t="inlineStr">
        <is>
          <t>neural EGFL like 1</t>
        </is>
      </c>
      <c r="AG241" t="inlineStr">
        <is>
          <t xml:space="preserve">FUNCTION: Plays a role in the control of cell growth and differentiation. Promotes osteoblast cell differentiation and terminal mineralization. {ECO:0000269|PubMed:21723284}.; </t>
        </is>
      </c>
      <c r="AH241" t="inlineStr">
        <is>
          <t>.</t>
        </is>
      </c>
      <c r="AI241" t="inlineStr">
        <is>
          <t>.</t>
        </is>
      </c>
      <c r="AJ241" t="inlineStr">
        <is>
          <t>.</t>
        </is>
      </c>
      <c r="AK241" t="inlineStr">
        <is>
          <t>.</t>
        </is>
      </c>
      <c r="AL241" t="inlineStr">
        <is>
          <t>.</t>
        </is>
      </c>
    </row>
    <row r="242">
      <c r="A242" t="inlineStr"/>
      <c r="B242">
        <f>HYPERLINK("https://genome.ucsc.edu/cgi-bin/hgTracks?db=hg19&amp;position=chr11%3A27371911%2D27371911", "chr11:27371911")</f>
        <v/>
      </c>
      <c r="C242" t="inlineStr">
        <is>
          <t>chr11</t>
        </is>
      </c>
      <c r="D242" t="n">
        <v>27371911</v>
      </c>
      <c r="E242" t="n">
        <v>27371911</v>
      </c>
      <c r="F242" t="inlineStr">
        <is>
          <t>G</t>
        </is>
      </c>
      <c r="G242" t="inlineStr">
        <is>
          <t>T</t>
        </is>
      </c>
      <c r="H242" t="inlineStr">
        <is>
          <t>2694.64</t>
        </is>
      </c>
      <c r="I242" t="inlineStr">
        <is>
          <t>195</t>
        </is>
      </c>
      <c r="J242" t="inlineStr">
        <is>
          <t>84,111</t>
        </is>
      </c>
      <c r="K242" t="inlineStr">
        <is>
          <t>.</t>
        </is>
      </c>
      <c r="L242">
        <f>HYPERLINK("https://www.ncbi.nlm.nih.gov/snp/rs12364852", "rs12364852")</f>
        <v/>
      </c>
      <c r="M242">
        <f>HYPERLINK("https://www.genecards.org/Search/Keyword?queryString=%5Baliases%5D(%20CCDC34%20)&amp;keywords=CCDC34", "CCDC34")</f>
        <v/>
      </c>
      <c r="N242" t="inlineStr">
        <is>
          <t>exonic</t>
        </is>
      </c>
      <c r="O242" t="inlineStr">
        <is>
          <t>nonsynonymous SNV</t>
        </is>
      </c>
      <c r="P242" t="inlineStr">
        <is>
          <t>CCDC34:NM_030771:exon3:c.C574A:p.H192N,CCDC34:NM_080654:exon3:c.C574A:p.H192N;CCDC34:uc001mrh.1:exon3:c.C574A:p.H192N,CCDC34:uc001mri.1:exon3:c.C574A:p.H192N;CCDC34:ENST00000317945.6_6:exon3:c.C574A:p.H192N,CCDC34:ENST00000328697.11_8:exon3:c.C574A:p.H192N</t>
        </is>
      </c>
      <c r="Q242" t="n">
        <v>0.005848</v>
      </c>
      <c r="R242" t="n">
        <v>0.0017</v>
      </c>
      <c r="S242" t="n">
        <v>0.0015</v>
      </c>
      <c r="T242" t="n">
        <v>-1</v>
      </c>
      <c r="U242" t="n">
        <v>0.0016</v>
      </c>
      <c r="V242" t="inlineStr">
        <is>
          <t>5/11</t>
        </is>
      </c>
      <c r="W242" t="inlineStr">
        <is>
          <t>.</t>
        </is>
      </c>
      <c r="X242" t="inlineStr">
        <is>
          <t>.</t>
        </is>
      </c>
      <c r="Y242" t="inlineStr">
        <is>
          <t>.</t>
        </is>
      </c>
      <c r="Z242" t="inlineStr">
        <is>
          <t>4/7</t>
        </is>
      </c>
      <c r="AA242" t="inlineStr">
        <is>
          <t>Uncertain significance</t>
        </is>
      </c>
      <c r="AB242" t="inlineStr">
        <is>
          <t>.</t>
        </is>
      </c>
      <c r="AC242" t="inlineStr">
        <is>
          <t>0/1</t>
        </is>
      </c>
      <c r="AD242" t="inlineStr">
        <is>
          <t>1</t>
        </is>
      </c>
      <c r="AE242" t="inlineStr">
        <is>
          <t>4.91354825835912e-07</t>
        </is>
      </c>
      <c r="AF242" t="inlineStr">
        <is>
          <t>coiled-coil domain containing 34</t>
        </is>
      </c>
      <c r="AG242" t="inlineStr">
        <is>
          <t>.</t>
        </is>
      </c>
      <c r="AH242" t="inlineStr">
        <is>
          <t xml:space="preserve">DISEASE: Note=A chromosomal aberration involving CCDC34 is found in a patient with hamartoma of the retinal pigment epithelium and retina. Translocation t(11;18) (p13;p11.2). {ECO:0000269|PubMed:11173847}.; </t>
        </is>
      </c>
      <c r="AI242" t="inlineStr">
        <is>
          <t>.</t>
        </is>
      </c>
      <c r="AJ242" t="inlineStr">
        <is>
          <t>.</t>
        </is>
      </c>
      <c r="AK242" t="inlineStr">
        <is>
          <t>.</t>
        </is>
      </c>
      <c r="AL242" t="inlineStr">
        <is>
          <t>.</t>
        </is>
      </c>
    </row>
    <row r="243">
      <c r="A243" t="inlineStr"/>
      <c r="B243">
        <f>HYPERLINK("https://genome.ucsc.edu/cgi-bin/hgTracks?db=hg19&amp;position=chr11%3A33308469%2D33308469", "chr11:33308469")</f>
        <v/>
      </c>
      <c r="C243" t="inlineStr">
        <is>
          <t>chr11</t>
        </is>
      </c>
      <c r="D243" t="n">
        <v>33308469</v>
      </c>
      <c r="E243" t="n">
        <v>33308469</v>
      </c>
      <c r="F243" t="inlineStr">
        <is>
          <t>G</t>
        </is>
      </c>
      <c r="G243" t="inlineStr">
        <is>
          <t>A</t>
        </is>
      </c>
      <c r="H243" t="inlineStr">
        <is>
          <t>2841.64</t>
        </is>
      </c>
      <c r="I243" t="inlineStr">
        <is>
          <t>172</t>
        </is>
      </c>
      <c r="J243" t="inlineStr">
        <is>
          <t>63,109</t>
        </is>
      </c>
      <c r="K243" t="inlineStr">
        <is>
          <t>.</t>
        </is>
      </c>
      <c r="L243">
        <f>HYPERLINK("https://www.ncbi.nlm.nih.gov/snp/rs34698015", "rs34698015")</f>
        <v/>
      </c>
      <c r="M243">
        <f>HYPERLINK("https://www.genecards.org/Search/Keyword?queryString=%5Baliases%5D(%20HIPK3%20)&amp;keywords=HIPK3", "HIPK3")</f>
        <v/>
      </c>
      <c r="N243" t="inlineStr">
        <is>
          <t>exonic</t>
        </is>
      </c>
      <c r="O243" t="inlineStr">
        <is>
          <t>nonsynonymous SNV</t>
        </is>
      </c>
      <c r="P243" t="inlineStr">
        <is>
          <t>HIPK3:NM_001048200:exon2:c.G509A:p.G170E,HIPK3:NM_001278162:exon2:c.G509A:p.G170E,HIPK3:NM_001278163:exon2:c.G509A:p.G170E,HIPK3:NM_005734:exon2:c.G509A:p.G170E;HIPK3:uc001mul.2:exon2:c.G509A:p.G170E,HIPK3:uc001mum.2:exon2:c.G509A:p.G170E,HIPK3:uc009yjv.2:exon2:c.G509A:p.G170E,HIPK3:uc031pzm.1:exon2:c.G509A:p.G170E;HIPK3:ENST00000303296.9_7:exon2:c.G509A:p.G170E,HIPK3:ENST00000379016.7_5:exon2:c.G509A:p.G170E,HIPK3:ENST00000456517.2_5:exon2:c.G509A:p.G170E,HIPK3:ENST00000525975.5_5:exon2:c.G509A:p.G170E</t>
        </is>
      </c>
      <c r="Q243" t="n">
        <v>0.011364</v>
      </c>
      <c r="R243" t="n">
        <v>0.0067</v>
      </c>
      <c r="S243" t="n">
        <v>0.0071</v>
      </c>
      <c r="T243" t="n">
        <v>-1</v>
      </c>
      <c r="U243" t="n">
        <v>0.0053</v>
      </c>
      <c r="V243" t="inlineStr">
        <is>
          <t>3/11</t>
        </is>
      </c>
      <c r="W243" t="inlineStr">
        <is>
          <t>.</t>
        </is>
      </c>
      <c r="X243" t="inlineStr">
        <is>
          <t>.</t>
        </is>
      </c>
      <c r="Y243" t="inlineStr">
        <is>
          <t>.</t>
        </is>
      </c>
      <c r="Z243" t="inlineStr">
        <is>
          <t>2/7</t>
        </is>
      </c>
      <c r="AA243" t="inlineStr">
        <is>
          <t>Uncertain significance</t>
        </is>
      </c>
      <c r="AB243" t="inlineStr">
        <is>
          <t>.</t>
        </is>
      </c>
      <c r="AC243" t="inlineStr">
        <is>
          <t>0/1</t>
        </is>
      </c>
      <c r="AD243" t="inlineStr">
        <is>
          <t>1</t>
        </is>
      </c>
      <c r="AE243" t="inlineStr">
        <is>
          <t>0.893187377239476</t>
        </is>
      </c>
      <c r="AF243" t="inlineStr">
        <is>
          <t>homeodomain interacting protein kinase 3</t>
        </is>
      </c>
      <c r="AG243" t="inlineStr">
        <is>
          <t xml:space="preserve">FUNCTION: Serine/threonine-protein kinase involved in transcription regulation, apoptosis and steroidogenic gene expression. Phosphorylates JUN and RUNX2. Seems to negatively regulate apoptosis by promoting FADD phosphorylation. Enhances androgen receptor-mediated transcription. May act as a transcriptional corepressor for NK homeodomain transcription factors. The phosphorylation of NR5A1 activates SF1 leading to increased steroidogenic gene expression upon cAMP signaling pathway stimulation. In osteoblasts, supports transcription activation: phosphorylates RUNX2 that synergizes with SPEN/MINT to enhance FGFR2-mediated activation of the osteocalcin FGF- responsive element (OCFRE). {ECO:0000269|PubMed:14766760, ECO:0000269|PubMed:17210646}.; </t>
        </is>
      </c>
      <c r="AH243" t="inlineStr">
        <is>
          <t>.</t>
        </is>
      </c>
      <c r="AI243" t="inlineStr">
        <is>
          <t>.</t>
        </is>
      </c>
      <c r="AJ243" t="inlineStr">
        <is>
          <t>.</t>
        </is>
      </c>
      <c r="AK243" t="inlineStr">
        <is>
          <t>.</t>
        </is>
      </c>
      <c r="AL243" t="inlineStr">
        <is>
          <t>.</t>
        </is>
      </c>
    </row>
    <row r="244">
      <c r="A244" t="inlineStr"/>
      <c r="B244">
        <f>HYPERLINK("https://genome.ucsc.edu/cgi-bin/hgTracks?db=hg19&amp;position=chr11%3A34165044%2D34165044", "chr11:34165044")</f>
        <v/>
      </c>
      <c r="C244" t="inlineStr">
        <is>
          <t>chr11</t>
        </is>
      </c>
      <c r="D244" t="n">
        <v>34165044</v>
      </c>
      <c r="E244" t="n">
        <v>34165044</v>
      </c>
      <c r="F244" t="inlineStr">
        <is>
          <t>G</t>
        </is>
      </c>
      <c r="G244" t="inlineStr">
        <is>
          <t>A</t>
        </is>
      </c>
      <c r="H244" t="inlineStr">
        <is>
          <t>380.64</t>
        </is>
      </c>
      <c r="I244" t="inlineStr">
        <is>
          <t>124</t>
        </is>
      </c>
      <c r="J244" t="inlineStr">
        <is>
          <t>97,27</t>
        </is>
      </c>
      <c r="K244" t="inlineStr">
        <is>
          <t>.</t>
        </is>
      </c>
      <c r="L244">
        <f>HYPERLINK("https://www.ncbi.nlm.nih.gov/snp/rs142960948", "rs142960948")</f>
        <v/>
      </c>
      <c r="M244">
        <f>HYPERLINK("https://www.genecards.org/Search/Keyword?queryString=%5Baliases%5D(%20NAT10%20)&amp;keywords=NAT10", "NAT10")</f>
        <v/>
      </c>
      <c r="N244" t="inlineStr">
        <is>
          <t>exonic</t>
        </is>
      </c>
      <c r="O244" t="inlineStr">
        <is>
          <t>nonsynonymous SNV</t>
        </is>
      </c>
      <c r="P244" t="inlineStr">
        <is>
          <t>NAT10:NM_001144030:exon26:c.G2722A:p.G908R,NAT10:NM_024662:exon28:c.G2938A:p.G980R;NAT10:uc010ren.2:exon26:c.G2722A:p.G908R,NAT10:uc001mvk.3:exon28:c.G2938A:p.G980R;NAT10:ENST00000531159.6_2:exon26:c.G2722A:p.G908R,NAT10:ENST00000257829.8_4:exon28:c.G2938A:p.G980R</t>
        </is>
      </c>
      <c r="Q244" t="n">
        <v>0.0219</v>
      </c>
      <c r="R244" t="n">
        <v>0.008500000000000001</v>
      </c>
      <c r="S244" t="n">
        <v>0.0062</v>
      </c>
      <c r="T244" t="n">
        <v>-1</v>
      </c>
      <c r="U244" t="n">
        <v>0.0118</v>
      </c>
      <c r="V244" t="inlineStr">
        <is>
          <t>5/10</t>
        </is>
      </c>
      <c r="W244" t="inlineStr">
        <is>
          <t>.</t>
        </is>
      </c>
      <c r="X244" t="inlineStr">
        <is>
          <t>.</t>
        </is>
      </c>
      <c r="Y244" t="inlineStr">
        <is>
          <t>.</t>
        </is>
      </c>
      <c r="Z244" t="inlineStr">
        <is>
          <t>6/7</t>
        </is>
      </c>
      <c r="AA244" t="inlineStr">
        <is>
          <t>Uncertain significance</t>
        </is>
      </c>
      <c r="AB244" t="inlineStr">
        <is>
          <t>.</t>
        </is>
      </c>
      <c r="AC244" t="inlineStr">
        <is>
          <t>0/1</t>
        </is>
      </c>
      <c r="AD244" t="inlineStr">
        <is>
          <t>1</t>
        </is>
      </c>
      <c r="AE244" t="inlineStr">
        <is>
          <t>1.05399824567495e-13</t>
        </is>
      </c>
      <c r="AF244" t="inlineStr">
        <is>
          <t>N-acetyltransferase 10</t>
        </is>
      </c>
      <c r="AG244" t="inlineStr">
        <is>
          <t xml:space="preserve">FUNCTION: RNA cytidine acetyltransferase with specificity toward both 18S rRNA and tRNAs (PubMed:25653167). Catalyzes the formation of N(4)-acetylcytidine (ac4C) at positions 1337 and 1842 in 18S rRNA (By similarity). Required for early nucleolar cleavages of precursor rRNA at sites A0, A1 and A2 during 18S rRNA synthesis (PubMed:25653167). Catalyzes the formation of ac4C in serine and leucine tRNAs (By similarity). Requires the tRNA-binding adapter protein THUMBD1 for full tRNA acetyltransferase activity but not for 18S rRNA acetylation (PubMed:25653167). Can acetylate both histones and microtubules. Histone acetylation may regulate transcription and mitotic chromosome de-condensation. Activates telomerase activity by stimulating the transcription of TERT, and may also regulate telomerase function by affecting the balance of telomerase subunit assembly, disassembly, and localization. Acetylates alpha-tubulin, which may affect microtubule stability and cell division (PubMed:14592445, PubMed:17631499, PubMed:18082603, PubMed:19303003). {ECO:0000250|UniProtKB:P53914, ECO:0000255|HAMAP-Rule:MF_03211, ECO:0000269|PubMed:14592445, ECO:0000269|PubMed:17631499, ECO:0000269|PubMed:18082603, ECO:0000269|PubMed:19303003, ECO:0000269|PubMed:25653167}.; </t>
        </is>
      </c>
      <c r="AH244" t="inlineStr">
        <is>
          <t>.</t>
        </is>
      </c>
      <c r="AI244" t="inlineStr">
        <is>
          <t>.</t>
        </is>
      </c>
      <c r="AJ244" t="inlineStr">
        <is>
          <t>.</t>
        </is>
      </c>
      <c r="AK244" t="inlineStr">
        <is>
          <t>.</t>
        </is>
      </c>
      <c r="AL244" t="inlineStr">
        <is>
          <t>.</t>
        </is>
      </c>
    </row>
    <row r="245">
      <c r="A245" t="inlineStr"/>
      <c r="B245">
        <f>HYPERLINK("https://genome.ucsc.edu/cgi-bin/hgTracks?db=hg19&amp;position=chr11%3A47202056%2D47202056", "chr11:47202056")</f>
        <v/>
      </c>
      <c r="C245" t="inlineStr">
        <is>
          <t>chr11</t>
        </is>
      </c>
      <c r="D245" t="n">
        <v>47202056</v>
      </c>
      <c r="E245" t="n">
        <v>47202056</v>
      </c>
      <c r="F245" t="inlineStr">
        <is>
          <t>C</t>
        </is>
      </c>
      <c r="G245" t="inlineStr">
        <is>
          <t>T</t>
        </is>
      </c>
      <c r="H245" t="inlineStr">
        <is>
          <t>430.64</t>
        </is>
      </c>
      <c r="I245" t="inlineStr">
        <is>
          <t>81</t>
        </is>
      </c>
      <c r="J245" t="inlineStr">
        <is>
          <t>61,20</t>
        </is>
      </c>
      <c r="K245" t="inlineStr">
        <is>
          <t>.</t>
        </is>
      </c>
      <c r="L245">
        <f>HYPERLINK("https://www.ncbi.nlm.nih.gov/snp/rs367746563", "rs367746563")</f>
        <v/>
      </c>
      <c r="M245">
        <f>HYPERLINK("https://www.genecards.org/Search/Keyword?queryString=%5Baliases%5D(%20PACSIN3%20)&amp;keywords=PACSIN3", "PACSIN3")</f>
        <v/>
      </c>
      <c r="N245" t="inlineStr">
        <is>
          <t>exonic</t>
        </is>
      </c>
      <c r="O245" t="inlineStr">
        <is>
          <t>nonsynonymous SNV</t>
        </is>
      </c>
      <c r="P245" t="inlineStr">
        <is>
          <t>PACSIN3:NM_001184974:exon5:c.G397A:p.E133K,PACSIN3:NM_001184975:exon5:c.G397A:p.E133K,PACSIN3:NM_016223:exon5:c.G397A:p.E133K;PACSIN3:uc001ndw.3:exon5:c.G397A:p.E133K,PACSIN3:uc001ndx.3:exon5:c.G397A:p.E133K,PACSIN3:uc001ndy.3:exon5:c.G397A:p.E133K;PACSIN3:ENST00000298838.11_7:exon5:c.G397A:p.E133K,PACSIN3:ENST00000539589.5_5:exon5:c.G397A:p.E133K</t>
        </is>
      </c>
      <c r="Q245" t="n">
        <v>0.0001</v>
      </c>
      <c r="R245" t="n">
        <v>0.0001</v>
      </c>
      <c r="S245" t="n">
        <v>0.0003</v>
      </c>
      <c r="T245" t="n">
        <v>-1</v>
      </c>
      <c r="U245" t="n">
        <v>-1</v>
      </c>
      <c r="V245" t="inlineStr">
        <is>
          <t>8/11</t>
        </is>
      </c>
      <c r="W245" t="inlineStr">
        <is>
          <t>.</t>
        </is>
      </c>
      <c r="X245" t="inlineStr">
        <is>
          <t>.</t>
        </is>
      </c>
      <c r="Y245" t="inlineStr">
        <is>
          <t>.</t>
        </is>
      </c>
      <c r="Z245" t="inlineStr">
        <is>
          <t>3/7</t>
        </is>
      </c>
      <c r="AA245" t="inlineStr">
        <is>
          <t>Uncertain significance</t>
        </is>
      </c>
      <c r="AB245" t="inlineStr">
        <is>
          <t>.</t>
        </is>
      </c>
      <c r="AC245" t="inlineStr">
        <is>
          <t>0/1</t>
        </is>
      </c>
      <c r="AD245" t="inlineStr">
        <is>
          <t>1</t>
        </is>
      </c>
      <c r="AE245" t="inlineStr">
        <is>
          <t>0.0167930476176259</t>
        </is>
      </c>
      <c r="AF245" t="inlineStr">
        <is>
          <t>protein kinase C and casein kinase substrate in neurons 3</t>
        </is>
      </c>
      <c r="AG245" t="inlineStr">
        <is>
          <t xml:space="preserve">FUNCTION: Plays a role in endocytosis and regulates internalization of plasma membrane proteins. Overexpression impairs internalization of SLC2A1/GLUT1 and TRPV4 and increases the levels of SLC2A1/GLUT1 and TRPV4 at the cell membrane. Inhibits the TRPV4 calcium channel activity (By similarity). {ECO:0000250, ECO:0000269|PubMed:11082044}.; </t>
        </is>
      </c>
      <c r="AH245" t="inlineStr">
        <is>
          <t>.</t>
        </is>
      </c>
      <c r="AI245" t="inlineStr">
        <is>
          <t>.</t>
        </is>
      </c>
      <c r="AJ245" t="inlineStr">
        <is>
          <t>.</t>
        </is>
      </c>
      <c r="AK245" t="inlineStr">
        <is>
          <t>.</t>
        </is>
      </c>
      <c r="AL245" t="inlineStr">
        <is>
          <t>.</t>
        </is>
      </c>
    </row>
    <row r="246">
      <c r="A246" t="inlineStr"/>
      <c r="B246">
        <f>HYPERLINK("https://genome.ucsc.edu/cgi-bin/hgTracks?db=hg19&amp;position=chr11%3A49178346%2D49178346", "chr11:49178346")</f>
        <v/>
      </c>
      <c r="C246" t="inlineStr">
        <is>
          <t>chr11</t>
        </is>
      </c>
      <c r="D246" t="n">
        <v>49178346</v>
      </c>
      <c r="E246" t="n">
        <v>49178346</v>
      </c>
      <c r="F246" t="inlineStr">
        <is>
          <t>C</t>
        </is>
      </c>
      <c r="G246" t="inlineStr">
        <is>
          <t>T</t>
        </is>
      </c>
      <c r="H246" t="inlineStr">
        <is>
          <t>364.64</t>
        </is>
      </c>
      <c r="I246" t="inlineStr">
        <is>
          <t>58</t>
        </is>
      </c>
      <c r="J246" t="inlineStr">
        <is>
          <t>39,19</t>
        </is>
      </c>
      <c r="K246" t="inlineStr">
        <is>
          <t>.</t>
        </is>
      </c>
      <c r="L246">
        <f>HYPERLINK("https://www.ncbi.nlm.nih.gov/snp/rs140204056", "rs140204056")</f>
        <v/>
      </c>
      <c r="M246">
        <f>HYPERLINK("https://www.genecards.org/Search/Keyword?queryString=%5Baliases%5D(%20FOLH1%20)&amp;keywords=FOLH1", "FOLH1")</f>
        <v/>
      </c>
      <c r="N246" t="inlineStr">
        <is>
          <t>exonic</t>
        </is>
      </c>
      <c r="O246" t="inlineStr">
        <is>
          <t>nonsynonymous SNV</t>
        </is>
      </c>
      <c r="P246" t="inlineStr">
        <is>
          <t>FOLH1:NM_001193473:exon13:c.G622A:p.G208R,FOLH1:NM_001014986:exon15:c.G1546A:p.G516R,FOLH1:NM_004476:exon15:c.G1546A:p.G516R,FOLH1:NM_001193471:exon16:c.G1501A:p.G501R,FOLH1:NM_001193472:exon16:c.G1501A:p.G501R,FOLH1:NM_001351236:exon16:c.G1375A:p.G459R;FOLH1:uc009yma.3:exon13:c.G622A:p.G208R,FOLH1:uc001ngy.3:exon15:c.G1546A:p.G516R,FOLH1:uc001ngz.3:exon15:c.G1546A:p.G516R,FOLH1:uc009yly.3:exon16:c.G1501A:p.G501R,FOLH1:uc009ylz.3:exon16:c.G1501A:p.G501R;FOLH1:ENST00000256999.7_8:exon15:c.G1546A:p.G516R,FOLH1:ENST00000356696.7_3:exon15:c.G1546A:p.G516R,FOLH1:ENST00000340334.11_5:exon16:c.G1501A:p.G501R,FOLH1:ENST00000533034.1_3:exon16:c.G1501A:p.G501R</t>
        </is>
      </c>
      <c r="Q246" t="n">
        <v>0.0001</v>
      </c>
      <c r="R246" t="n">
        <v>0.0001</v>
      </c>
      <c r="S246" t="n">
        <v>-1</v>
      </c>
      <c r="T246" t="n">
        <v>-1</v>
      </c>
      <c r="U246" t="n">
        <v>-1</v>
      </c>
      <c r="V246" t="inlineStr">
        <is>
          <t>8/12</t>
        </is>
      </c>
      <c r="W246" t="inlineStr">
        <is>
          <t>.</t>
        </is>
      </c>
      <c r="X246" t="inlineStr">
        <is>
          <t>.</t>
        </is>
      </c>
      <c r="Y246" t="inlineStr">
        <is>
          <t>.</t>
        </is>
      </c>
      <c r="Z246" t="inlineStr">
        <is>
          <t>2/7</t>
        </is>
      </c>
      <c r="AA246" t="inlineStr">
        <is>
          <t>Uncertain significance</t>
        </is>
      </c>
      <c r="AB246" t="inlineStr">
        <is>
          <t>.</t>
        </is>
      </c>
      <c r="AC246" t="inlineStr">
        <is>
          <t>0/1</t>
        </is>
      </c>
      <c r="AD246" t="inlineStr">
        <is>
          <t>1</t>
        </is>
      </c>
      <c r="AE246" t="inlineStr">
        <is>
          <t>0.253396884638148</t>
        </is>
      </c>
      <c r="AF246" t="inlineStr">
        <is>
          <t>folate hydrolase (prostate-specific membrane antigen) 1</t>
        </is>
      </c>
      <c r="AG246" t="inlineStr">
        <is>
          <t xml:space="preserve">FUNCTION: Has both folate hydrolase and N-acetylated-alpha-linked- acidic dipeptidase (NAALADase) activity. Has a preference for tri- alpha-glutamate peptides. In the intestine, required for the uptake of folate. In the brain, modulates excitatory neurotransmission through the hydrolysis of the neuropeptide, N- aceylaspartylglutamate (NAAG), thereby releasing glutamate. Isoform PSM-4 and isoform PSM-5 would appear to be physiologically irrelevant. Involved in prostate tumor progression.; </t>
        </is>
      </c>
      <c r="AH246" t="inlineStr">
        <is>
          <t>.</t>
        </is>
      </c>
      <c r="AI246" t="inlineStr">
        <is>
          <t>.</t>
        </is>
      </c>
      <c r="AJ246" t="inlineStr">
        <is>
          <t>.</t>
        </is>
      </c>
      <c r="AK246" t="inlineStr">
        <is>
          <t>.</t>
        </is>
      </c>
      <c r="AL246" t="inlineStr">
        <is>
          <t>NGS_LowStringency</t>
        </is>
      </c>
    </row>
    <row r="247">
      <c r="A247" t="inlineStr"/>
      <c r="B247">
        <f>HYPERLINK("https://genome.ucsc.edu/cgi-bin/hgTracks?db=hg19&amp;position=chr11%3A56185159%2D56185159", "chr11:56185159")</f>
        <v/>
      </c>
      <c r="C247" t="inlineStr">
        <is>
          <t>chr11</t>
        </is>
      </c>
      <c r="D247" t="n">
        <v>56185159</v>
      </c>
      <c r="E247" t="n">
        <v>56185159</v>
      </c>
      <c r="F247" t="inlineStr">
        <is>
          <t>-</t>
        </is>
      </c>
      <c r="G247" t="inlineStr">
        <is>
          <t>T</t>
        </is>
      </c>
      <c r="H247" t="inlineStr">
        <is>
          <t>4151.06</t>
        </is>
      </c>
      <c r="I247" t="inlineStr">
        <is>
          <t>137</t>
        </is>
      </c>
      <c r="J247" t="inlineStr">
        <is>
          <t>0,90,47</t>
        </is>
      </c>
      <c r="K247" t="inlineStr">
        <is>
          <t>.</t>
        </is>
      </c>
      <c r="L247" t="inlineStr">
        <is>
          <t>.</t>
        </is>
      </c>
      <c r="M247">
        <f>HYPERLINK("https://www.genecards.org/Search/Keyword?queryString=%5Baliases%5D(%20OR5R1%20)&amp;keywords=OR5R1", "OR5R1")</f>
        <v/>
      </c>
      <c r="N247" t="inlineStr">
        <is>
          <t>exonic</t>
        </is>
      </c>
      <c r="O247" t="inlineStr">
        <is>
          <t>frameshift insertion</t>
        </is>
      </c>
      <c r="P247" t="inlineStr">
        <is>
          <t>OR5R1:NM_001004744:exon1:c.549_550insA:p.F184Ifs*23;OR5R1:uc010rji.2:exon1:c.549_550insA:p.F184Ifs*23;OR8U3:ENST00000623286.1_5:exon1:c.549_550insA:p.F184Ifs*23</t>
        </is>
      </c>
      <c r="Q247" t="n">
        <v>-1</v>
      </c>
      <c r="R247" t="n">
        <v>-1</v>
      </c>
      <c r="S247" t="n">
        <v>-1</v>
      </c>
      <c r="T247" t="n">
        <v>-1</v>
      </c>
      <c r="U247" t="n">
        <v>-1</v>
      </c>
      <c r="V247" t="inlineStr">
        <is>
          <t>.</t>
        </is>
      </c>
      <c r="W247" t="inlineStr">
        <is>
          <t>.</t>
        </is>
      </c>
      <c r="X247" t="inlineStr">
        <is>
          <t>.</t>
        </is>
      </c>
      <c r="Y247" t="inlineStr">
        <is>
          <t>.</t>
        </is>
      </c>
      <c r="Z247" t="inlineStr">
        <is>
          <t>.</t>
        </is>
      </c>
      <c r="AA247" t="inlineStr">
        <is>
          <t>.</t>
        </is>
      </c>
      <c r="AB247" t="inlineStr">
        <is>
          <t>.</t>
        </is>
      </c>
      <c r="AC247" t="inlineStr">
        <is>
          <t>1/2</t>
        </is>
      </c>
      <c r="AD247" t="inlineStr">
        <is>
          <t>1</t>
        </is>
      </c>
      <c r="AE247" t="inlineStr">
        <is>
          <t>2.18602853058181e-05</t>
        </is>
      </c>
      <c r="AF247" t="inlineStr">
        <is>
          <t>olfactory receptor family 5 subfamily R member 1 (gene/pseudogene)</t>
        </is>
      </c>
      <c r="AG247" t="inlineStr">
        <is>
          <t xml:space="preserve">FUNCTION: Odorant receptor. {ECO:0000305}.; </t>
        </is>
      </c>
      <c r="AH247" t="inlineStr">
        <is>
          <t>.</t>
        </is>
      </c>
      <c r="AI247" t="inlineStr">
        <is>
          <t>.</t>
        </is>
      </c>
      <c r="AJ247" t="inlineStr">
        <is>
          <t>.</t>
        </is>
      </c>
      <c r="AK247" t="inlineStr">
        <is>
          <t>.</t>
        </is>
      </c>
      <c r="AL247" t="inlineStr">
        <is>
          <t>.</t>
        </is>
      </c>
    </row>
    <row r="248">
      <c r="A248" t="inlineStr"/>
      <c r="B248">
        <f>HYPERLINK("https://genome.ucsc.edu/cgi-bin/hgTracks?db=hg19&amp;position=chr11%3A59710426%2D59710426", "chr11:59710426")</f>
        <v/>
      </c>
      <c r="C248" t="inlineStr">
        <is>
          <t>chr11</t>
        </is>
      </c>
      <c r="D248" t="n">
        <v>59710426</v>
      </c>
      <c r="E248" t="n">
        <v>59710426</v>
      </c>
      <c r="F248" t="inlineStr">
        <is>
          <t>-</t>
        </is>
      </c>
      <c r="G248" t="inlineStr">
        <is>
          <t>CT</t>
        </is>
      </c>
      <c r="H248" t="inlineStr">
        <is>
          <t>405.60</t>
        </is>
      </c>
      <c r="I248" t="inlineStr">
        <is>
          <t>147</t>
        </is>
      </c>
      <c r="J248" t="inlineStr">
        <is>
          <t>128,19</t>
        </is>
      </c>
      <c r="K248" t="inlineStr">
        <is>
          <t>.</t>
        </is>
      </c>
      <c r="L248" t="inlineStr">
        <is>
          <t>.</t>
        </is>
      </c>
      <c r="M248">
        <f>HYPERLINK("https://www.genecards.org/Search/Keyword?queryString=%5Baliases%5D(%20AB231702%20)%20OR%20%5Baliases%5D(%20OOSP1%20)&amp;keywords=AB231702,OOSP1", "AB231702;OOSP1")</f>
        <v/>
      </c>
      <c r="N248" t="inlineStr">
        <is>
          <t>UTR5;exonic;ncRNA_exonic</t>
        </is>
      </c>
      <c r="O248" t="inlineStr">
        <is>
          <t>frameshift insertion</t>
        </is>
      </c>
      <c r="P248" t="inlineStr">
        <is>
          <t>uc001nok.2:c.-22698_-22697insCT;OOSP1:ENST00000644529.1_5:exon2:c.183_184insCT:p.H62Lfs*3,OOSP1:ENST00000646685.1_4:exon2:c.183_184insCT:p.H62Lfs*3</t>
        </is>
      </c>
      <c r="Q248" t="n">
        <v>-1</v>
      </c>
      <c r="R248" t="n">
        <v>-1</v>
      </c>
      <c r="S248" t="n">
        <v>-1</v>
      </c>
      <c r="T248" t="n">
        <v>-1</v>
      </c>
      <c r="U248" t="n">
        <v>-1</v>
      </c>
      <c r="V248" t="inlineStr">
        <is>
          <t>.</t>
        </is>
      </c>
      <c r="W248" t="inlineStr">
        <is>
          <t>.</t>
        </is>
      </c>
      <c r="X248" t="inlineStr">
        <is>
          <t>.</t>
        </is>
      </c>
      <c r="Y248" t="inlineStr">
        <is>
          <t>.</t>
        </is>
      </c>
      <c r="Z248" t="inlineStr">
        <is>
          <t>.</t>
        </is>
      </c>
      <c r="AA248" t="inlineStr">
        <is>
          <t>.</t>
        </is>
      </c>
      <c r="AB248" t="inlineStr">
        <is>
          <t>.</t>
        </is>
      </c>
      <c r="AC248" t="inlineStr">
        <is>
          <t>.</t>
        </is>
      </c>
      <c r="AD248" t="inlineStr">
        <is>
          <t>2;2</t>
        </is>
      </c>
      <c r="AE248" t="inlineStr">
        <is>
          <t>.</t>
        </is>
      </c>
      <c r="AF248" t="inlineStr">
        <is>
          <t>oocyte secreted protein 1, pseudogene</t>
        </is>
      </c>
      <c r="AG248" t="inlineStr">
        <is>
          <t xml:space="preserve">FUNCTION: May be involved in cell differentiation. {ECO:0000250}.; </t>
        </is>
      </c>
      <c r="AH248" t="inlineStr">
        <is>
          <t>.</t>
        </is>
      </c>
      <c r="AI248" t="inlineStr">
        <is>
          <t>.</t>
        </is>
      </c>
      <c r="AJ248" t="inlineStr">
        <is>
          <t>.</t>
        </is>
      </c>
      <c r="AK248" t="inlineStr">
        <is>
          <t>.</t>
        </is>
      </c>
      <c r="AL248" t="inlineStr">
        <is>
          <t>.</t>
        </is>
      </c>
    </row>
    <row r="249">
      <c r="A249" t="inlineStr"/>
      <c r="B249">
        <f>HYPERLINK("https://genome.ucsc.edu/cgi-bin/hgTracks?db=hg19&amp;position=chr11%3A59710429%2D59710430", "chr11:59710429")</f>
        <v/>
      </c>
      <c r="C249" t="inlineStr">
        <is>
          <t>chr11</t>
        </is>
      </c>
      <c r="D249" t="n">
        <v>59710429</v>
      </c>
      <c r="E249" t="n">
        <v>59710430</v>
      </c>
      <c r="F249" t="inlineStr">
        <is>
          <t>TG</t>
        </is>
      </c>
      <c r="G249" t="inlineStr">
        <is>
          <t>-</t>
        </is>
      </c>
      <c r="H249" t="inlineStr">
        <is>
          <t>386.60</t>
        </is>
      </c>
      <c r="I249" t="inlineStr">
        <is>
          <t>153</t>
        </is>
      </c>
      <c r="J249" t="inlineStr">
        <is>
          <t>134,19</t>
        </is>
      </c>
      <c r="K249" t="inlineStr">
        <is>
          <t>.</t>
        </is>
      </c>
      <c r="L249" t="inlineStr">
        <is>
          <t>.</t>
        </is>
      </c>
      <c r="M249">
        <f>HYPERLINK("https://www.genecards.org/Search/Keyword?queryString=%5Baliases%5D(%20AB231702%20)%20OR%20%5Baliases%5D(%20OOSP1%20)&amp;keywords=AB231702,OOSP1", "AB231702;OOSP1")</f>
        <v/>
      </c>
      <c r="N249" t="inlineStr">
        <is>
          <t>UTR5;exonic;ncRNA_exonic</t>
        </is>
      </c>
      <c r="O249" t="inlineStr">
        <is>
          <t>frameshift deletion</t>
        </is>
      </c>
      <c r="P249" t="inlineStr">
        <is>
          <t>uc001nok.2:c.-22695_-22694del-;OOSP1:ENST00000644529.1_5:exon2:c.186_187del:p.V63Nfs*10,OOSP1:ENST00000646685.1_4:exon2:c.186_187del:p.V63Nfs*10</t>
        </is>
      </c>
      <c r="Q249" t="n">
        <v>-1</v>
      </c>
      <c r="R249" t="n">
        <v>-1</v>
      </c>
      <c r="S249" t="n">
        <v>-1</v>
      </c>
      <c r="T249" t="n">
        <v>-1</v>
      </c>
      <c r="U249" t="n">
        <v>-1</v>
      </c>
      <c r="V249" t="inlineStr">
        <is>
          <t>.</t>
        </is>
      </c>
      <c r="W249" t="inlineStr">
        <is>
          <t>.</t>
        </is>
      </c>
      <c r="X249" t="inlineStr">
        <is>
          <t>.</t>
        </is>
      </c>
      <c r="Y249" t="inlineStr">
        <is>
          <t>.</t>
        </is>
      </c>
      <c r="Z249" t="inlineStr">
        <is>
          <t>.</t>
        </is>
      </c>
      <c r="AA249" t="inlineStr">
        <is>
          <t>.</t>
        </is>
      </c>
      <c r="AB249" t="inlineStr">
        <is>
          <t>.</t>
        </is>
      </c>
      <c r="AC249" t="inlineStr">
        <is>
          <t>.</t>
        </is>
      </c>
      <c r="AD249" t="inlineStr">
        <is>
          <t>2;2</t>
        </is>
      </c>
      <c r="AE249" t="inlineStr">
        <is>
          <t>.</t>
        </is>
      </c>
      <c r="AF249" t="inlineStr">
        <is>
          <t>oocyte secreted protein 1, pseudogene</t>
        </is>
      </c>
      <c r="AG249" t="inlineStr">
        <is>
          <t xml:space="preserve">FUNCTION: May be involved in cell differentiation. {ECO:0000250}.; </t>
        </is>
      </c>
      <c r="AH249" t="inlineStr">
        <is>
          <t>.</t>
        </is>
      </c>
      <c r="AI249" t="inlineStr">
        <is>
          <t>.</t>
        </is>
      </c>
      <c r="AJ249" t="inlineStr">
        <is>
          <t>.</t>
        </is>
      </c>
      <c r="AK249" t="inlineStr">
        <is>
          <t>.</t>
        </is>
      </c>
      <c r="AL249" t="inlineStr">
        <is>
          <t>.</t>
        </is>
      </c>
    </row>
    <row r="250">
      <c r="A250" t="inlineStr"/>
      <c r="B250">
        <f>HYPERLINK("https://genome.ucsc.edu/cgi-bin/hgTracks?db=hg19&amp;position=chr11%3A62397883%2D62397883", "chr11:62397883")</f>
        <v/>
      </c>
      <c r="C250" t="inlineStr">
        <is>
          <t>chr11</t>
        </is>
      </c>
      <c r="D250" t="n">
        <v>62397883</v>
      </c>
      <c r="E250" t="n">
        <v>62397883</v>
      </c>
      <c r="F250" t="inlineStr">
        <is>
          <t>T</t>
        </is>
      </c>
      <c r="G250" t="inlineStr">
        <is>
          <t>C</t>
        </is>
      </c>
      <c r="H250" t="inlineStr">
        <is>
          <t>553.64</t>
        </is>
      </c>
      <c r="I250" t="inlineStr">
        <is>
          <t>84</t>
        </is>
      </c>
      <c r="J250" t="inlineStr">
        <is>
          <t>58,26</t>
        </is>
      </c>
      <c r="K250" t="inlineStr">
        <is>
          <t>.</t>
        </is>
      </c>
      <c r="L250" t="inlineStr">
        <is>
          <t>.</t>
        </is>
      </c>
      <c r="M250">
        <f>HYPERLINK("https://www.genecards.org/Search/Keyword?queryString=%5Baliases%5D(%20GANAB%20)&amp;keywords=GANAB", "GANAB")</f>
        <v/>
      </c>
      <c r="N250" t="inlineStr">
        <is>
          <t>exonic</t>
        </is>
      </c>
      <c r="O250" t="inlineStr">
        <is>
          <t>nonsynonymous SNV</t>
        </is>
      </c>
      <c r="P250" t="inlineStr">
        <is>
          <t>GANAB:NM_001278193:exon9:c.A1139G:p.D380G,GANAB:NM_001278192:exon10:c.A1205G:p.D402G,GANAB:NM_001278194:exon11:c.A1190G:p.D397G,GANAB:NM_001329222:exon12:c.A1190G:p.D397G,GANAB:NM_001329223:exon12:c.A1190G:p.D397G,GANAB:NM_001329224:exon12:c.A758G:p.D253G,GANAB:NM_001329225:exon12:c.A758G:p.D253G,GANAB:NM_198334:exon12:c.A1481G:p.D494G,GANAB:NM_198335:exon13:c.A1547G:p.D516G;GANAB:uc010rmb.3:exon9:c.A1139G:p.D380G,GANAB:uc010rma.3:exon10:c.A1205G:p.D402G,GANAB:uc001nuc.4:exon11:c.A1190G:p.D397G,GANAB:uc001nub.4:exon12:c.A1481G:p.D494G,GANAB:uc001nua.4:exon13:c.A1547G:p.D516G;GANAB:ENST00000534779.5_3:exon10:c.A1205G:p.D402G,GANAB:ENST00000540933.5_3:exon11:c.A1190G:p.D397G,GANAB:ENST00000356638.8_7:exon12:c.A1481G:p.D494G,GANAB:ENST00000346178.8_4:exon13:c.A1547G:p.D516G,GANAB:ENST00000648273.1_4:exon13:c.A1190G:p.D397G</t>
        </is>
      </c>
      <c r="Q250" t="n">
        <v>-1</v>
      </c>
      <c r="R250" t="n">
        <v>-1</v>
      </c>
      <c r="S250" t="n">
        <v>-1</v>
      </c>
      <c r="T250" t="n">
        <v>-1</v>
      </c>
      <c r="U250" t="n">
        <v>-1</v>
      </c>
      <c r="V250" t="inlineStr">
        <is>
          <t>9/12</t>
        </is>
      </c>
      <c r="W250" t="inlineStr">
        <is>
          <t>.</t>
        </is>
      </c>
      <c r="X250" t="inlineStr">
        <is>
          <t>.</t>
        </is>
      </c>
      <c r="Y250" t="inlineStr">
        <is>
          <t>.</t>
        </is>
      </c>
      <c r="Z250" t="inlineStr">
        <is>
          <t>6/7</t>
        </is>
      </c>
      <c r="AA250" t="inlineStr">
        <is>
          <t>Uncertain significance</t>
        </is>
      </c>
      <c r="AB250" t="inlineStr">
        <is>
          <t>.</t>
        </is>
      </c>
      <c r="AC250" t="inlineStr">
        <is>
          <t>0/1</t>
        </is>
      </c>
      <c r="AD250" t="inlineStr">
        <is>
          <t>1</t>
        </is>
      </c>
      <c r="AE250" t="inlineStr">
        <is>
          <t>0.99994841038629</t>
        </is>
      </c>
      <c r="AF250" t="inlineStr">
        <is>
          <t>glucosidase II alpha subunit</t>
        </is>
      </c>
      <c r="AG250" t="inlineStr">
        <is>
          <t xml:space="preserve">FUNCTION: Cleaves sequentially the 2 innermost alpha-1,3-linked glucose residues from the Glc(2)Man(9)GlcNAc(2) oligosaccharide precursor of immature glycoproteins. {ECO:0000269|PubMed:10929008}.; </t>
        </is>
      </c>
      <c r="AH250" t="inlineStr">
        <is>
          <t>.</t>
        </is>
      </c>
      <c r="AI250" t="inlineStr">
        <is>
          <t>.</t>
        </is>
      </c>
      <c r="AJ250" t="inlineStr">
        <is>
          <t>.</t>
        </is>
      </c>
      <c r="AK250" t="inlineStr">
        <is>
          <t>.</t>
        </is>
      </c>
      <c r="AL250" t="inlineStr">
        <is>
          <t>.</t>
        </is>
      </c>
    </row>
    <row r="251">
      <c r="A251" t="inlineStr"/>
      <c r="B251">
        <f>HYPERLINK("https://genome.ucsc.edu/cgi-bin/hgTracks?db=hg19&amp;position=chr11%3A64132842%2D64132842", "chr11:64132842")</f>
        <v/>
      </c>
      <c r="C251" t="inlineStr">
        <is>
          <t>chr11</t>
        </is>
      </c>
      <c r="D251" t="n">
        <v>64132842</v>
      </c>
      <c r="E251" t="n">
        <v>64132842</v>
      </c>
      <c r="F251" t="inlineStr">
        <is>
          <t>C</t>
        </is>
      </c>
      <c r="G251" t="inlineStr">
        <is>
          <t>G</t>
        </is>
      </c>
      <c r="H251" t="inlineStr">
        <is>
          <t>900.64</t>
        </is>
      </c>
      <c r="I251" t="inlineStr">
        <is>
          <t>104</t>
        </is>
      </c>
      <c r="J251" t="inlineStr">
        <is>
          <t>62,42</t>
        </is>
      </c>
      <c r="K251" t="inlineStr">
        <is>
          <t>.</t>
        </is>
      </c>
      <c r="L251">
        <f>HYPERLINK("https://www.ncbi.nlm.nih.gov/snp/rs148763785", "rs148763785")</f>
        <v/>
      </c>
      <c r="M251">
        <f>HYPERLINK("https://www.genecards.org/Search/Keyword?queryString=%5Baliases%5D(%20RPS6KA4%20)&amp;keywords=RPS6KA4", "RPS6KA4")</f>
        <v/>
      </c>
      <c r="N251" t="inlineStr">
        <is>
          <t>exonic</t>
        </is>
      </c>
      <c r="O251" t="inlineStr">
        <is>
          <t>nonsynonymous SNV</t>
        </is>
      </c>
      <c r="P251" t="inlineStr">
        <is>
          <t>RPS6KA4:NM_001006944:exon9:c.C976G:p.L326V,RPS6KA4:NM_001300802:exon9:c.C976G:p.L326V,RPS6KA4:NM_001318361:exon9:c.C787G:p.L263V,RPS6KA4:NM_003942:exon9:c.C976G:p.L326V;RPS6KA4:uc001oad.3:exon9:c.C976G:p.L326V,RPS6KA4:uc001oae.3:exon9:c.C976G:p.L326V,RPS6KA4:uc001oaf.3:exon9:c.C976G:p.L326V,RPS6KA4:uc009ypp.3:exon9:c.C976G:p.L326V,RPS6KA4:uc010rnl.2:exon9:c.C787G:p.L263V;RPS6KA4:ENST00000334205.9_6:exon9:c.C976G:p.L326V,RPS6KA4:ENST00000528057.5_4:exon9:c.C976G:p.L326V</t>
        </is>
      </c>
      <c r="Q251" t="n">
        <v>0.0003</v>
      </c>
      <c r="R251" t="n">
        <v>-1</v>
      </c>
      <c r="S251" t="n">
        <v>-1</v>
      </c>
      <c r="T251" t="n">
        <v>-1</v>
      </c>
      <c r="U251" t="n">
        <v>-1</v>
      </c>
      <c r="V251" t="inlineStr">
        <is>
          <t>6/11</t>
        </is>
      </c>
      <c r="W251" t="inlineStr">
        <is>
          <t>.</t>
        </is>
      </c>
      <c r="X251" t="inlineStr">
        <is>
          <t>.</t>
        </is>
      </c>
      <c r="Y251" t="inlineStr">
        <is>
          <t>.</t>
        </is>
      </c>
      <c r="Z251" t="inlineStr">
        <is>
          <t>3/7</t>
        </is>
      </c>
      <c r="AA251" t="inlineStr">
        <is>
          <t>Uncertain significance</t>
        </is>
      </c>
      <c r="AB251" t="inlineStr">
        <is>
          <t>.</t>
        </is>
      </c>
      <c r="AC251" t="inlineStr">
        <is>
          <t>0/1</t>
        </is>
      </c>
      <c r="AD251" t="inlineStr">
        <is>
          <t>1</t>
        </is>
      </c>
      <c r="AE251" t="inlineStr">
        <is>
          <t>0.99947453973056</t>
        </is>
      </c>
      <c r="AF251" t="inlineStr">
        <is>
          <t>ribosomal protein S6 kinase A4</t>
        </is>
      </c>
      <c r="AG251" t="inlineStr">
        <is>
          <t xml:space="preserve">FUNCTION: Serine/threonine-protein kinase that is required for the mitogen or stress-induced phosphorylation of the transcription factors CREB1 and ATF1 and for the regulation of the transcription factor RELA, and that contributes to gene activation by histone phosphorylation and functions in the regulation of inflammatory genes. Phosphorylates CREB1 and ATF1 in response to mitogenic or stress stimuli such as UV-C irradiation, epidermal growth factor (EGF) and anisomycin. Plays an essential role in the control of RELA transcriptional activity in response to TNF. Phosphorylates 'Ser-10' of histone H3 in response to mitogenics, stress stimuli and EGF, which results in the transcriptional activation of several immediate early genes, including proto-oncogenes c-fos/FOS and c-jun/JUN. May also phosphorylate 'Ser-28' of histone H3. Mediates the mitogen- and stress-induced phosphorylation of high mobility group protein 1 (HMGN1/HMG14). In lipopolysaccharide- stimulated primary macrophages, acts downstream of the Toll-like receptor TLR4 to limit the production of pro-inflammatory cytokines. Functions probably by inducing transcription of the MAP kinase phosphatase DUSP1 and the anti-inflammatory cytokine interleukin 10 (IL10), via CREB1 and ATF1 transcription factors. {ECO:0000269|PubMed:11035004, ECO:0000269|PubMed:12773393, ECO:0000269|PubMed:9792677}.; </t>
        </is>
      </c>
      <c r="AH251" t="inlineStr">
        <is>
          <t>.</t>
        </is>
      </c>
      <c r="AI251" t="inlineStr">
        <is>
          <t>.</t>
        </is>
      </c>
      <c r="AJ251" t="inlineStr">
        <is>
          <t>.</t>
        </is>
      </c>
      <c r="AK251" t="inlineStr">
        <is>
          <t>.</t>
        </is>
      </c>
      <c r="AL251" t="inlineStr">
        <is>
          <t>.</t>
        </is>
      </c>
    </row>
    <row r="252">
      <c r="A252" t="inlineStr"/>
      <c r="B252">
        <f>HYPERLINK("https://genome.ucsc.edu/cgi-bin/hgTracks?db=hg19&amp;position=chr11%3A64940257%2D64940257", "chr11:64940257")</f>
        <v/>
      </c>
      <c r="C252" t="inlineStr">
        <is>
          <t>chr11</t>
        </is>
      </c>
      <c r="D252" t="n">
        <v>64940257</v>
      </c>
      <c r="E252" t="n">
        <v>64940257</v>
      </c>
      <c r="F252" t="inlineStr">
        <is>
          <t>C</t>
        </is>
      </c>
      <c r="G252" t="inlineStr">
        <is>
          <t>T</t>
        </is>
      </c>
      <c r="H252" t="inlineStr">
        <is>
          <t>1710.64</t>
        </is>
      </c>
      <c r="I252" t="inlineStr">
        <is>
          <t>85</t>
        </is>
      </c>
      <c r="J252" t="inlineStr">
        <is>
          <t>23,62</t>
        </is>
      </c>
      <c r="K252" t="inlineStr">
        <is>
          <t>.</t>
        </is>
      </c>
      <c r="L252">
        <f>HYPERLINK("https://www.ncbi.nlm.nih.gov/snp/rs149911369", "rs149911369")</f>
        <v/>
      </c>
      <c r="M252">
        <f>HYPERLINK("https://www.genecards.org/Search/Keyword?queryString=%5Baliases%5D(%20SPDYC%20)&amp;keywords=SPDYC", "SPDYC")</f>
        <v/>
      </c>
      <c r="N252" t="inlineStr">
        <is>
          <t>exonic</t>
        </is>
      </c>
      <c r="O252" t="inlineStr">
        <is>
          <t>nonsynonymous SNV</t>
        </is>
      </c>
      <c r="P252" t="inlineStr">
        <is>
          <t>SPDYC:NM_001008778:exon6:c.C619T:p.R207W;SPDYC:uc010rnz.2:exon6:c.C619T:p.R207W;SPDYC:ENST00000377185.3_4:exon6:c.C562T:p.R188W</t>
        </is>
      </c>
      <c r="Q252" t="n">
        <v>0.0225</v>
      </c>
      <c r="R252" t="n">
        <v>0.0009</v>
      </c>
      <c r="S252" t="n">
        <v>0.001</v>
      </c>
      <c r="T252" t="n">
        <v>-1</v>
      </c>
      <c r="U252" t="n">
        <v>0.0002</v>
      </c>
      <c r="V252" t="inlineStr">
        <is>
          <t>4/9</t>
        </is>
      </c>
      <c r="W252" t="inlineStr">
        <is>
          <t>.</t>
        </is>
      </c>
      <c r="X252" t="inlineStr">
        <is>
          <t>.</t>
        </is>
      </c>
      <c r="Y252" t="inlineStr">
        <is>
          <t>.</t>
        </is>
      </c>
      <c r="Z252" t="inlineStr">
        <is>
          <t>0/7</t>
        </is>
      </c>
      <c r="AA252" t="inlineStr">
        <is>
          <t>Likely benign</t>
        </is>
      </c>
      <c r="AB252" t="inlineStr">
        <is>
          <t>.</t>
        </is>
      </c>
      <c r="AC252" t="inlineStr">
        <is>
          <t>0/1</t>
        </is>
      </c>
      <c r="AD252" t="inlineStr">
        <is>
          <t>1</t>
        </is>
      </c>
      <c r="AE252" t="inlineStr">
        <is>
          <t>0.00185514874297755</t>
        </is>
      </c>
      <c r="AF252" t="inlineStr">
        <is>
          <t>speedy/RINGO cell cycle regulator family member C</t>
        </is>
      </c>
      <c r="AG252" t="inlineStr">
        <is>
          <t xml:space="preserve">FUNCTION: Promotes progression through the cell cycle via binding and activation of CDK1 and CDK2. Involved in the spindle-assembly checkpoint. Required for recruitment of MAD2L1, BUBR1 and BUB1 to kinetochores. Required for the correct localization of the active form of Aurora B in prometaphase. {ECO:0000269|PubMed:15611625, ECO:0000269|PubMed:20605920}.; </t>
        </is>
      </c>
      <c r="AH252" t="inlineStr">
        <is>
          <t>.</t>
        </is>
      </c>
      <c r="AI252" t="inlineStr">
        <is>
          <t>.</t>
        </is>
      </c>
      <c r="AJ252" t="inlineStr">
        <is>
          <t>.</t>
        </is>
      </c>
      <c r="AK252" t="inlineStr">
        <is>
          <t>.</t>
        </is>
      </c>
      <c r="AL252" t="inlineStr">
        <is>
          <t>.</t>
        </is>
      </c>
    </row>
    <row r="253">
      <c r="A253" t="inlineStr"/>
      <c r="B253">
        <f>HYPERLINK("https://genome.ucsc.edu/cgi-bin/hgTracks?db=hg19&amp;position=chr11%3A66100459%2D66100459", "chr11:66100459")</f>
        <v/>
      </c>
      <c r="C253" t="inlineStr">
        <is>
          <t>chr11</t>
        </is>
      </c>
      <c r="D253" t="n">
        <v>66100459</v>
      </c>
      <c r="E253" t="n">
        <v>66100459</v>
      </c>
      <c r="F253" t="inlineStr">
        <is>
          <t>G</t>
        </is>
      </c>
      <c r="G253" t="inlineStr">
        <is>
          <t>C</t>
        </is>
      </c>
      <c r="H253" t="inlineStr">
        <is>
          <t>46.64</t>
        </is>
      </c>
      <c r="I253" t="inlineStr">
        <is>
          <t>12</t>
        </is>
      </c>
      <c r="J253" t="inlineStr">
        <is>
          <t>10,2</t>
        </is>
      </c>
      <c r="K253" t="inlineStr">
        <is>
          <t>.</t>
        </is>
      </c>
      <c r="L253" t="inlineStr">
        <is>
          <t>.</t>
        </is>
      </c>
      <c r="M253">
        <f>HYPERLINK("https://www.genecards.org/Search/Keyword?queryString=%5Baliases%5D(%20RIN1%20)&amp;keywords=RIN1", "RIN1")</f>
        <v/>
      </c>
      <c r="N253" t="inlineStr">
        <is>
          <t>intronic</t>
        </is>
      </c>
      <c r="O253" t="inlineStr">
        <is>
          <t>.</t>
        </is>
      </c>
      <c r="P253" t="inlineStr">
        <is>
          <t>.</t>
        </is>
      </c>
      <c r="Q253" t="n">
        <v>-1</v>
      </c>
      <c r="R253" t="n">
        <v>-1</v>
      </c>
      <c r="S253" t="n">
        <v>-1</v>
      </c>
      <c r="T253" t="n">
        <v>-1</v>
      </c>
      <c r="U253" t="n">
        <v>-1</v>
      </c>
      <c r="V253" t="inlineStr">
        <is>
          <t>.</t>
        </is>
      </c>
      <c r="W253" t="inlineStr">
        <is>
          <t>.</t>
        </is>
      </c>
      <c r="X253" t="inlineStr">
        <is>
          <t>D</t>
        </is>
      </c>
      <c r="Y253" t="inlineStr">
        <is>
          <t>off</t>
        </is>
      </c>
      <c r="Z253" t="inlineStr">
        <is>
          <t>.</t>
        </is>
      </c>
      <c r="AA253" t="inlineStr">
        <is>
          <t>.</t>
        </is>
      </c>
      <c r="AB253" t="inlineStr">
        <is>
          <t>.</t>
        </is>
      </c>
      <c r="AC253" t="inlineStr">
        <is>
          <t>.</t>
        </is>
      </c>
      <c r="AD253" t="inlineStr">
        <is>
          <t>1</t>
        </is>
      </c>
      <c r="AE253" t="inlineStr">
        <is>
          <t>0.000202046521763345</t>
        </is>
      </c>
      <c r="AF253" t="inlineStr">
        <is>
          <t>Ras and Rab interactor 1</t>
        </is>
      </c>
      <c r="AG253" t="inlineStr">
        <is>
          <t xml:space="preserve">FUNCTION: Ras effector protein, which may serve as an inhibitory modulator of neuronal plasticity in aversive memory formation. Can affect Ras signaling at different levels. First, by competing with RAF1 protein for binding to activated Ras. Second, by enhancing signaling from ABL1 and ABL2, which regulate cytoskeletal remodeling. Third, by activating RAB5A, possibly by functioning as a guanine nucleotide exchange factor (GEF) for RAB5A, by exchanging bound GDP for free GTP, and facilitating Ras-activated receptor endocytosis. {ECO:0000269|PubMed:15886098, ECO:0000269|PubMed:9144171, ECO:0000269|PubMed:9208849}.; </t>
        </is>
      </c>
      <c r="AH253" t="inlineStr">
        <is>
          <t>.</t>
        </is>
      </c>
      <c r="AI253" t="inlineStr">
        <is>
          <t>.</t>
        </is>
      </c>
      <c r="AJ253" t="inlineStr">
        <is>
          <t>.</t>
        </is>
      </c>
      <c r="AK253" t="inlineStr">
        <is>
          <t>.</t>
        </is>
      </c>
      <c r="AL253" t="inlineStr">
        <is>
          <t>.</t>
        </is>
      </c>
    </row>
    <row r="254">
      <c r="A254" t="inlineStr"/>
      <c r="B254">
        <f>HYPERLINK("https://genome.ucsc.edu/cgi-bin/hgTracks?db=hg19&amp;position=chr11%3A66616566%2D66616566", "chr11:66616566")</f>
        <v/>
      </c>
      <c r="C254" t="inlineStr">
        <is>
          <t>chr11</t>
        </is>
      </c>
      <c r="D254" t="n">
        <v>66616566</v>
      </c>
      <c r="E254" t="n">
        <v>66616566</v>
      </c>
      <c r="F254" t="inlineStr">
        <is>
          <t>G</t>
        </is>
      </c>
      <c r="G254" t="inlineStr">
        <is>
          <t>A</t>
        </is>
      </c>
      <c r="H254" t="inlineStr">
        <is>
          <t>1575.64</t>
        </is>
      </c>
      <c r="I254" t="inlineStr">
        <is>
          <t>92</t>
        </is>
      </c>
      <c r="J254" t="inlineStr">
        <is>
          <t>31,61</t>
        </is>
      </c>
      <c r="K254" t="inlineStr">
        <is>
          <t>.</t>
        </is>
      </c>
      <c r="L254">
        <f>HYPERLINK("https://www.ncbi.nlm.nih.gov/snp/rs148492494", "rs148492494")</f>
        <v/>
      </c>
      <c r="M254">
        <f>HYPERLINK("https://www.genecards.org/Search/Keyword?queryString=%5Baliases%5D(%20PC%20)&amp;keywords=PC", "PC")</f>
        <v/>
      </c>
      <c r="N254" t="inlineStr">
        <is>
          <t>exonic</t>
        </is>
      </c>
      <c r="O254" t="inlineStr">
        <is>
          <t>nonsynonymous SNV</t>
        </is>
      </c>
      <c r="P254" t="inlineStr">
        <is>
          <t>PC:NM_022172:exon21:c.C3341T:p.A1114V,PC:NM_000920:exon22:c.C3341T:p.A1114V,PC:NM_001040716:exon23:c.C3341T:p.A1114V;PC:uc001ojn.1:exon21:c.C3341T:p.A1114V,PC:uc001ojp.1:exon22:c.C3341T:p.A1114V,PC:uc001ojo.1:exon23:c.C3341T:p.A1114V;PC:ENST00000393955.6_4:exon21:c.C3341T:p.A1114V,PC:ENST00000393958.7_4:exon22:c.C3341T:p.A1114V,PC:ENST00000393960.7_6:exon23:c.C3341T:p.A1114V,PC:ENST00000529047.6_6:exon23:c.C3341T:p.A1114V,PC:ENST00000652125.1_3:exon24:c.C3341T:p.A1114V,PC:ENST00000651036.1_3:exon25:c.C3341T:p.A1114V,PC:ENST00000651854.1_5:exon26:c.C3341T:p.A1114V</t>
        </is>
      </c>
      <c r="Q254" t="n">
        <v>0.008621</v>
      </c>
      <c r="R254" t="n">
        <v>0.0001</v>
      </c>
      <c r="S254" t="n">
        <v>0.0003</v>
      </c>
      <c r="T254" t="n">
        <v>-1</v>
      </c>
      <c r="U254" t="n">
        <v>0.0004</v>
      </c>
      <c r="V254" t="inlineStr">
        <is>
          <t>10/11</t>
        </is>
      </c>
      <c r="W254" t="inlineStr">
        <is>
          <t>.</t>
        </is>
      </c>
      <c r="X254" t="inlineStr">
        <is>
          <t>.</t>
        </is>
      </c>
      <c r="Y254" t="inlineStr">
        <is>
          <t>.</t>
        </is>
      </c>
      <c r="Z254" t="inlineStr">
        <is>
          <t>3/7</t>
        </is>
      </c>
      <c r="AA254" t="inlineStr">
        <is>
          <t>Uncertain significance</t>
        </is>
      </c>
      <c r="AB254" t="inlineStr">
        <is>
          <t>Uncertain_significance</t>
        </is>
      </c>
      <c r="AC254" t="inlineStr">
        <is>
          <t>0/1</t>
        </is>
      </c>
      <c r="AD254" t="inlineStr">
        <is>
          <t>1</t>
        </is>
      </c>
      <c r="AE254" t="inlineStr">
        <is>
          <t>0.716435670079512</t>
        </is>
      </c>
      <c r="AF254" t="inlineStr">
        <is>
          <t>pyruvate carboxylase</t>
        </is>
      </c>
      <c r="AG254" t="inlineStr">
        <is>
          <t xml:space="preserve">FUNCTION: Pyruvate carboxylase catalyzes a 2-step reaction, involving the ATP-dependent carboxylation of the covalently attached biotin in the first step and the transfer of the carboxyl group to pyruvate in the second. Catalyzes in a tissue specific manner, the initial reactions of glucose (liver, kidney) and lipid (adipose tissue, liver, brain) synthesis from pyruvate.; </t>
        </is>
      </c>
      <c r="AH254" t="inlineStr">
        <is>
          <t xml:space="preserve">DISEASE: Pyruvate carboxylase deficiency (PC deficiency) [MIM:266150]: Leads to lactic acidosis, mental retardation and death. It occurs in three forms: mild or type A, severe neonatal or type B, and a very mild lacticacidemia. Note=The disease is caused by mutations affecting the gene represented in this entry.; </t>
        </is>
      </c>
      <c r="AI254" t="inlineStr">
        <is>
          <t>.</t>
        </is>
      </c>
      <c r="AJ254" t="inlineStr">
        <is>
          <t>.</t>
        </is>
      </c>
      <c r="AK254" t="inlineStr">
        <is>
          <t>.</t>
        </is>
      </c>
      <c r="AL254" t="inlineStr">
        <is>
          <t>.</t>
        </is>
      </c>
    </row>
    <row r="255">
      <c r="A255" t="inlineStr"/>
      <c r="B255">
        <f>HYPERLINK("https://genome.ucsc.edu/cgi-bin/hgTracks?db=hg19&amp;position=chr11%3A71146837%2D71146837", "chr11:71146837")</f>
        <v/>
      </c>
      <c r="C255" t="inlineStr">
        <is>
          <t>chr11</t>
        </is>
      </c>
      <c r="D255" t="n">
        <v>71146837</v>
      </c>
      <c r="E255" t="n">
        <v>71146837</v>
      </c>
      <c r="F255" t="inlineStr">
        <is>
          <t>C</t>
        </is>
      </c>
      <c r="G255" t="inlineStr">
        <is>
          <t>T</t>
        </is>
      </c>
      <c r="H255" t="inlineStr">
        <is>
          <t>769.64</t>
        </is>
      </c>
      <c r="I255" t="inlineStr">
        <is>
          <t>95</t>
        </is>
      </c>
      <c r="J255" t="inlineStr">
        <is>
          <t>62,33</t>
        </is>
      </c>
      <c r="K255" t="inlineStr">
        <is>
          <t>.</t>
        </is>
      </c>
      <c r="L255">
        <f>HYPERLINK("https://www.ncbi.nlm.nih.gov/snp/rs72954276", "rs72954276")</f>
        <v/>
      </c>
      <c r="M255">
        <f>HYPERLINK("https://www.genecards.org/Search/Keyword?queryString=%5Baliases%5D(%20DHCR7%20)&amp;keywords=DHCR7", "DHCR7")</f>
        <v/>
      </c>
      <c r="N255" t="inlineStr">
        <is>
          <t>exonic</t>
        </is>
      </c>
      <c r="O255" t="inlineStr">
        <is>
          <t>nonsynonymous SNV</t>
        </is>
      </c>
      <c r="P255" t="inlineStr">
        <is>
          <t>DHCR7:NM_001163817:exon9:c.G1012A:p.V338M,DHCR7:NM_001360:exon9:c.G1012A:p.V338M;DHCR7:uc001oqk.3:exon9:c.G1012A:p.V338M,DHCR7:uc001oql.3:exon9:c.G1012A:p.V338M;DHCR7:ENST00000526780.6_6:exon8:c.G1012A:p.V338M,DHCR7:ENST00000685320.1_1:exon8:c.G427A:p.V143M,DHCR7:ENST00000355527.8_5:exon9:c.G1012A:p.V338M,DHCR7:ENST00000407721.6_3:exon9:c.G1012A:p.V338M,DHCR7:ENST00000527316.6_5:exon9:c.G838A:p.V280M,DHCR7:ENST00000683287.1_1:exon9:c.G1048A:p.V350M,DHCR7:ENST00000682708.1_1:exon10:c.G1063A:p.V355M</t>
        </is>
      </c>
      <c r="Q255" t="n">
        <v>0.005</v>
      </c>
      <c r="R255" t="n">
        <v>0.0033</v>
      </c>
      <c r="S255" t="n">
        <v>0.0032</v>
      </c>
      <c r="T255" t="n">
        <v>-1</v>
      </c>
      <c r="U255" t="n">
        <v>0.0022</v>
      </c>
      <c r="V255" t="inlineStr">
        <is>
          <t>5/11</t>
        </is>
      </c>
      <c r="W255" t="inlineStr">
        <is>
          <t>.</t>
        </is>
      </c>
      <c r="X255" t="inlineStr">
        <is>
          <t>.</t>
        </is>
      </c>
      <c r="Y255" t="inlineStr">
        <is>
          <t>.</t>
        </is>
      </c>
      <c r="Z255" t="inlineStr">
        <is>
          <t>1/7</t>
        </is>
      </c>
      <c r="AA255" t="inlineStr">
        <is>
          <t>Uncertain significance</t>
        </is>
      </c>
      <c r="AB255" t="inlineStr">
        <is>
          <t>Conflicting_interpretations_of_pathogenicity</t>
        </is>
      </c>
      <c r="AC255" t="inlineStr">
        <is>
          <t>0/1</t>
        </is>
      </c>
      <c r="AD255" t="inlineStr">
        <is>
          <t>1</t>
        </is>
      </c>
      <c r="AE255" t="inlineStr">
        <is>
          <t>5.04266438763907e-08</t>
        </is>
      </c>
      <c r="AF255" t="inlineStr">
        <is>
          <t>7-dehydrocholesterol reductase</t>
        </is>
      </c>
      <c r="AG255" t="inlineStr">
        <is>
          <t xml:space="preserve">FUNCTION: Production of cholesterol by reduction of C7-C8 double bond of 7-dehydrocholesterol (7-DHC).; </t>
        </is>
      </c>
      <c r="AH255" t="inlineStr">
        <is>
          <t>.</t>
        </is>
      </c>
      <c r="AI255" t="inlineStr">
        <is>
          <t>.</t>
        </is>
      </c>
      <c r="AJ255" t="inlineStr">
        <is>
          <t>.</t>
        </is>
      </c>
      <c r="AK255" t="inlineStr">
        <is>
          <t>.</t>
        </is>
      </c>
      <c r="AL255" t="inlineStr">
        <is>
          <t>.</t>
        </is>
      </c>
    </row>
    <row r="256">
      <c r="A256" t="inlineStr"/>
      <c r="B256">
        <f>HYPERLINK("https://genome.ucsc.edu/cgi-bin/hgTracks?db=hg19&amp;position=chr11%3A72004653%2D72004653", "chr11:72004653")</f>
        <v/>
      </c>
      <c r="C256" t="inlineStr">
        <is>
          <t>chr11</t>
        </is>
      </c>
      <c r="D256" t="n">
        <v>72004653</v>
      </c>
      <c r="E256" t="n">
        <v>72004653</v>
      </c>
      <c r="F256" t="inlineStr">
        <is>
          <t>G</t>
        </is>
      </c>
      <c r="G256" t="inlineStr">
        <is>
          <t>A</t>
        </is>
      </c>
      <c r="H256" t="inlineStr">
        <is>
          <t>631.64</t>
        </is>
      </c>
      <c r="I256" t="inlineStr">
        <is>
          <t>97</t>
        </is>
      </c>
      <c r="J256" t="inlineStr">
        <is>
          <t>70,27</t>
        </is>
      </c>
      <c r="K256" t="inlineStr">
        <is>
          <t>.</t>
        </is>
      </c>
      <c r="L256">
        <f>HYPERLINK("https://www.ncbi.nlm.nih.gov/snp/rs150343959", "rs150343959")</f>
        <v/>
      </c>
      <c r="M256">
        <f>HYPERLINK("https://www.genecards.org/Search/Keyword?queryString=%5Baliases%5D(%20CLPB%20)&amp;keywords=CLPB", "CLPB")</f>
        <v/>
      </c>
      <c r="N256" t="inlineStr">
        <is>
          <t>exonic</t>
        </is>
      </c>
      <c r="O256" t="inlineStr">
        <is>
          <t>nonsynonymous SNV</t>
        </is>
      </c>
      <c r="P256" t="inlineStr">
        <is>
          <t>CLPB:NM_001258393:exon15:c.C1705T:p.R569C,CLPB:NM_001258392:exon16:c.C1792T:p.R598C,CLPB:NM_030813:exon17:c.C1882T:p.R628C,CLPB:NM_001258394:exon18:c.C1747T:p.R583C;CLPB:uc001osi.3:exon9:c.C706T:p.R236C,CLPB:uc010rqy.3:exon15:c.C1705T:p.R569C,CLPB:uc010rqz.2:exon15:c.C1279T:p.R427C,CLPB:uc001osk.4:exon16:c.C1792T:p.R598C,CLPB:uc001osj.4:exon17:c.C1882T:p.R628C,CLPB:uc010rqx.3:exon18:c.C1747T:p.R583C;CLPB:ENST00000340729.9_3:exon15:c.C1705T:p.R569C,CLPB:ENST00000538039.6_9:exon16:c.C1792T:p.R598C,CLPB:ENST00000543042.6_5:exon16:c.C1837T:p.R613C,CLPB:ENST00000294053.9_9:exon17:c.C1882T:p.R628C</t>
        </is>
      </c>
      <c r="Q256" t="n">
        <v>0.0035</v>
      </c>
      <c r="R256" t="n">
        <v>0.0037</v>
      </c>
      <c r="S256" t="n">
        <v>0.0054</v>
      </c>
      <c r="T256" t="n">
        <v>-1</v>
      </c>
      <c r="U256" t="n">
        <v>0.0008</v>
      </c>
      <c r="V256" t="inlineStr">
        <is>
          <t>7/11</t>
        </is>
      </c>
      <c r="W256" t="inlineStr">
        <is>
          <t>.</t>
        </is>
      </c>
      <c r="X256" t="inlineStr">
        <is>
          <t>.</t>
        </is>
      </c>
      <c r="Y256" t="inlineStr">
        <is>
          <t>.</t>
        </is>
      </c>
      <c r="Z256" t="inlineStr">
        <is>
          <t>5/7</t>
        </is>
      </c>
      <c r="AA256" t="inlineStr">
        <is>
          <t>Uncertain significance</t>
        </is>
      </c>
      <c r="AB256" t="inlineStr">
        <is>
          <t>Uncertain_significance</t>
        </is>
      </c>
      <c r="AC256" t="inlineStr">
        <is>
          <t>0/1</t>
        </is>
      </c>
      <c r="AD256" t="inlineStr">
        <is>
          <t>1</t>
        </is>
      </c>
      <c r="AE256" t="inlineStr">
        <is>
          <t>9.1324224431567e-06</t>
        </is>
      </c>
      <c r="AF256" t="inlineStr">
        <is>
          <t>ClpB homolog, mitochondrial AAA ATPase chaperonin</t>
        </is>
      </c>
      <c r="AG256" t="inlineStr">
        <is>
          <t xml:space="preserve">FUNCTION: May function as a regulatory ATPase and be related to secretion/protein trafficking process.; </t>
        </is>
      </c>
      <c r="AH256" t="inlineStr">
        <is>
          <t>.</t>
        </is>
      </c>
      <c r="AI256" t="inlineStr">
        <is>
          <t>.</t>
        </is>
      </c>
      <c r="AJ256" t="inlineStr">
        <is>
          <t>.</t>
        </is>
      </c>
      <c r="AK256" t="inlineStr">
        <is>
          <t>.</t>
        </is>
      </c>
      <c r="AL256" t="inlineStr">
        <is>
          <t>.</t>
        </is>
      </c>
    </row>
    <row r="257">
      <c r="A257" t="inlineStr"/>
      <c r="B257">
        <f>HYPERLINK("https://genome.ucsc.edu/cgi-bin/hgTracks?db=hg19&amp;position=chr11%3A88300561%2D88300561", "chr11:88300561")</f>
        <v/>
      </c>
      <c r="C257" t="inlineStr">
        <is>
          <t>chr11</t>
        </is>
      </c>
      <c r="D257" t="n">
        <v>88300561</v>
      </c>
      <c r="E257" t="n">
        <v>88300561</v>
      </c>
      <c r="F257" t="inlineStr">
        <is>
          <t>C</t>
        </is>
      </c>
      <c r="G257" t="inlineStr">
        <is>
          <t>A</t>
        </is>
      </c>
      <c r="H257" t="inlineStr">
        <is>
          <t>986.64</t>
        </is>
      </c>
      <c r="I257" t="inlineStr">
        <is>
          <t>153</t>
        </is>
      </c>
      <c r="J257" t="inlineStr">
        <is>
          <t>109,44</t>
        </is>
      </c>
      <c r="K257" t="inlineStr">
        <is>
          <t>.</t>
        </is>
      </c>
      <c r="L257" t="inlineStr">
        <is>
          <t>.</t>
        </is>
      </c>
      <c r="M257">
        <f>HYPERLINK("https://www.genecards.org/Search/Keyword?queryString=%5Baliases%5D(%20GRM5%20)&amp;keywords=GRM5", "GRM5")</f>
        <v/>
      </c>
      <c r="N257" t="inlineStr">
        <is>
          <t>exonic</t>
        </is>
      </c>
      <c r="O257" t="inlineStr">
        <is>
          <t>nonsynonymous SNV</t>
        </is>
      </c>
      <c r="P257" t="inlineStr">
        <is>
          <t>GRM5:NM_000842:exon8:c.G2290T:p.V764F,GRM5:NM_001143831:exon8:c.G2290T:p.V764F,GRM5:NM_001384268:exon8:c.G2290T:p.V764F;GRM5:uc001pcq.3:exon7:c.G2290T:p.V764F,GRM5:uc009yvm.3:exon8:c.G2290T:p.V764F;GRM5:ENST00000305432.9_7:exon7:c.G2290T:p.V764F,GRM5:ENST00000305447.5_8:exon8:c.G2290T:p.V764F,GRM5:ENST00000455756.6_7:exon8:c.G2290T:p.V764F</t>
        </is>
      </c>
      <c r="Q257" t="n">
        <v>-1</v>
      </c>
      <c r="R257" t="n">
        <v>-1</v>
      </c>
      <c r="S257" t="n">
        <v>-1</v>
      </c>
      <c r="T257" t="n">
        <v>-1</v>
      </c>
      <c r="U257" t="n">
        <v>-1</v>
      </c>
      <c r="V257" t="inlineStr">
        <is>
          <t>9/12</t>
        </is>
      </c>
      <c r="W257" t="inlineStr">
        <is>
          <t>.</t>
        </is>
      </c>
      <c r="X257" t="inlineStr">
        <is>
          <t>.</t>
        </is>
      </c>
      <c r="Y257" t="inlineStr">
        <is>
          <t>.</t>
        </is>
      </c>
      <c r="Z257" t="inlineStr">
        <is>
          <t>5/7</t>
        </is>
      </c>
      <c r="AA257" t="inlineStr">
        <is>
          <t>Uncertain significance</t>
        </is>
      </c>
      <c r="AB257" t="inlineStr">
        <is>
          <t>.</t>
        </is>
      </c>
      <c r="AC257" t="inlineStr">
        <is>
          <t>0/1</t>
        </is>
      </c>
      <c r="AD257" t="inlineStr">
        <is>
          <t>1</t>
        </is>
      </c>
      <c r="AE257" t="inlineStr">
        <is>
          <t>0.985984068270878</t>
        </is>
      </c>
      <c r="AF257" t="inlineStr">
        <is>
          <t>glutamate receptor, metabotropic 5</t>
        </is>
      </c>
      <c r="AG257" t="inlineStr">
        <is>
          <t xml:space="preserve">FUNCTION: G-protein coupled receptor for glutamate. Ligand binding causes a conformation change that triggers signaling via guanine nucleotide-binding proteins (G proteins) and modulates the activity of down-stream effectors. Signaling activates a phosphatidylinositol-calcium second messenger system and generates a calcium-activated chloride current. Plays an important role in the regulation of synaptic plasticity and the modulation of the neural network activity. {ECO:0000269|PubMed:7908515, ECO:0000269|Ref.7}.; </t>
        </is>
      </c>
      <c r="AH257" t="inlineStr">
        <is>
          <t>.</t>
        </is>
      </c>
      <c r="AI257" t="inlineStr">
        <is>
          <t>.</t>
        </is>
      </c>
      <c r="AJ257" t="inlineStr">
        <is>
          <t>.</t>
        </is>
      </c>
      <c r="AK257" t="inlineStr">
        <is>
          <t>.</t>
        </is>
      </c>
      <c r="AL257" t="inlineStr">
        <is>
          <t>.</t>
        </is>
      </c>
    </row>
    <row r="258">
      <c r="A258" t="inlineStr"/>
      <c r="B258">
        <f>HYPERLINK("https://genome.ucsc.edu/cgi-bin/hgTracks?db=hg19&amp;position=chr11%3A89135511%2D89135511", "chr11:89135511")</f>
        <v/>
      </c>
      <c r="C258" t="inlineStr">
        <is>
          <t>chr11</t>
        </is>
      </c>
      <c r="D258" t="n">
        <v>89135511</v>
      </c>
      <c r="E258" t="n">
        <v>89135511</v>
      </c>
      <c r="F258" t="inlineStr">
        <is>
          <t>G</t>
        </is>
      </c>
      <c r="G258" t="inlineStr">
        <is>
          <t>C</t>
        </is>
      </c>
      <c r="H258" t="inlineStr">
        <is>
          <t>333.64</t>
        </is>
      </c>
      <c r="I258" t="inlineStr">
        <is>
          <t>80</t>
        </is>
      </c>
      <c r="J258" t="inlineStr">
        <is>
          <t>60,20</t>
        </is>
      </c>
      <c r="K258" t="inlineStr">
        <is>
          <t>.</t>
        </is>
      </c>
      <c r="L258" t="inlineStr">
        <is>
          <t>.</t>
        </is>
      </c>
      <c r="M258">
        <f>HYPERLINK("https://www.genecards.org/Search/Keyword?queryString=%5Baliases%5D(%20NOX4%20)&amp;keywords=NOX4", "NOX4")</f>
        <v/>
      </c>
      <c r="N258" t="inlineStr">
        <is>
          <t>exonic</t>
        </is>
      </c>
      <c r="O258" t="inlineStr">
        <is>
          <t>nonsynonymous SNV</t>
        </is>
      </c>
      <c r="P258" t="inlineStr">
        <is>
          <t>NOX4:NM_001291929:exon8:c.C754G:p.Q252E,NOX4:NM_001143836:exon9:c.C829G:p.Q277E,NOX4:NM_001291926:exon9:c.C607G:p.Q203E,NOX4:NM_001291927:exon9:c.C892G:p.Q298E,NOX4:NM_001300995:exon9:c.C757G:p.Q253E,NOX4:NM_016931:exon9:c.C829G:p.Q277E,NOX4:NM_001143837:exon12:c.C757G:p.Q253E;NOX4:uc010rtu.2:exon5:c.C331G:p.Q111E,NOX4:uc009yvr.3:exon8:c.C754G:p.Q252E,NOX4:uc001pct.3:exon9:c.C829G:p.Q277E,NOX4:uc001pcu.3:exon9:c.C607G:p.Q203E,NOX4:uc001pcv.3:exon9:c.C829G:p.Q277E,NOX4:uc010rtv.2:exon9:c.C757G:p.Q253E,NOX4:uc009yvq.3:exon12:c.C757G:p.Q253E;NOX4:ENST00000527626.5_3:exon5:c.C331G:p.Q111E,NOX4:ENST00000528341.5_3:exon8:c.C754G:p.Q252E,NOX4:ENST00000263317.9_5:exon9:c.C829G:p.Q277E,NOX4:ENST00000343727.9_3:exon9:c.C757G:p.Q253E,NOX4:ENST00000424319.5_3:exon9:c.C757G:p.Q253E,NOX4:ENST00000532825.5_3:exon9:c.C757G:p.Q253E,NOX4:ENST00000534731.5_3:exon9:c.C829G:p.Q277E,NOX4:ENST00000527956.5_3:exon10:c.C757G:p.Q253E</t>
        </is>
      </c>
      <c r="Q258" t="n">
        <v>-1</v>
      </c>
      <c r="R258" t="n">
        <v>-1</v>
      </c>
      <c r="S258" t="n">
        <v>-1</v>
      </c>
      <c r="T258" t="n">
        <v>-1</v>
      </c>
      <c r="U258" t="n">
        <v>-1</v>
      </c>
      <c r="V258" t="inlineStr">
        <is>
          <t>7/12</t>
        </is>
      </c>
      <c r="W258" t="inlineStr">
        <is>
          <t>.</t>
        </is>
      </c>
      <c r="X258" t="inlineStr">
        <is>
          <t>.</t>
        </is>
      </c>
      <c r="Y258" t="inlineStr">
        <is>
          <t>.</t>
        </is>
      </c>
      <c r="Z258" t="inlineStr">
        <is>
          <t>3/7</t>
        </is>
      </c>
      <c r="AA258" t="inlineStr">
        <is>
          <t>Uncertain significance</t>
        </is>
      </c>
      <c r="AB258" t="inlineStr">
        <is>
          <t>.</t>
        </is>
      </c>
      <c r="AC258" t="inlineStr">
        <is>
          <t>0/1</t>
        </is>
      </c>
      <c r="AD258" t="inlineStr">
        <is>
          <t>1</t>
        </is>
      </c>
      <c r="AE258" t="inlineStr">
        <is>
          <t>8.15748090375783e-07</t>
        </is>
      </c>
      <c r="AF258" t="inlineStr">
        <is>
          <t>NADPH oxidase 4</t>
        </is>
      </c>
      <c r="AG258" t="inlineStr">
        <is>
          <t xml:space="preserve">FUNCTION: Constitutive NADPH oxidase which generates superoxide intracellularly upon formation of a complex with CYBA/p22phox. Regulates signaling cascades probably through phosphatases inhibition. May function as an oxygen sensor regulating the KCNK3/TASK-1 potassium channel and HIF1A activity. May regulate insulin signaling cascade. May play a role in apoptosis, bone resorption and lipolysaccharide-mediated activation of NFKB. May produce superoxide in the nucleus and play a role in regulating gene expression upon cell stimulation. Isoform 3 is not functional. Isoform 5 and isoform 6 display reduced activity.; </t>
        </is>
      </c>
      <c r="AH258" t="inlineStr">
        <is>
          <t>.</t>
        </is>
      </c>
      <c r="AI258" t="inlineStr">
        <is>
          <t>.</t>
        </is>
      </c>
      <c r="AJ258" t="inlineStr">
        <is>
          <t>.</t>
        </is>
      </c>
      <c r="AK258" t="inlineStr">
        <is>
          <t>.</t>
        </is>
      </c>
      <c r="AL258" t="inlineStr">
        <is>
          <t>NGS_LowStringency</t>
        </is>
      </c>
    </row>
    <row r="259">
      <c r="A259" t="inlineStr"/>
      <c r="B259">
        <f>HYPERLINK("https://genome.ucsc.edu/cgi-bin/hgTracks?db=hg19&amp;position=chr11%3A92901184%2D92901184", "chr11:92901184")</f>
        <v/>
      </c>
      <c r="C259" t="inlineStr">
        <is>
          <t>chr11</t>
        </is>
      </c>
      <c r="D259" t="n">
        <v>92901184</v>
      </c>
      <c r="E259" t="n">
        <v>92901184</v>
      </c>
      <c r="F259" t="inlineStr">
        <is>
          <t>G</t>
        </is>
      </c>
      <c r="G259" t="inlineStr">
        <is>
          <t>T</t>
        </is>
      </c>
      <c r="H259" t="inlineStr">
        <is>
          <t>533.64</t>
        </is>
      </c>
      <c r="I259" t="inlineStr">
        <is>
          <t>127</t>
        </is>
      </c>
      <c r="J259" t="inlineStr">
        <is>
          <t>100,27</t>
        </is>
      </c>
      <c r="K259" t="inlineStr">
        <is>
          <t>.</t>
        </is>
      </c>
      <c r="L259" t="inlineStr">
        <is>
          <t>.</t>
        </is>
      </c>
      <c r="M259">
        <f>HYPERLINK("https://www.genecards.org/Search/Keyword?queryString=%5Baliases%5D(%20SLC36A4%20)&amp;keywords=SLC36A4", "SLC36A4")</f>
        <v/>
      </c>
      <c r="N259" t="inlineStr">
        <is>
          <t>exonic</t>
        </is>
      </c>
      <c r="O259" t="inlineStr">
        <is>
          <t>nonsynonymous SNV</t>
        </is>
      </c>
      <c r="P259" t="inlineStr">
        <is>
          <t>SLC36A4:NM_001286139:exon7:c.C289A:p.L97I,SLC36A4:NM_152313:exon7:c.C694A:p.L232I;SLC36A4:uc001pdm.3:exon6:c.C289A:p.L97I,SLC36A4:uc001pdn.3:exon7:c.C694A:p.L232I;SLC36A4:ENST00000326402.9_6:exon7:c.C694A:p.L232I,SLC36A4:ENST00000529184.5_4:exon7:c.C289A:p.L97I</t>
        </is>
      </c>
      <c r="Q259" t="n">
        <v>-1</v>
      </c>
      <c r="R259" t="n">
        <v>-1</v>
      </c>
      <c r="S259" t="n">
        <v>-1</v>
      </c>
      <c r="T259" t="n">
        <v>-1</v>
      </c>
      <c r="U259" t="n">
        <v>-1</v>
      </c>
      <c r="V259" t="inlineStr">
        <is>
          <t>7/12</t>
        </is>
      </c>
      <c r="W259" t="inlineStr">
        <is>
          <t>.</t>
        </is>
      </c>
      <c r="X259" t="inlineStr">
        <is>
          <t>.</t>
        </is>
      </c>
      <c r="Y259" t="inlineStr">
        <is>
          <t>.</t>
        </is>
      </c>
      <c r="Z259" t="inlineStr">
        <is>
          <t>2/7</t>
        </is>
      </c>
      <c r="AA259" t="inlineStr">
        <is>
          <t>Uncertain significance</t>
        </is>
      </c>
      <c r="AB259" t="inlineStr">
        <is>
          <t>.</t>
        </is>
      </c>
      <c r="AC259" t="inlineStr">
        <is>
          <t>0/1</t>
        </is>
      </c>
      <c r="AD259" t="inlineStr">
        <is>
          <t>1</t>
        </is>
      </c>
      <c r="AE259" t="inlineStr">
        <is>
          <t>2.69891717644805e-09</t>
        </is>
      </c>
      <c r="AF259" t="inlineStr">
        <is>
          <t>solute carrier family 36 member 4</t>
        </is>
      </c>
      <c r="AG259" t="inlineStr">
        <is>
          <t xml:space="preserve">FUNCTION: Functions as a sodium-independent electroneutral transporter for tryptophan, proline and alanine. Inhibited by sarcosine. {ECO:0000269|PubMed:21097500}.; </t>
        </is>
      </c>
      <c r="AH259" t="inlineStr">
        <is>
          <t>.</t>
        </is>
      </c>
      <c r="AI259" t="inlineStr">
        <is>
          <t>.</t>
        </is>
      </c>
      <c r="AJ259" t="inlineStr">
        <is>
          <t>.</t>
        </is>
      </c>
      <c r="AK259" t="inlineStr">
        <is>
          <t>.</t>
        </is>
      </c>
      <c r="AL259" t="inlineStr">
        <is>
          <t>.</t>
        </is>
      </c>
    </row>
    <row r="260">
      <c r="A260" t="inlineStr"/>
      <c r="B260">
        <f>HYPERLINK("https://genome.ucsc.edu/cgi-bin/hgTracks?db=hg19&amp;position=chr11%3A93911628%2D93911628", "chr11:93911628")</f>
        <v/>
      </c>
      <c r="C260" t="inlineStr">
        <is>
          <t>chr11</t>
        </is>
      </c>
      <c r="D260" t="n">
        <v>93911628</v>
      </c>
      <c r="E260" t="n">
        <v>93911628</v>
      </c>
      <c r="F260" t="inlineStr">
        <is>
          <t>T</t>
        </is>
      </c>
      <c r="G260" t="inlineStr">
        <is>
          <t>A</t>
        </is>
      </c>
      <c r="H260" t="inlineStr">
        <is>
          <t>2007.64</t>
        </is>
      </c>
      <c r="I260" t="inlineStr">
        <is>
          <t>137</t>
        </is>
      </c>
      <c r="J260" t="inlineStr">
        <is>
          <t>58,79</t>
        </is>
      </c>
      <c r="K260" t="inlineStr">
        <is>
          <t>.</t>
        </is>
      </c>
      <c r="L260" t="inlineStr">
        <is>
          <t>.</t>
        </is>
      </c>
      <c r="M260">
        <f>HYPERLINK("https://www.genecards.org/Search/Keyword?queryString=%5Baliases%5D(%20PANX1%20)&amp;keywords=PANX1", "PANX1")</f>
        <v/>
      </c>
      <c r="N260" t="inlineStr">
        <is>
          <t>exonic</t>
        </is>
      </c>
      <c r="O260" t="inlineStr">
        <is>
          <t>nonsynonymous SNV</t>
        </is>
      </c>
      <c r="P260" t="inlineStr">
        <is>
          <t>PANX1:NM_015368:exon3:c.T415A:p.L139M;PANX1:uc001peq.3:exon3:c.T415A:p.L139M,PANX1:uc001per.3:exon3:c.T415A:p.L139M;PANX1:ENST00000227638.8_7:exon3:c.T415A:p.L139M,PANX1:ENST00000436171.2_4:exon3:c.T415A:p.L139M</t>
        </is>
      </c>
      <c r="Q260" t="n">
        <v>-1</v>
      </c>
      <c r="R260" t="n">
        <v>-1</v>
      </c>
      <c r="S260" t="n">
        <v>-1</v>
      </c>
      <c r="T260" t="n">
        <v>-1</v>
      </c>
      <c r="U260" t="n">
        <v>-1</v>
      </c>
      <c r="V260" t="inlineStr">
        <is>
          <t>4/12</t>
        </is>
      </c>
      <c r="W260" t="inlineStr">
        <is>
          <t>.</t>
        </is>
      </c>
      <c r="X260" t="inlineStr">
        <is>
          <t>.</t>
        </is>
      </c>
      <c r="Y260" t="inlineStr">
        <is>
          <t>.</t>
        </is>
      </c>
      <c r="Z260" t="inlineStr">
        <is>
          <t>1/7</t>
        </is>
      </c>
      <c r="AA260" t="inlineStr">
        <is>
          <t>Uncertain significance</t>
        </is>
      </c>
      <c r="AB260" t="inlineStr">
        <is>
          <t>.</t>
        </is>
      </c>
      <c r="AC260" t="inlineStr">
        <is>
          <t>0/1</t>
        </is>
      </c>
      <c r="AD260" t="inlineStr">
        <is>
          <t>1</t>
        </is>
      </c>
      <c r="AE260" t="inlineStr">
        <is>
          <t>0.00309549630219255</t>
        </is>
      </c>
      <c r="AF260" t="inlineStr">
        <is>
          <t>pannexin 1</t>
        </is>
      </c>
      <c r="AG260" t="inlineStr">
        <is>
          <t xml:space="preserve">FUNCTION: Structural component of the gap junctions and the hemichannels. May play a role as a Ca(2+)-leak channel to regulate ER Ca(2+) homeostasis. {ECO:0000269|PubMed:16908669, ECO:0000269|PubMed:20829356}.; </t>
        </is>
      </c>
      <c r="AH260" t="inlineStr">
        <is>
          <t>.</t>
        </is>
      </c>
      <c r="AI260" t="inlineStr">
        <is>
          <t>.</t>
        </is>
      </c>
      <c r="AJ260" t="inlineStr">
        <is>
          <t>.</t>
        </is>
      </c>
      <c r="AK260" t="inlineStr">
        <is>
          <t>.</t>
        </is>
      </c>
      <c r="AL260" t="inlineStr">
        <is>
          <t>.</t>
        </is>
      </c>
    </row>
    <row r="261">
      <c r="A261" t="inlineStr"/>
      <c r="B261">
        <f>HYPERLINK("https://genome.ucsc.edu/cgi-bin/hgTracks?db=hg19&amp;position=chr11%3A94592858%2D94592858", "chr11:94592858")</f>
        <v/>
      </c>
      <c r="C261" t="inlineStr">
        <is>
          <t>chr11</t>
        </is>
      </c>
      <c r="D261" t="n">
        <v>94592858</v>
      </c>
      <c r="E261" t="n">
        <v>94592858</v>
      </c>
      <c r="F261" t="inlineStr">
        <is>
          <t>G</t>
        </is>
      </c>
      <c r="G261" t="inlineStr">
        <is>
          <t>A</t>
        </is>
      </c>
      <c r="H261" t="inlineStr">
        <is>
          <t>2394.64</t>
        </is>
      </c>
      <c r="I261" t="inlineStr">
        <is>
          <t>139</t>
        </is>
      </c>
      <c r="J261" t="inlineStr">
        <is>
          <t>43,96</t>
        </is>
      </c>
      <c r="K261" t="inlineStr">
        <is>
          <t>.</t>
        </is>
      </c>
      <c r="L261">
        <f>HYPERLINK("https://www.ncbi.nlm.nih.gov/snp/rs200781901", "rs200781901")</f>
        <v/>
      </c>
      <c r="M261">
        <f>HYPERLINK("https://www.genecards.org/Search/Keyword?queryString=%5Baliases%5D(%20AMOTL1%20)&amp;keywords=AMOTL1", "AMOTL1")</f>
        <v/>
      </c>
      <c r="N261" t="inlineStr">
        <is>
          <t>exonic</t>
        </is>
      </c>
      <c r="O261" t="inlineStr">
        <is>
          <t>nonsynonymous SNV</t>
        </is>
      </c>
      <c r="P261" t="inlineStr">
        <is>
          <t>AMOTL1:NM_001301007:exon8:c.G1963A:p.A655T,AMOTL1:NM_130847:exon9:c.G2113A:p.A705T;AMOTL1:uc001pfc.3:exon8:c.G1963A:p.A655T,AMOTL1:uc001pfb.3:exon9:c.G2113A:p.A705T;AMOTL1:ENST00000317829.12_4:exon8:c.G1963A:p.A655T,AMOTL1:ENST00000433060.3_5:exon9:c.G2113A:p.A705T</t>
        </is>
      </c>
      <c r="Q261" t="n">
        <v>0.0034</v>
      </c>
      <c r="R261" t="n">
        <v>0.0005</v>
      </c>
      <c r="S261" t="n">
        <v>0.0003</v>
      </c>
      <c r="T261" t="n">
        <v>-1</v>
      </c>
      <c r="U261" t="n">
        <v>0.0005</v>
      </c>
      <c r="V261" t="inlineStr">
        <is>
          <t>7/11</t>
        </is>
      </c>
      <c r="W261" t="inlineStr">
        <is>
          <t>.</t>
        </is>
      </c>
      <c r="X261" t="inlineStr">
        <is>
          <t>.</t>
        </is>
      </c>
      <c r="Y261" t="inlineStr">
        <is>
          <t>.</t>
        </is>
      </c>
      <c r="Z261" t="inlineStr">
        <is>
          <t>6/7</t>
        </is>
      </c>
      <c r="AA261" t="inlineStr">
        <is>
          <t>Uncertain significance</t>
        </is>
      </c>
      <c r="AB261" t="inlineStr">
        <is>
          <t>.</t>
        </is>
      </c>
      <c r="AC261" t="inlineStr">
        <is>
          <t>0/1</t>
        </is>
      </c>
      <c r="AD261" t="inlineStr">
        <is>
          <t>1</t>
        </is>
      </c>
      <c r="AE261" t="inlineStr">
        <is>
          <t>0.31122818605871</t>
        </is>
      </c>
      <c r="AF261" t="inlineStr">
        <is>
          <t>angiomotin like 1</t>
        </is>
      </c>
      <c r="AG261" t="inlineStr">
        <is>
          <t xml:space="preserve">FUNCTION: Inhibits the Wnt/beta-catenin signaling pathway, probably by recruiting CTNNB1 to recycling endosomes and hence preventing its translocation to the nucleus. {ECO:0000269|PubMed:22362771}.; </t>
        </is>
      </c>
      <c r="AH261" t="inlineStr">
        <is>
          <t>.</t>
        </is>
      </c>
      <c r="AI261" t="inlineStr">
        <is>
          <t>.</t>
        </is>
      </c>
      <c r="AJ261" t="inlineStr">
        <is>
          <t>.</t>
        </is>
      </c>
      <c r="AK261" t="inlineStr">
        <is>
          <t>.</t>
        </is>
      </c>
      <c r="AL261" t="inlineStr">
        <is>
          <t>.</t>
        </is>
      </c>
    </row>
    <row r="262">
      <c r="A262" t="inlineStr"/>
      <c r="B262">
        <f>HYPERLINK("https://genome.ucsc.edu/cgi-bin/hgTracks?db=hg19&amp;position=chr11%3A111156524%2D111156524", "chr11:111156524")</f>
        <v/>
      </c>
      <c r="C262" t="inlineStr">
        <is>
          <t>chr11</t>
        </is>
      </c>
      <c r="D262" t="n">
        <v>111156524</v>
      </c>
      <c r="E262" t="n">
        <v>111156524</v>
      </c>
      <c r="F262" t="inlineStr">
        <is>
          <t>G</t>
        </is>
      </c>
      <c r="G262" t="inlineStr">
        <is>
          <t>A</t>
        </is>
      </c>
      <c r="H262" t="inlineStr">
        <is>
          <t>853.64</t>
        </is>
      </c>
      <c r="I262" t="inlineStr">
        <is>
          <t>99</t>
        </is>
      </c>
      <c r="J262" t="inlineStr">
        <is>
          <t>61,38</t>
        </is>
      </c>
      <c r="K262" t="inlineStr">
        <is>
          <t>.</t>
        </is>
      </c>
      <c r="L262" t="inlineStr">
        <is>
          <t>.</t>
        </is>
      </c>
      <c r="M262">
        <f>HYPERLINK("https://www.genecards.org/Search/Keyword?queryString=%5Baliases%5D(%20C11orf53%20)&amp;keywords=C11orf53", "C11orf53")</f>
        <v/>
      </c>
      <c r="N262" t="inlineStr">
        <is>
          <t>exonic</t>
        </is>
      </c>
      <c r="O262" t="inlineStr">
        <is>
          <t>stopgain</t>
        </is>
      </c>
      <c r="P262" t="inlineStr">
        <is>
          <t>C11orf53:NM_198498:exon5:c.G612A:p.W204X;C11orf53:uc001plc.3:exon4:c.G456A:p.W152X;C11orf53:ENST00000637637.1_1:exon4:c.G456A:p.W152X,C11orf53:ENST00000280325.7_4:exon5:c.G612A:p.W204X</t>
        </is>
      </c>
      <c r="Q262" t="n">
        <v>-1</v>
      </c>
      <c r="R262" t="n">
        <v>-1</v>
      </c>
      <c r="S262" t="n">
        <v>-1</v>
      </c>
      <c r="T262" t="n">
        <v>-1</v>
      </c>
      <c r="U262" t="n">
        <v>-1</v>
      </c>
      <c r="V262" t="inlineStr">
        <is>
          <t>3/3</t>
        </is>
      </c>
      <c r="W262" t="inlineStr">
        <is>
          <t>.</t>
        </is>
      </c>
      <c r="X262" t="inlineStr">
        <is>
          <t>.</t>
        </is>
      </c>
      <c r="Y262" t="inlineStr">
        <is>
          <t>.</t>
        </is>
      </c>
      <c r="Z262" t="inlineStr">
        <is>
          <t>4/7</t>
        </is>
      </c>
      <c r="AA262" t="inlineStr">
        <is>
          <t>Uncertain significance</t>
        </is>
      </c>
      <c r="AB262" t="inlineStr">
        <is>
          <t>.</t>
        </is>
      </c>
      <c r="AC262" t="inlineStr">
        <is>
          <t>0/1</t>
        </is>
      </c>
      <c r="AD262" t="inlineStr">
        <is>
          <t>1</t>
        </is>
      </c>
      <c r="AE262" t="inlineStr">
        <is>
          <t>7.52888554833811e-05</t>
        </is>
      </c>
      <c r="AF262" t="inlineStr">
        <is>
          <t>chromosome 11 open reading frame 53</t>
        </is>
      </c>
      <c r="AG262" t="inlineStr">
        <is>
          <t>.</t>
        </is>
      </c>
      <c r="AH262" t="inlineStr">
        <is>
          <t>.</t>
        </is>
      </c>
      <c r="AI262" t="inlineStr">
        <is>
          <t>.</t>
        </is>
      </c>
      <c r="AJ262" t="inlineStr">
        <is>
          <t>.</t>
        </is>
      </c>
      <c r="AK262" t="inlineStr">
        <is>
          <t>.</t>
        </is>
      </c>
      <c r="AL262" t="inlineStr">
        <is>
          <t>.</t>
        </is>
      </c>
    </row>
    <row r="263">
      <c r="A263" t="inlineStr"/>
      <c r="B263">
        <f>HYPERLINK("https://genome.ucsc.edu/cgi-bin/hgTracks?db=hg19&amp;position=chr11%3A118382101%2D118382101", "chr11:118382101")</f>
        <v/>
      </c>
      <c r="C263" t="inlineStr">
        <is>
          <t>chr11</t>
        </is>
      </c>
      <c r="D263" t="n">
        <v>118382101</v>
      </c>
      <c r="E263" t="n">
        <v>118382101</v>
      </c>
      <c r="F263" t="inlineStr">
        <is>
          <t>T</t>
        </is>
      </c>
      <c r="G263" t="inlineStr">
        <is>
          <t>-</t>
        </is>
      </c>
      <c r="H263" t="inlineStr">
        <is>
          <t>54.60</t>
        </is>
      </c>
      <c r="I263" t="inlineStr">
        <is>
          <t>6</t>
        </is>
      </c>
      <c r="J263" t="inlineStr">
        <is>
          <t>4,2</t>
        </is>
      </c>
      <c r="K263" t="inlineStr">
        <is>
          <t>.</t>
        </is>
      </c>
      <c r="L263" t="inlineStr">
        <is>
          <t>.</t>
        </is>
      </c>
      <c r="M263">
        <f>HYPERLINK("https://www.genecards.org/Search/Keyword?queryString=%5Baliases%5D(%20KMT2A%20)&amp;keywords=KMT2A", "KMT2A")</f>
        <v/>
      </c>
      <c r="N263" t="inlineStr">
        <is>
          <t>intronic;ncRNA_exonic</t>
        </is>
      </c>
      <c r="O263" t="inlineStr">
        <is>
          <t>.</t>
        </is>
      </c>
      <c r="P263" t="inlineStr">
        <is>
          <t>.</t>
        </is>
      </c>
      <c r="Q263" t="n">
        <v>-1</v>
      </c>
      <c r="R263" t="n">
        <v>-1</v>
      </c>
      <c r="S263" t="n">
        <v>-1</v>
      </c>
      <c r="T263" t="n">
        <v>-1</v>
      </c>
      <c r="U263" t="n">
        <v>-1</v>
      </c>
      <c r="V263" t="inlineStr">
        <is>
          <t>.</t>
        </is>
      </c>
      <c r="W263" t="inlineStr">
        <is>
          <t>.</t>
        </is>
      </c>
      <c r="X263" t="inlineStr">
        <is>
          <t>.</t>
        </is>
      </c>
      <c r="Y263" t="inlineStr">
        <is>
          <t>.</t>
        </is>
      </c>
      <c r="Z263" t="inlineStr">
        <is>
          <t>.</t>
        </is>
      </c>
      <c r="AA263" t="inlineStr">
        <is>
          <t>.</t>
        </is>
      </c>
      <c r="AB263" t="inlineStr">
        <is>
          <t>.</t>
        </is>
      </c>
      <c r="AC263" t="inlineStr">
        <is>
          <t>0/1</t>
        </is>
      </c>
      <c r="AD263" t="inlineStr">
        <is>
          <t>2</t>
        </is>
      </c>
      <c r="AE263" t="inlineStr">
        <is>
          <t>1</t>
        </is>
      </c>
      <c r="AF263" t="inlineStr">
        <is>
          <t>lysine methyltransferase 2A</t>
        </is>
      </c>
      <c r="AG263" t="inlineStr">
        <is>
          <t xml:space="preserve">FUNCTION: Histone methyltransferase that plays an essential role in early development and hematopoiesis. Catalytic subunit of the MLL1/MLL complex, a multiprotein complex that mediates both methylation of 'Lys-4' of histone H3 (H3K4me) complex and acetylation of 'Lys-16' of histone H4 (H4K16ac). In the MLL1/MLL complex, it specifically mediates H3K4me, a specific tag for epigenetic transcriptional activation. Has weak methyltransferase activity by itself, and requires other component of the MLL1/MLL complex to obtain full methyltransferase activity. Has no activity toward histone H3 phosphorylated on 'Thr-3', less activity toward H3 dimethylated on 'Arg-8' or 'Lys-9', while it has higher activity toward H3 acetylated on 'Lys-9'. Required for transcriptional activation of HOXA9. Promotes PPP1R15A-induced apoptosis. Plays a critical role in the control of circadian gene expression and is essential for the transcriptional activation mediated by the CLOCK-ARNTL/BMAL1 heterodimer. Establishes a permissive chromatin state for circadian transcription by mediating a rhythmic methylation of 'Lys-4' of histone H3 (H3K4me) and this histone modification directs the circadian acetylation at H3K9 and H3K14 allowing the recruitment of CLOCK-ARNTL/BMAL1 to chromatin (By similarity). {ECO:0000250|UniProtKB:P55200, ECO:0000269|PubMed:10490642, ECO:0000269|PubMed:12453419, ECO:0000269|PubMed:15960975, ECO:0000269|PubMed:19556245}.; </t>
        </is>
      </c>
      <c r="AH263" t="inlineStr">
        <is>
          <t xml:space="preserve">DISEASE: Wiedemann-Steiner syndrome (WDSTS) [MIM:605130]: A syndrome characterized by hairy elbows (hypertrichosis cubiti), intellectual disability, a distinctive facial appearance, and short stature. Facial characteristics include long eyelashes, thick or arched eyebrows with a lateral flare, and downslanting and vertically narrow palpebral fissures. {ECO:0000269|PubMed:22795537}. Note=The disease is caused by mutations affecting the gene represented in this entry.; DISEASE: Note=Chromosomal aberrations involving KMT2A are a cause of acute leukemias. Translocation t(1;11)(q21;q23) with MLLT11/AF1Q; translocation t(3;11)(p21;q23) with NCKIPSD/AF3p21; translocation t(3,11)(q25,q23) with GMPS; translocation t(4;11)(q21;q23) with AFF1/MLLT2/AF4; insertion ins(5;11)(q31;q13q23) with AFF4/AF5Q31; translocation t(5;11)(q12;q23) with AF5-alpha/CENPK; translocation t(6;11)(q27;q23) with MLLT4/AF6; translocation t(9;11)(p22;q23) with MLLT3/AF9; translocation t(10;11)(p11.2;q23) with ABI1; translocation t(10;11)(p12;q23) with MLLT10/AF10; t(11;15)(q23;q14) with CASC5 and ZFYVE19; translocation t(11;17)(q23;q21) with MLLT6/AF17; translocation t(11;19)(q23;p13.3) with ELL; translocation t(11;19)(q23;p13.3) with MLLT1/ENL; translocation t(11;19)(q23;p23) with GAS7; translocation t(X;11)(q13;q23) with FOXO4/AFX1. Translocation t(3;11)(q28;q23) with LPP. Translocation t(10;11)(q22;q23) with TET1. Translocation t(9;11)(q34;q23) with DAB2IP. Translocation t(4;11)(p12;q23) with FRYL. Fusion proteins KMT2A-MLLT1, KMT2A- MLLT3 and KMT2A-ELL interact with PPP1R15A and, on the contrary to unfused KMT2A, inhibit PPP1R15A-induced apoptosis. {ECO:0000269|PubMed:10490642}.; DISEASE: Note=A chromosomal aberration involving KMT2A may be a cause of chronic neutrophilic leukemia. Translocation t(4;11)(q21;q23) with SEPT11. {ECO:0000269|PubMed:10490642}.; </t>
        </is>
      </c>
      <c r="AI263" t="inlineStr">
        <is>
          <t>.</t>
        </is>
      </c>
      <c r="AJ263" t="inlineStr">
        <is>
          <t>.</t>
        </is>
      </c>
      <c r="AK263" t="inlineStr">
        <is>
          <t>.</t>
        </is>
      </c>
      <c r="AL263" t="inlineStr">
        <is>
          <t>.</t>
        </is>
      </c>
    </row>
    <row r="264">
      <c r="A264" t="inlineStr"/>
      <c r="B264">
        <f>HYPERLINK("https://genome.ucsc.edu/cgi-bin/hgTracks?db=hg19&amp;position=chr11%3A118382820%2D118382820", "chr11:118382820")</f>
        <v/>
      </c>
      <c r="C264" t="inlineStr">
        <is>
          <t>chr11</t>
        </is>
      </c>
      <c r="D264" t="n">
        <v>118382820</v>
      </c>
      <c r="E264" t="n">
        <v>118382820</v>
      </c>
      <c r="F264" t="inlineStr">
        <is>
          <t>-</t>
        </is>
      </c>
      <c r="G264" t="inlineStr">
        <is>
          <t>A</t>
        </is>
      </c>
      <c r="H264" t="inlineStr">
        <is>
          <t>64.60</t>
        </is>
      </c>
      <c r="I264" t="inlineStr">
        <is>
          <t>33</t>
        </is>
      </c>
      <c r="J264" t="inlineStr">
        <is>
          <t>27,6</t>
        </is>
      </c>
      <c r="K264" t="inlineStr">
        <is>
          <t>.</t>
        </is>
      </c>
      <c r="L264" t="inlineStr">
        <is>
          <t>.</t>
        </is>
      </c>
      <c r="M264">
        <f>HYPERLINK("https://www.genecards.org/Search/Keyword?queryString=%5Baliases%5D(%20KMT2A%20)%20OR%20%5Baliases%5D(%20LOC101929089%20)&amp;keywords=KMT2A,LOC101929089", "KMT2A;LOC101929089")</f>
        <v/>
      </c>
      <c r="N264" t="inlineStr">
        <is>
          <t>intronic;ncRNA_intronic</t>
        </is>
      </c>
      <c r="O264" t="inlineStr">
        <is>
          <t>.</t>
        </is>
      </c>
      <c r="P264" t="inlineStr">
        <is>
          <t>.</t>
        </is>
      </c>
      <c r="Q264" t="n">
        <v>0.0017289</v>
      </c>
      <c r="R264" t="n">
        <v>0.0002</v>
      </c>
      <c r="S264" t="n">
        <v>7.707000000000001e-05</v>
      </c>
      <c r="T264" t="n">
        <v>-1</v>
      </c>
      <c r="U264" t="n">
        <v>-1</v>
      </c>
      <c r="V264" t="inlineStr">
        <is>
          <t>.</t>
        </is>
      </c>
      <c r="W264" t="inlineStr">
        <is>
          <t>.</t>
        </is>
      </c>
      <c r="X264" t="inlineStr">
        <is>
          <t>.</t>
        </is>
      </c>
      <c r="Y264" t="inlineStr">
        <is>
          <t>.</t>
        </is>
      </c>
      <c r="Z264" t="inlineStr">
        <is>
          <t>.</t>
        </is>
      </c>
      <c r="AA264" t="inlineStr">
        <is>
          <t>.</t>
        </is>
      </c>
      <c r="AB264" t="inlineStr">
        <is>
          <t>.</t>
        </is>
      </c>
      <c r="AC264" t="inlineStr">
        <is>
          <t>0/1</t>
        </is>
      </c>
      <c r="AD264" t="inlineStr">
        <is>
          <t>2;1</t>
        </is>
      </c>
      <c r="AE264" t="inlineStr">
        <is>
          <t>1</t>
        </is>
      </c>
      <c r="AF264" t="inlineStr">
        <is>
          <t>lysine methyltransferase 2A</t>
        </is>
      </c>
      <c r="AG264" t="inlineStr">
        <is>
          <t xml:space="preserve">FUNCTION: Histone methyltransferase that plays an essential role in early development and hematopoiesis. Catalytic subunit of the MLL1/MLL complex, a multiprotein complex that mediates both methylation of 'Lys-4' of histone H3 (H3K4me) complex and acetylation of 'Lys-16' of histone H4 (H4K16ac). In the MLL1/MLL complex, it specifically mediates H3K4me, a specific tag for epigenetic transcriptional activation. Has weak methyltransferase activity by itself, and requires other component of the MLL1/MLL complex to obtain full methyltransferase activity. Has no activity toward histone H3 phosphorylated on 'Thr-3', less activity toward H3 dimethylated on 'Arg-8' or 'Lys-9', while it has higher activity toward H3 acetylated on 'Lys-9'. Required for transcriptional activation of HOXA9. Promotes PPP1R15A-induced apoptosis. Plays a critical role in the control of circadian gene expression and is essential for the transcriptional activation mediated by the CLOCK-ARNTL/BMAL1 heterodimer. Establishes a permissive chromatin state for circadian transcription by mediating a rhythmic methylation of 'Lys-4' of histone H3 (H3K4me) and this histone modification directs the circadian acetylation at H3K9 and H3K14 allowing the recruitment of CLOCK-ARNTL/BMAL1 to chromatin (By similarity). {ECO:0000250|UniProtKB:P55200, ECO:0000269|PubMed:10490642, ECO:0000269|PubMed:12453419, ECO:0000269|PubMed:15960975, ECO:0000269|PubMed:19556245}.; </t>
        </is>
      </c>
      <c r="AH264" t="inlineStr">
        <is>
          <t xml:space="preserve">DISEASE: Wiedemann-Steiner syndrome (WDSTS) [MIM:605130]: A syndrome characterized by hairy elbows (hypertrichosis cubiti), intellectual disability, a distinctive facial appearance, and short stature. Facial characteristics include long eyelashes, thick or arched eyebrows with a lateral flare, and downslanting and vertically narrow palpebral fissures. {ECO:0000269|PubMed:22795537}. Note=The disease is caused by mutations affecting the gene represented in this entry.; DISEASE: Note=Chromosomal aberrations involving KMT2A are a cause of acute leukemias. Translocation t(1;11)(q21;q23) with MLLT11/AF1Q; translocation t(3;11)(p21;q23) with NCKIPSD/AF3p21; translocation t(3,11)(q25,q23) with GMPS; translocation t(4;11)(q21;q23) with AFF1/MLLT2/AF4; insertion ins(5;11)(q31;q13q23) with AFF4/AF5Q31; translocation t(5;11)(q12;q23) with AF5-alpha/CENPK; translocation t(6;11)(q27;q23) with MLLT4/AF6; translocation t(9;11)(p22;q23) with MLLT3/AF9; translocation t(10;11)(p11.2;q23) with ABI1; translocation t(10;11)(p12;q23) with MLLT10/AF10; t(11;15)(q23;q14) with CASC5 and ZFYVE19; translocation t(11;17)(q23;q21) with MLLT6/AF17; translocation t(11;19)(q23;p13.3) with ELL; translocation t(11;19)(q23;p13.3) with MLLT1/ENL; translocation t(11;19)(q23;p23) with GAS7; translocation t(X;11)(q13;q23) with FOXO4/AFX1. Translocation t(3;11)(q28;q23) with LPP. Translocation t(10;11)(q22;q23) with TET1. Translocation t(9;11)(q34;q23) with DAB2IP. Translocation t(4;11)(p12;q23) with FRYL. Fusion proteins KMT2A-MLLT1, KMT2A- MLLT3 and KMT2A-ELL interact with PPP1R15A and, on the contrary to unfused KMT2A, inhibit PPP1R15A-induced apoptosis. {ECO:0000269|PubMed:10490642}.; DISEASE: Note=A chromosomal aberration involving KMT2A may be a cause of chronic neutrophilic leukemia. Translocation t(4;11)(q21;q23) with SEPT11. {ECO:0000269|PubMed:10490642}.; </t>
        </is>
      </c>
      <c r="AI264" t="inlineStr">
        <is>
          <t>.</t>
        </is>
      </c>
      <c r="AJ264" t="inlineStr">
        <is>
          <t>.</t>
        </is>
      </c>
      <c r="AK264" t="inlineStr">
        <is>
          <t>.</t>
        </is>
      </c>
      <c r="AL264" t="inlineStr">
        <is>
          <t>.</t>
        </is>
      </c>
    </row>
    <row r="265">
      <c r="A265" t="inlineStr"/>
      <c r="B265">
        <f>HYPERLINK("https://genome.ucsc.edu/cgi-bin/hgTracks?db=hg19&amp;position=chr11%3A119169190%2D119169190", "chr11:119169190")</f>
        <v/>
      </c>
      <c r="C265" t="inlineStr">
        <is>
          <t>chr11</t>
        </is>
      </c>
      <c r="D265" t="n">
        <v>119169190</v>
      </c>
      <c r="E265" t="n">
        <v>119169190</v>
      </c>
      <c r="F265" t="inlineStr">
        <is>
          <t>G</t>
        </is>
      </c>
      <c r="G265" t="inlineStr">
        <is>
          <t>C</t>
        </is>
      </c>
      <c r="H265" t="inlineStr">
        <is>
          <t>681.64</t>
        </is>
      </c>
      <c r="I265" t="inlineStr">
        <is>
          <t>129</t>
        </is>
      </c>
      <c r="J265" t="inlineStr">
        <is>
          <t>91,38</t>
        </is>
      </c>
      <c r="K265" t="inlineStr">
        <is>
          <t>.</t>
        </is>
      </c>
      <c r="L265" t="inlineStr">
        <is>
          <t>.</t>
        </is>
      </c>
      <c r="M265">
        <f>HYPERLINK("https://www.genecards.org/Search/Keyword?queryString=%5Baliases%5D(%20CBL%20)&amp;keywords=CBL", "CBL")</f>
        <v/>
      </c>
      <c r="N265" t="inlineStr">
        <is>
          <t>exonic</t>
        </is>
      </c>
      <c r="O265" t="inlineStr">
        <is>
          <t>nonsynonymous SNV</t>
        </is>
      </c>
      <c r="P265" t="inlineStr">
        <is>
          <t>CBL:NM_005188:exon15:c.G2374C:p.D792H;CBL:uc001pwe.4:exon15:c.G2374C:p.D792H;CBL:ENST00000634840.1_1:exon14:c.G2242C:p.D748H,CBL:ENST00000264033.6_5:exon15:c.G2374C:p.D792H,CBL:ENST00000634586.1_3:exon15:c.G2374C:p.D792H</t>
        </is>
      </c>
      <c r="Q265" t="n">
        <v>-1</v>
      </c>
      <c r="R265" t="n">
        <v>-1</v>
      </c>
      <c r="S265" t="n">
        <v>-1</v>
      </c>
      <c r="T265" t="n">
        <v>-1</v>
      </c>
      <c r="U265" t="n">
        <v>-1</v>
      </c>
      <c r="V265" t="inlineStr">
        <is>
          <t>7/12</t>
        </is>
      </c>
      <c r="W265" t="inlineStr">
        <is>
          <t>.</t>
        </is>
      </c>
      <c r="X265" t="inlineStr">
        <is>
          <t>.</t>
        </is>
      </c>
      <c r="Y265" t="inlineStr">
        <is>
          <t>.</t>
        </is>
      </c>
      <c r="Z265" t="inlineStr">
        <is>
          <t>5/7</t>
        </is>
      </c>
      <c r="AA265" t="inlineStr">
        <is>
          <t>Uncertain significance</t>
        </is>
      </c>
      <c r="AB265" t="inlineStr">
        <is>
          <t>.</t>
        </is>
      </c>
      <c r="AC265" t="inlineStr">
        <is>
          <t>0/1</t>
        </is>
      </c>
      <c r="AD265" t="inlineStr">
        <is>
          <t>1</t>
        </is>
      </c>
      <c r="AE265" t="inlineStr">
        <is>
          <t>0.00678735718516732</t>
        </is>
      </c>
      <c r="AF265" t="inlineStr">
        <is>
          <t>Cbl proto-oncogene, E3 ubiquitin protein ligase</t>
        </is>
      </c>
      <c r="AG265" t="inlineStr">
        <is>
          <t xml:space="preserve">FUNCTION: Adapter protein that functions as a negative regulator of many signaling pathways that are triggered by activation of cell surface receptors. Acts as an E3 ubiquitin-protein ligase, which accepts ubiquitin from specific E2 ubiquitin-conjugating enzymes, and then transfers it to substrates promoting their degradation by the proteasome. Recognizes activated receptor tyrosine kinases, including KIT, FLT1, FGFR1, FGFR2, PDGFRA, PDGFRB, EGFR, CSF1R, EPHA8 and KDR and terminates signaling. Recognizes membrane-bound HCK, SRC and other kinases of the SRC family and mediates their ubiquitination and degradation. Participates in signal transduction in hematopoietic cells. Plays an important role in the regulation of osteoblast differentiation and apoptosis. Essential for osteoclastic bone resorption. The 'Tyr-731' phosphorylated form induces the activation and recruitment of phosphatidylinositol 3-kinase to the cell membrane in a signaling pathway that is critical for osteoclast function. May be functionally coupled with the E2 ubiquitin-protein ligase UB2D3. {ECO:0000269|PubMed:10514377, ECO:0000269|PubMed:11896602, ECO:0000269|PubMed:14661060, ECO:0000269|PubMed:14739300, ECO:0000269|PubMed:15190072, ECO:0000269|PubMed:17509076, ECO:0000269|PubMed:18374639, ECO:0000269|PubMed:19689429, ECO:0000269|PubMed:21596750}.; </t>
        </is>
      </c>
      <c r="AH265" t="inlineStr">
        <is>
          <t xml:space="preserve">DISEASE: Noonan syndrome-like disorder with or without juvenile myelomonocytic leukemia (NSLL) [MIM:613563]: A syndrome characterized by a phenotype reminiscent of Noonan syndrome. Clinical features are highly variable, including facial dysmorphism, short neck, developmental delay, hyperextensible joints and thorax abnormalities with widely spaced nipples. The facial features consist of triangular face with hypertelorism, large low-set ears, ptosis, and flat nasal bridge. Some patients manifest cardiac defects. Some have an increased risk for certain malignancies, particularly juvenile myelomonocytic leukemia. {ECO:0000269|PubMed:20619386}. Note=The disease is caused by mutations affecting the gene represented in this entry.; </t>
        </is>
      </c>
      <c r="AI265" t="inlineStr">
        <is>
          <t>.</t>
        </is>
      </c>
      <c r="AJ265" t="inlineStr">
        <is>
          <t>.</t>
        </is>
      </c>
      <c r="AK265" t="inlineStr">
        <is>
          <t>.</t>
        </is>
      </c>
      <c r="AL265" t="inlineStr">
        <is>
          <t>.</t>
        </is>
      </c>
    </row>
    <row r="266">
      <c r="A266" t="inlineStr"/>
      <c r="B266">
        <f>HYPERLINK("https://genome.ucsc.edu/cgi-bin/hgTracks?db=hg19&amp;position=chr11%3A125298619%2D125298619", "chr11:125298619")</f>
        <v/>
      </c>
      <c r="C266" t="inlineStr">
        <is>
          <t>chr11</t>
        </is>
      </c>
      <c r="D266" t="n">
        <v>125298619</v>
      </c>
      <c r="E266" t="n">
        <v>125298619</v>
      </c>
      <c r="F266" t="inlineStr">
        <is>
          <t>C</t>
        </is>
      </c>
      <c r="G266" t="inlineStr">
        <is>
          <t>G</t>
        </is>
      </c>
      <c r="H266" t="inlineStr">
        <is>
          <t>61.64</t>
        </is>
      </c>
      <c r="I266" t="inlineStr">
        <is>
          <t>7</t>
        </is>
      </c>
      <c r="J266" t="inlineStr">
        <is>
          <t>5,2</t>
        </is>
      </c>
      <c r="K266" t="inlineStr">
        <is>
          <t>.</t>
        </is>
      </c>
      <c r="L266" t="inlineStr">
        <is>
          <t>.</t>
        </is>
      </c>
      <c r="M266">
        <f>HYPERLINK("https://www.genecards.org/Search/Keyword?queryString=%5Baliases%5D(%20PKNOX2%20)&amp;keywords=PKNOX2", "PKNOX2")</f>
        <v/>
      </c>
      <c r="N266" t="inlineStr">
        <is>
          <t>intronic</t>
        </is>
      </c>
      <c r="O266" t="inlineStr">
        <is>
          <t>.</t>
        </is>
      </c>
      <c r="P266" t="inlineStr">
        <is>
          <t>.</t>
        </is>
      </c>
      <c r="Q266" t="n">
        <v>-1</v>
      </c>
      <c r="R266" t="n">
        <v>-1</v>
      </c>
      <c r="S266" t="n">
        <v>-1</v>
      </c>
      <c r="T266" t="n">
        <v>-1</v>
      </c>
      <c r="U266" t="n">
        <v>-1</v>
      </c>
      <c r="V266" t="inlineStr">
        <is>
          <t>.</t>
        </is>
      </c>
      <c r="W266" t="inlineStr">
        <is>
          <t>.</t>
        </is>
      </c>
      <c r="X266" t="inlineStr">
        <is>
          <t>D</t>
        </is>
      </c>
      <c r="Y266" t="inlineStr">
        <is>
          <t>off</t>
        </is>
      </c>
      <c r="Z266" t="inlineStr">
        <is>
          <t>.</t>
        </is>
      </c>
      <c r="AA266" t="inlineStr">
        <is>
          <t>.</t>
        </is>
      </c>
      <c r="AB266" t="inlineStr">
        <is>
          <t>.</t>
        </is>
      </c>
      <c r="AC266" t="inlineStr">
        <is>
          <t>.</t>
        </is>
      </c>
      <c r="AD266" t="inlineStr">
        <is>
          <t>1</t>
        </is>
      </c>
      <c r="AE266" t="inlineStr">
        <is>
          <t>0.91736894679552</t>
        </is>
      </c>
      <c r="AF266" t="inlineStr">
        <is>
          <t>PBX/knotted 1 homeobox 2</t>
        </is>
      </c>
      <c r="AG266" t="inlineStr">
        <is>
          <t>.</t>
        </is>
      </c>
      <c r="AH266" t="inlineStr">
        <is>
          <t>.</t>
        </is>
      </c>
      <c r="AI266" t="inlineStr">
        <is>
          <t>.</t>
        </is>
      </c>
      <c r="AJ266" t="inlineStr">
        <is>
          <t>.</t>
        </is>
      </c>
      <c r="AK266" t="inlineStr">
        <is>
          <t>.</t>
        </is>
      </c>
      <c r="AL266" t="inlineStr">
        <is>
          <t>.</t>
        </is>
      </c>
    </row>
    <row r="267">
      <c r="A267" t="inlineStr"/>
      <c r="B267">
        <f>HYPERLINK("https://genome.ucsc.edu/cgi-bin/hgTracks?db=hg19&amp;position=chr11%3A125875659%2D125875659", "chr11:125875659")</f>
        <v/>
      </c>
      <c r="C267" t="inlineStr">
        <is>
          <t>chr11</t>
        </is>
      </c>
      <c r="D267" t="n">
        <v>125875659</v>
      </c>
      <c r="E267" t="n">
        <v>125875659</v>
      </c>
      <c r="F267" t="inlineStr">
        <is>
          <t>G</t>
        </is>
      </c>
      <c r="G267" t="inlineStr">
        <is>
          <t>C</t>
        </is>
      </c>
      <c r="H267" t="inlineStr">
        <is>
          <t>1539.64</t>
        </is>
      </c>
      <c r="I267" t="inlineStr">
        <is>
          <t>72</t>
        </is>
      </c>
      <c r="J267" t="inlineStr">
        <is>
          <t>17,53</t>
        </is>
      </c>
      <c r="K267" t="inlineStr">
        <is>
          <t>.</t>
        </is>
      </c>
      <c r="L267">
        <f>HYPERLINK("https://www.ncbi.nlm.nih.gov/snp/rs766248827", "rs766248827")</f>
        <v/>
      </c>
      <c r="M267">
        <f>HYPERLINK("https://www.genecards.org/Search/Keyword?queryString=%5Baliases%5D(%20CDON%20)&amp;keywords=CDON", "CDON")</f>
        <v/>
      </c>
      <c r="N267" t="inlineStr">
        <is>
          <t>exonic</t>
        </is>
      </c>
      <c r="O267" t="inlineStr">
        <is>
          <t>nonsynonymous SNV</t>
        </is>
      </c>
      <c r="P267" t="inlineStr">
        <is>
          <t>CDON:NM_001243597:exon9:c.C1846G:p.R616G,CDON:NM_001378964:exon9:c.C1846G:p.R616G,CDON:NM_016952:exon9:c.C1846G:p.R616G;CDON:uc001qdc.4:exon9:c.C1846G:p.R616G,CDON:uc009zbw.3:exon9:c.C1846G:p.R616G;CDON:ENST00000263577.11_7:exon9:c.C1846G:p.R616G,CDON:ENST00000392693.7_5:exon9:c.C1846G:p.R616G,CDON:ENST00000531738.6_7:exon9:c.C1846G:p.R616G,CDON:ENST00000684078.1_3:exon9:c.C1846G:p.R616G</t>
        </is>
      </c>
      <c r="Q267" t="n">
        <v>6.5e-06</v>
      </c>
      <c r="R267" t="n">
        <v>-1</v>
      </c>
      <c r="S267" t="n">
        <v>-1</v>
      </c>
      <c r="T267" t="n">
        <v>-1</v>
      </c>
      <c r="U267" t="n">
        <v>-1</v>
      </c>
      <c r="V267" t="inlineStr">
        <is>
          <t>8/12</t>
        </is>
      </c>
      <c r="W267" t="inlineStr">
        <is>
          <t>.</t>
        </is>
      </c>
      <c r="X267" t="inlineStr">
        <is>
          <t>.</t>
        </is>
      </c>
      <c r="Y267" t="inlineStr">
        <is>
          <t>.</t>
        </is>
      </c>
      <c r="Z267" t="inlineStr">
        <is>
          <t>5/7</t>
        </is>
      </c>
      <c r="AA267" t="inlineStr">
        <is>
          <t>Uncertain significance</t>
        </is>
      </c>
      <c r="AB267" t="inlineStr">
        <is>
          <t>.</t>
        </is>
      </c>
      <c r="AC267" t="inlineStr">
        <is>
          <t>0/1</t>
        </is>
      </c>
      <c r="AD267" t="inlineStr">
        <is>
          <t>1</t>
        </is>
      </c>
      <c r="AE267" t="inlineStr">
        <is>
          <t>3.04906879944482e-12</t>
        </is>
      </c>
      <c r="AF267" t="inlineStr">
        <is>
          <t>cell adhesion associated, oncogene regulated</t>
        </is>
      </c>
      <c r="AG267" t="inlineStr">
        <is>
          <t xml:space="preserve">FUNCTION: Component of a cell-surface receptor complex that mediates cell-cell interactions between muscle precursor cells. Promotes differentiation of myogenic cells (By similarity). {ECO:0000250}.; </t>
        </is>
      </c>
      <c r="AH267" t="inlineStr">
        <is>
          <t xml:space="preserve">DISEASE: Holoprosencephaly 11 (HPE11) [MIM:614226]: A structural anomaly of the brain, in which the developing forebrain fails to correctly separate into right and left hemispheres. Holoprosencephaly is genetically heterogeneous and associated with several distinct facies and phenotypic variability. {ECO:0000269|PubMed:21802063}. Note=The disease is caused by mutations affecting the gene represented in this entry.; </t>
        </is>
      </c>
      <c r="AI267" t="inlineStr">
        <is>
          <t>.</t>
        </is>
      </c>
      <c r="AJ267" t="inlineStr">
        <is>
          <t>.</t>
        </is>
      </c>
      <c r="AK267" t="inlineStr">
        <is>
          <t>.</t>
        </is>
      </c>
      <c r="AL267" t="inlineStr">
        <is>
          <t>.</t>
        </is>
      </c>
    </row>
    <row r="268">
      <c r="A268" t="inlineStr"/>
      <c r="B268">
        <f>HYPERLINK("https://genome.ucsc.edu/cgi-bin/hgTracks?db=hg19&amp;position=chr11%3A129306723%2D129306723", "chr11:129306723")</f>
        <v/>
      </c>
      <c r="C268" t="inlineStr">
        <is>
          <t>chr11</t>
        </is>
      </c>
      <c r="D268" t="n">
        <v>129306723</v>
      </c>
      <c r="E268" t="n">
        <v>129306723</v>
      </c>
      <c r="F268" t="inlineStr">
        <is>
          <t>G</t>
        </is>
      </c>
      <c r="G268" t="inlineStr">
        <is>
          <t>C</t>
        </is>
      </c>
      <c r="H268" t="inlineStr">
        <is>
          <t>2167.64</t>
        </is>
      </c>
      <c r="I268" t="inlineStr">
        <is>
          <t>129</t>
        </is>
      </c>
      <c r="J268" t="inlineStr">
        <is>
          <t>46,83</t>
        </is>
      </c>
      <c r="K268" t="inlineStr">
        <is>
          <t>.</t>
        </is>
      </c>
      <c r="L268" t="inlineStr">
        <is>
          <t>.</t>
        </is>
      </c>
      <c r="M268">
        <f>HYPERLINK("https://www.genecards.org/Search/Keyword?queryString=%5Baliases%5D(%20BARX2%20)&amp;keywords=BARX2", "BARX2")</f>
        <v/>
      </c>
      <c r="N268" t="inlineStr">
        <is>
          <t>exonic</t>
        </is>
      </c>
      <c r="O268" t="inlineStr">
        <is>
          <t>nonsynonymous SNV</t>
        </is>
      </c>
      <c r="P268" t="inlineStr">
        <is>
          <t>BARX2:NM_003658:exon2:c.G265C:p.A89P;BARX2:uc001qfc.4:exon2:c.G265C:p.A89P;BARX2:ENST00000281437.6_3:exon2:c.G265C:p.A89P</t>
        </is>
      </c>
      <c r="Q268" t="n">
        <v>-1</v>
      </c>
      <c r="R268" t="n">
        <v>-1</v>
      </c>
      <c r="S268" t="n">
        <v>-1</v>
      </c>
      <c r="T268" t="n">
        <v>-1</v>
      </c>
      <c r="U268" t="n">
        <v>-1</v>
      </c>
      <c r="V268" t="inlineStr">
        <is>
          <t>5/12</t>
        </is>
      </c>
      <c r="W268" t="inlineStr">
        <is>
          <t>.</t>
        </is>
      </c>
      <c r="X268" t="inlineStr">
        <is>
          <t>.</t>
        </is>
      </c>
      <c r="Y268" t="inlineStr">
        <is>
          <t>.</t>
        </is>
      </c>
      <c r="Z268" t="inlineStr">
        <is>
          <t>0/7</t>
        </is>
      </c>
      <c r="AA268" t="inlineStr">
        <is>
          <t>Uncertain significance</t>
        </is>
      </c>
      <c r="AB268" t="inlineStr">
        <is>
          <t>.</t>
        </is>
      </c>
      <c r="AC268" t="inlineStr">
        <is>
          <t>0/1</t>
        </is>
      </c>
      <c r="AD268" t="inlineStr">
        <is>
          <t>1</t>
        </is>
      </c>
      <c r="AE268" t="inlineStr">
        <is>
          <t>0.123464487684471</t>
        </is>
      </c>
      <c r="AF268" t="inlineStr">
        <is>
          <t>BARX homeobox 2</t>
        </is>
      </c>
      <c r="AG268" t="inlineStr">
        <is>
          <t xml:space="preserve">FUNCTION: Transcription factor. Binds optimally to the DNA consensus sequence 5'-YYTAATGRTTTTY-3'. May control the expression of neural adhesion molecules such as L1 or Ng-CAM during embryonic development of both the central and peripherical nervous system. May be involved in controlling adhesive processes in keratinizing epithelia (By similarity). {ECO:0000250}.; </t>
        </is>
      </c>
      <c r="AH268" t="inlineStr">
        <is>
          <t>.</t>
        </is>
      </c>
      <c r="AI268" t="inlineStr">
        <is>
          <t>.</t>
        </is>
      </c>
      <c r="AJ268" t="inlineStr">
        <is>
          <t>.</t>
        </is>
      </c>
      <c r="AK268" t="inlineStr">
        <is>
          <t>.</t>
        </is>
      </c>
      <c r="AL268" t="inlineStr">
        <is>
          <t>.</t>
        </is>
      </c>
    </row>
    <row r="269">
      <c r="A269" t="inlineStr"/>
      <c r="B269">
        <f>HYPERLINK("https://genome.ucsc.edu/cgi-bin/hgTracks?db=hg19&amp;position=chr11%3A130319580%2D130319580", "chr11:130319580")</f>
        <v/>
      </c>
      <c r="C269" t="inlineStr">
        <is>
          <t>chr11</t>
        </is>
      </c>
      <c r="D269" t="n">
        <v>130319580</v>
      </c>
      <c r="E269" t="n">
        <v>130319580</v>
      </c>
      <c r="F269" t="inlineStr">
        <is>
          <t>C</t>
        </is>
      </c>
      <c r="G269" t="inlineStr">
        <is>
          <t>A</t>
        </is>
      </c>
      <c r="H269" t="inlineStr">
        <is>
          <t>866.64</t>
        </is>
      </c>
      <c r="I269" t="inlineStr">
        <is>
          <t>96</t>
        </is>
      </c>
      <c r="J269" t="inlineStr">
        <is>
          <t>61,35</t>
        </is>
      </c>
      <c r="K269" t="inlineStr">
        <is>
          <t>.</t>
        </is>
      </c>
      <c r="L269" t="inlineStr">
        <is>
          <t>.</t>
        </is>
      </c>
      <c r="M269">
        <f>HYPERLINK("https://www.genecards.org/Search/Keyword?queryString=%5Baliases%5D(%20ADAMTS15%20)&amp;keywords=ADAMTS15", "ADAMTS15")</f>
        <v/>
      </c>
      <c r="N269" t="inlineStr">
        <is>
          <t>exonic</t>
        </is>
      </c>
      <c r="O269" t="inlineStr">
        <is>
          <t>nonsynonymous SNV</t>
        </is>
      </c>
      <c r="P269" t="inlineStr">
        <is>
          <t>ADAMTS15:NM_139055:exon1:c.C712A:p.L238M;ADAMTS15:uc010scd.2:exon1:c.C712A:p.L238M;ADAMTS15:ENST00000299164.4_2:exon1:c.C712A:p.L238M</t>
        </is>
      </c>
      <c r="Q269" t="n">
        <v>-1</v>
      </c>
      <c r="R269" t="n">
        <v>-1</v>
      </c>
      <c r="S269" t="n">
        <v>-1</v>
      </c>
      <c r="T269" t="n">
        <v>-1</v>
      </c>
      <c r="U269" t="n">
        <v>-1</v>
      </c>
      <c r="V269" t="inlineStr">
        <is>
          <t>8/10</t>
        </is>
      </c>
      <c r="W269" t="inlineStr">
        <is>
          <t>.</t>
        </is>
      </c>
      <c r="X269" t="inlineStr">
        <is>
          <t>.</t>
        </is>
      </c>
      <c r="Y269" t="inlineStr">
        <is>
          <t>.</t>
        </is>
      </c>
      <c r="Z269" t="inlineStr">
        <is>
          <t>1/7</t>
        </is>
      </c>
      <c r="AA269" t="inlineStr">
        <is>
          <t>Uncertain significance</t>
        </is>
      </c>
      <c r="AB269" t="inlineStr">
        <is>
          <t>.</t>
        </is>
      </c>
      <c r="AC269" t="inlineStr">
        <is>
          <t>0/1</t>
        </is>
      </c>
      <c r="AD269" t="inlineStr">
        <is>
          <t>1</t>
        </is>
      </c>
      <c r="AE269" t="inlineStr">
        <is>
          <t>0.679914358287786</t>
        </is>
      </c>
      <c r="AF269" t="inlineStr">
        <is>
          <t>ADAM metallopeptidase with thrombospondin type 1 motif 15</t>
        </is>
      </c>
      <c r="AG269" t="inlineStr">
        <is>
          <t>.</t>
        </is>
      </c>
      <c r="AH269" t="inlineStr">
        <is>
          <t>.</t>
        </is>
      </c>
      <c r="AI269" t="inlineStr">
        <is>
          <t>.</t>
        </is>
      </c>
      <c r="AJ269" t="inlineStr">
        <is>
          <t>.</t>
        </is>
      </c>
      <c r="AK269" t="inlineStr">
        <is>
          <t>.</t>
        </is>
      </c>
      <c r="AL269" t="inlineStr">
        <is>
          <t>.</t>
        </is>
      </c>
    </row>
    <row r="270">
      <c r="A270" t="inlineStr"/>
      <c r="B270">
        <f>HYPERLINK("https://genome.ucsc.edu/cgi-bin/hgTracks?db=hg19&amp;position=chr11%3A130773223%2D130773223", "chr11:130773223")</f>
        <v/>
      </c>
      <c r="C270" t="inlineStr">
        <is>
          <t>chr11</t>
        </is>
      </c>
      <c r="D270" t="n">
        <v>130773223</v>
      </c>
      <c r="E270" t="n">
        <v>130773223</v>
      </c>
      <c r="F270" t="inlineStr">
        <is>
          <t>C</t>
        </is>
      </c>
      <c r="G270" t="inlineStr">
        <is>
          <t>G</t>
        </is>
      </c>
      <c r="H270" t="inlineStr">
        <is>
          <t>1971.64</t>
        </is>
      </c>
      <c r="I270" t="inlineStr">
        <is>
          <t>126</t>
        </is>
      </c>
      <c r="J270" t="inlineStr">
        <is>
          <t>43,83</t>
        </is>
      </c>
      <c r="K270" t="inlineStr">
        <is>
          <t>.</t>
        </is>
      </c>
      <c r="L270">
        <f>HYPERLINK("https://www.ncbi.nlm.nih.gov/snp/rs79138684", "rs79138684")</f>
        <v/>
      </c>
      <c r="M270">
        <f>HYPERLINK("https://www.genecards.org/Search/Keyword?queryString=%5Baliases%5D(%20SNX19%20)&amp;keywords=SNX19", "SNX19")</f>
        <v/>
      </c>
      <c r="N270" t="inlineStr">
        <is>
          <t>exonic</t>
        </is>
      </c>
      <c r="O270" t="inlineStr">
        <is>
          <t>nonsynonymous SNV</t>
        </is>
      </c>
      <c r="P270" t="inlineStr">
        <is>
          <t>SNX19:NM_001347924:exon6:c.G520C:p.E174Q,SNX19:NM_001347927:exon6:c.G220C:p.E74Q,SNX19:NM_001347918:exon7:c.G2380C:p.E794Q,SNX19:NM_001301089:exon8:c.G640C:p.E214Q,SNX19:NM_001347919:exon8:c.G2500C:p.E834Q,SNX19:NM_001347920:exon8:c.G2500C:p.E834Q,SNX19:NM_001347923:exon8:c.G775C:p.E259Q,SNX19:NM_001347926:exon8:c.G640C:p.E214Q,SNX19:NM_014758:exon8:c.G2500C:p.E834Q,SNX19:NM_001347922:exon9:c.G829C:p.E277Q,SNX19:NM_001347925:exon9:c.G466C:p.E156Q;SNX19:uc010scg.2:exon7:c.G211C:p.E71Q,SNX19:uc001qgk.4:exon8:c.G2500C:p.E834Q,SNX19:uc010sce.2:exon8:c.G640C:p.E214Q,SNX19:uc010scf.2:exon9:c.G829C:p.E277Q;SNX19:ENST00000534726.5_4:exon4:c.G220C:p.E74Q,SNX19:ENST00000265909.9_5:exon8:c.G2500C:p.E834Q,SNX19:ENST00000528555.5_3:exon8:c.G640C:p.E214Q,SNX19:ENST00000530356.5_3:exon9:c.G640C:p.E214Q</t>
        </is>
      </c>
      <c r="Q270" t="n">
        <v>0.0164705</v>
      </c>
      <c r="R270" t="n">
        <v>0.009900000000000001</v>
      </c>
      <c r="S270" t="n">
        <v>0.0129</v>
      </c>
      <c r="T270" t="n">
        <v>-1</v>
      </c>
      <c r="U270" t="n">
        <v>0.0083</v>
      </c>
      <c r="V270" t="inlineStr">
        <is>
          <t>3/10</t>
        </is>
      </c>
      <c r="W270" t="inlineStr">
        <is>
          <t>.</t>
        </is>
      </c>
      <c r="X270" t="inlineStr">
        <is>
          <t>.</t>
        </is>
      </c>
      <c r="Y270" t="inlineStr">
        <is>
          <t>.</t>
        </is>
      </c>
      <c r="Z270" t="inlineStr">
        <is>
          <t>2/7</t>
        </is>
      </c>
      <c r="AA270" t="inlineStr">
        <is>
          <t>Uncertain significance</t>
        </is>
      </c>
      <c r="AB270" t="inlineStr">
        <is>
          <t>.</t>
        </is>
      </c>
      <c r="AC270" t="inlineStr">
        <is>
          <t>0/1</t>
        </is>
      </c>
      <c r="AD270" t="inlineStr">
        <is>
          <t>1</t>
        </is>
      </c>
      <c r="AE270" t="inlineStr">
        <is>
          <t>9.83338246488835e-07</t>
        </is>
      </c>
      <c r="AF270" t="inlineStr">
        <is>
          <t>sorting nexin 19</t>
        </is>
      </c>
      <c r="AG270" t="inlineStr">
        <is>
          <t xml:space="preserve">FUNCTION: Plays a role in intracellular vesicle trafficking and exocytosis (PubMed:24843546). May play a role in maintaining insulin-containing dense core vesicles in pancreatic beta-cells and in preventing their degradation. May play a role in insulin secretion (PubMed:24843546). Interacts with membranes containing phosphatidylinositol 3-phosphate (PtdIns(3P)) (By similarity). {ECO:0000250|UniProtKB:Q6P4T1, ECO:0000269|PubMed:24843546}.; </t>
        </is>
      </c>
      <c r="AH270" t="inlineStr">
        <is>
          <t>.</t>
        </is>
      </c>
      <c r="AI270" t="inlineStr">
        <is>
          <t>.</t>
        </is>
      </c>
      <c r="AJ270" t="inlineStr">
        <is>
          <t>.</t>
        </is>
      </c>
      <c r="AK270" t="inlineStr">
        <is>
          <t>.</t>
        </is>
      </c>
      <c r="AL270" t="inlineStr">
        <is>
          <t>.</t>
        </is>
      </c>
    </row>
    <row r="271">
      <c r="A271" t="inlineStr"/>
      <c r="B271">
        <f>HYPERLINK("https://genome.ucsc.edu/cgi-bin/hgTracks?db=hg19&amp;position=chr12%3A2595410%2D2595410", "chr12:2595410")</f>
        <v/>
      </c>
      <c r="C271" t="inlineStr">
        <is>
          <t>chr12</t>
        </is>
      </c>
      <c r="D271" t="n">
        <v>2595410</v>
      </c>
      <c r="E271" t="n">
        <v>2595410</v>
      </c>
      <c r="F271" t="inlineStr">
        <is>
          <t>A</t>
        </is>
      </c>
      <c r="G271" t="inlineStr">
        <is>
          <t>G</t>
        </is>
      </c>
      <c r="H271" t="inlineStr">
        <is>
          <t>1438.06</t>
        </is>
      </c>
      <c r="I271" t="inlineStr">
        <is>
          <t>50</t>
        </is>
      </c>
      <c r="J271" t="inlineStr">
        <is>
          <t>0,50</t>
        </is>
      </c>
      <c r="K271" t="inlineStr">
        <is>
          <t>.</t>
        </is>
      </c>
      <c r="L271">
        <f>HYPERLINK("https://www.ncbi.nlm.nih.gov/snp/rs200289321", "rs200289321")</f>
        <v/>
      </c>
      <c r="M271">
        <f>HYPERLINK("https://www.genecards.org/Search/Keyword?queryString=%5Baliases%5D(%20CACNA1C%20)&amp;keywords=CACNA1C", "CACNA1C")</f>
        <v/>
      </c>
      <c r="N271" t="inlineStr">
        <is>
          <t>exonic</t>
        </is>
      </c>
      <c r="O271" t="inlineStr">
        <is>
          <t>nonsynonymous SNV</t>
        </is>
      </c>
      <c r="P271" t="inlineStr">
        <is>
          <t>CACNA1C:NM_000719:exon6:c.A898G:p.N300D,CACNA1C:NM_001129827:exon6:c.A898G:p.N300D,CACNA1C:NM_001129829:exon6:c.A898G:p.N300D,CACNA1C:NM_001129830:exon6:c.A898G:p.N300D,CACNA1C:NM_001129831:exon6:c.A898G:p.N300D,CACNA1C:NM_001129832:exon6:c.A898G:p.N300D,CACNA1C:NM_001129833:exon6:c.A898G:p.N300D,CACNA1C:NM_001129834:exon6:c.A898G:p.N300D,CACNA1C:NM_001129835:exon6:c.A898G:p.N300D,CACNA1C:NM_001129836:exon6:c.A898G:p.N300D,CACNA1C:NM_001129837:exon6:c.A898G:p.N300D,CACNA1C:NM_001129838:exon6:c.A898G:p.N300D,CACNA1C:NM_001129839:exon6:c.A898G:p.N300D,CACNA1C:NM_001129840:exon6:c.A898G:p.N300D,CACNA1C:NM_001129841:exon6:c.A898G:p.N300D,CACNA1C:NM_001129842:exon6:c.A898G:p.N300D,CACNA1C:NM_001129843:exon6:c.A898G:p.N300D,CACNA1C:NM_001129844:exon6:c.A898G:p.N300D,CACNA1C:NM_001129846:exon6:c.A898G:p.N300D,CACNA1C:NM_001167623:exon6:c.A898G:p.N300D,CACNA1C:NM_001167624:exon6:c.A898G:p.N300D,CACNA1C:NM_001167625:exon6:c.A898G:p.N300D,CACNA1C:NM_199460:exon6:c.A898G:p.N300D;CACNA1C:uc001qki.1:exon4:c.A106G:p.N36D,CACNA1C:uc001qjz.2:exon6:c.A898G:p.N300D,CACNA1C:uc001qkb.2:exon6:c.A898G:p.N300D,CACNA1C:uc001qkc.2:exon6:c.A898G:p.N300D,CACNA1C:uc001qkd.2:exon6:c.A898G:p.N300D,CACNA1C:uc001qke.2:exon6:c.A898G:p.N300D,CACNA1C:uc001qkf.2:exon6:c.A898G:p.N300D,CACNA1C:uc001qkg.2:exon6:c.A898G:p.N300D,CACNA1C:uc001qkh.2:exon6:c.A898G:p.N300D,CACNA1C:uc001qkj.2:exon6:c.A898G:p.N300D,CACNA1C:uc001qkk.2:exon6:c.A898G:p.N300D,CACNA1C:uc001qkl.2:exon6:c.A898G:p.N300D,CACNA1C:uc001qkm.2:exon6:c.A898G:p.N300D,CACNA1C:uc001qkn.2:exon6:c.A898G:p.N300D,CACNA1C:uc001qko.2:exon6:c.A898G:p.N300D,CACNA1C:uc001qkp.2:exon6:c.A898G:p.N300D,CACNA1C:uc001qkq.2:exon6:c.A898G:p.N300D,CACNA1C:uc001qkr.2:exon6:c.A898G:p.N300D,CACNA1C:uc001qks.2:exon6:c.A898G:p.N300D,CACNA1C:uc001qkt.2:exon6:c.A898G:p.N300D,CACNA1C:uc001qku.2:exon6:c.A898G:p.N300D,CACNA1C:uc009zdu.1:exon6:c.A898G:p.N300D,CACNA1C:uc009zdv.1:exon6:c.A898G:p.N300D,CACNA1C:uc009zdw.1:exon6:c.A898G:p.N300D;CACNA1C:ENST00000327702.12_6:exon6:c.A898G:p.N300D,CACNA1C:ENST00000335762.10_3:exon6:c.A898G:p.N300D,CACNA1C:ENST00000344100.7_3:exon6:c.A898G:p.N300D,CACNA1C:ENST00000347598.9_6:exon6:c.A898G:p.N300D,CACNA1C:ENST00000399591.5_2:exon6:c.A898G:p.N300D,CACNA1C:ENST00000399595.5_3:exon6:c.A898G:p.N300D,CACNA1C:ENST00000399597.5_3:exon6:c.A898G:p.N300D,CACNA1C:ENST00000399601.5_2:exon6:c.A898G:p.N300D,CACNA1C:ENST00000399603.6_6:exon6:c.A898G:p.N300D,CACNA1C:ENST00000399606.5_2:exon6:c.A898G:p.N300D,CACNA1C:ENST00000399617.6_4:exon6:c.A898G:p.N300D,CACNA1C:ENST00000399621.5_3:exon6:c.A898G:p.N300D,CACNA1C:ENST00000399629.5_2:exon6:c.A898G:p.N300D,CACNA1C:ENST00000399634.6_6:exon6:c.A898G:p.N300D,CACNA1C:ENST00000399637.5_3:exon6:c.A898G:p.N300D,CACNA1C:ENST00000399638.5_2:exon6:c.A898G:p.N300D,CACNA1C:ENST00000399641.6_5:exon6:c.A898G:p.N300D,CACNA1C:ENST00000399644.5_2:exon6:c.A898G:p.N300D,CACNA1C:ENST00000399649.5_2:exon6:c.A898G:p.N300D,CACNA1C:ENST00000399655.6_5:exon6:c.A898G:p.N300D,CACNA1C:ENST00000402845.7_2:exon6:c.A898G:p.N300D,CACNA1C:ENST00000406454.8_5:exon6:c.A898G:p.N300D,CACNA1C:ENST00000682336.1_1:exon6:c.A898G:p.N300D,CACNA1C:ENST00000682462.1_3:exon6:c.A988G:p.N330D,CACNA1C:ENST00000682544.1_1:exon6:c.A988G:p.N330D,CACNA1C:ENST00000682686.1_1:exon6:c.A898G:p.N300D,CACNA1C:ENST00000682835.1_3:exon6:c.A898G:p.N300D,CACNA1C:ENST00000683482.1_1:exon6:c.A898G:p.N300D,CACNA1C:ENST00000683781.1_1:exon6:c.A988G:p.N330D,CACNA1C:ENST00000683824.1_3:exon6:c.A988G:p.N330D,CACNA1C:ENST00000683840.1_3:exon6:c.A988G:p.N330D,CACNA1C:ENST00000683956.1_3:exon6:c.A988G:p.N330D</t>
        </is>
      </c>
      <c r="Q271" t="n">
        <v>0.001642</v>
      </c>
      <c r="R271" t="n">
        <v>-1</v>
      </c>
      <c r="S271" t="n">
        <v>-1</v>
      </c>
      <c r="T271" t="n">
        <v>-1</v>
      </c>
      <c r="U271" t="n">
        <v>-1</v>
      </c>
      <c r="V271" t="inlineStr">
        <is>
          <t>5/11</t>
        </is>
      </c>
      <c r="W271" t="inlineStr">
        <is>
          <t>.</t>
        </is>
      </c>
      <c r="X271" t="inlineStr">
        <is>
          <t>.</t>
        </is>
      </c>
      <c r="Y271" t="inlineStr">
        <is>
          <t>.</t>
        </is>
      </c>
      <c r="Z271" t="inlineStr">
        <is>
          <t>2/7</t>
        </is>
      </c>
      <c r="AA271" t="inlineStr">
        <is>
          <t>Uncertain significance</t>
        </is>
      </c>
      <c r="AB271" t="inlineStr">
        <is>
          <t>Uncertain_significance</t>
        </is>
      </c>
      <c r="AC271" t="inlineStr">
        <is>
          <t>HOMO</t>
        </is>
      </c>
      <c r="AD271" t="inlineStr">
        <is>
          <t>1</t>
        </is>
      </c>
      <c r="AE271" t="inlineStr">
        <is>
          <t>0.99999843310185</t>
        </is>
      </c>
      <c r="AF271" t="inlineStr">
        <is>
          <t>calcium voltage-gated channel subunit alpha1 C</t>
        </is>
      </c>
      <c r="AG271" t="inlineStr">
        <is>
          <t xml:space="preserve">FUNCTION: Voltage-sensitive calcium channels (VSCC) mediate the entry of calcium ions into excitable cells and are also involved in a variety of calcium-dependent processes, including muscle contraction, hormone or neurotransmitter release, gene expression, cell motility, cell division and cell death. The isoform alpha-1C gives rise to L-type calcium currents. Long-lasting (L-type) calcium channels belong to the 'high-voltage activated' (HVA) group. They are blocked by dihydropyridines (DHP), phenylalkylamines, benzothiazepines, and by omega-agatoxin-IIIA (omega-Aga-IIIA). They are however insensitive to omega-conotoxin- GVIA (omega-CTx-GVIA) and omega-agatoxin-IVA (omega-Aga-IVA). Calcium channels containing the alpha-1C subunit play an important role in excitation-contraction coupling in the heart. The various isoforms display marked differences in the sensitivity to DHP compounds. Binding of calmodulin or CABP1 at the same regulatory sites results in an opposit effects on the channel function. {ECO:0000269|PubMed:12176756, ECO:0000269|PubMed:17071743, ECO:0000269|PubMed:7737988, ECO:0000269|PubMed:8392192, ECO:0000269|PubMed:9013606, ECO:0000269|PubMed:9607315}.; </t>
        </is>
      </c>
      <c r="AH271" t="inlineStr">
        <is>
          <t xml:space="preserve">DISEASE: Timothy syndrome (TS) [MIM:601005]: Disorder characterized by multiorgan dysfunction including lethal arrhythmias, webbing of fingers and toes, congenital heart disease, immune deficiency, intermittent hypoglycemia, cognitive abnormalities and autism. {ECO:0000269|PubMed:15454078, ECO:0000269|PubMed:15863612, ECO:0000269|PubMed:25260352}. Note=The disease is caused by mutations affecting the gene represented in this entry.; DISEASE: Brugada syndrome 3 (BRGDA3) [MIM:611875]: A heart disease characterized by the association of Brugada syndrome with shortened QT intervals. Brugada syndrome is a tachyarrhythmia characterized by right bundle branch block and ST segment elevation on an electrocardiogram (ECG). It can cause the ventricles to beat so fast that the blood is prevented from circulating efficiently in the body. When this situation occurs, the individual will faint and may die in a few minutes if the heart is not reset. {ECO:0000269|PubMed:17224476}. Note=The disease is caused by mutations affecting the gene represented in this entry.; </t>
        </is>
      </c>
      <c r="AI271" t="inlineStr">
        <is>
          <t>.</t>
        </is>
      </c>
      <c r="AJ271" t="inlineStr">
        <is>
          <t>.</t>
        </is>
      </c>
      <c r="AK271" t="inlineStr">
        <is>
          <t>.</t>
        </is>
      </c>
      <c r="AL271" t="inlineStr">
        <is>
          <t>.</t>
        </is>
      </c>
    </row>
    <row r="272">
      <c r="A272" t="inlineStr"/>
      <c r="B272">
        <f>HYPERLINK("https://genome.ucsc.edu/cgi-bin/hgTracks?db=hg19&amp;position=chr12%3A6161758%2D6161758", "chr12:6161758")</f>
        <v/>
      </c>
      <c r="C272" t="inlineStr">
        <is>
          <t>chr12</t>
        </is>
      </c>
      <c r="D272" t="n">
        <v>6161758</v>
      </c>
      <c r="E272" t="n">
        <v>6161758</v>
      </c>
      <c r="F272" t="inlineStr">
        <is>
          <t>C</t>
        </is>
      </c>
      <c r="G272" t="inlineStr">
        <is>
          <t>T</t>
        </is>
      </c>
      <c r="H272" t="inlineStr">
        <is>
          <t>2591.06</t>
        </is>
      </c>
      <c r="I272" t="inlineStr">
        <is>
          <t>83</t>
        </is>
      </c>
      <c r="J272" t="inlineStr">
        <is>
          <t>1,82</t>
        </is>
      </c>
      <c r="K272" t="inlineStr">
        <is>
          <t>.</t>
        </is>
      </c>
      <c r="L272" t="inlineStr">
        <is>
          <t>.</t>
        </is>
      </c>
      <c r="M272">
        <f>HYPERLINK("https://www.genecards.org/Search/Keyword?queryString=%5Baliases%5D(%20VWF%20)&amp;keywords=VWF", "VWF")</f>
        <v/>
      </c>
      <c r="N272" t="inlineStr">
        <is>
          <t>exonic</t>
        </is>
      </c>
      <c r="O272" t="inlineStr">
        <is>
          <t>nonsynonymous SNV</t>
        </is>
      </c>
      <c r="P272" t="inlineStr">
        <is>
          <t>VWF:NM_000552:exon16:c.G2137A:p.G713S;VWF:uc001qnn.1:exon16:c.G2137A:p.G713S;VWF:ENST00000261405.10_4:exon16:c.G2137A:p.G713S</t>
        </is>
      </c>
      <c r="Q272" t="n">
        <v>-1</v>
      </c>
      <c r="R272" t="n">
        <v>-1</v>
      </c>
      <c r="S272" t="n">
        <v>-1</v>
      </c>
      <c r="T272" t="n">
        <v>-1</v>
      </c>
      <c r="U272" t="n">
        <v>-1</v>
      </c>
      <c r="V272" t="inlineStr">
        <is>
          <t>9/12</t>
        </is>
      </c>
      <c r="W272" t="inlineStr">
        <is>
          <t>.</t>
        </is>
      </c>
      <c r="X272" t="inlineStr">
        <is>
          <t>.</t>
        </is>
      </c>
      <c r="Y272" t="inlineStr">
        <is>
          <t>.</t>
        </is>
      </c>
      <c r="Z272" t="inlineStr">
        <is>
          <t>2/7</t>
        </is>
      </c>
      <c r="AA272" t="inlineStr">
        <is>
          <t>Uncertain significance</t>
        </is>
      </c>
      <c r="AB272" t="inlineStr">
        <is>
          <t>.</t>
        </is>
      </c>
      <c r="AC272" t="inlineStr">
        <is>
          <t>HOMO</t>
        </is>
      </c>
      <c r="AD272" t="inlineStr">
        <is>
          <t>1</t>
        </is>
      </c>
      <c r="AE272" t="inlineStr">
        <is>
          <t>1.52411378256046e-11</t>
        </is>
      </c>
      <c r="AF272" t="inlineStr">
        <is>
          <t>von Willebrand factor</t>
        </is>
      </c>
      <c r="AG272" t="inlineStr">
        <is>
          <t xml:space="preserve">FUNCTION: Important in the maintenance of hemostasis, it promotes adhesion of platelets to the sites of vascular injury by forming a molecular bridge between sub-endothelial collagen matrix and platelet-surface receptor complex GPIb-IX-V. Also acts as a chaperone for coagulation factor VIII, delivering it to the site of injury, stabilizing its heterodimeric structure and protecting it from premature clearance from plasma.; </t>
        </is>
      </c>
      <c r="AH272" t="inlineStr">
        <is>
          <t xml:space="preserve">DISEASE: von Willebrand disease 1 (VWD1) [MIM:193400]: A common hemorrhagic disorder due to defects in von Willebrand factor protein and resulting in impaired platelet aggregation. Von Willebrand disease type 1 is characterized by partial quantitative deficiency of circulating von Willebrand factor, that is otherwise structurally and functionally normal. Clinical manifestations are mucocutaneous bleeding, such as epistaxis and menorrhagia, and prolonged bleeding after surgery or trauma. {ECO:0000269|PubMed:10887119, ECO:0000269|PubMed:11698279}. Note=The disease is caused by mutations affecting the gene represented in this entry.; DISEASE: von Willebrand disease 2 (VWD2) [MIM:613554]: A hemorrhagic disorder due to defects in von Willebrand factor protein and resulting in altered platelet aggregation. Von Willebrand disease type 2 is characterized by qualitative deficiency and functional anomalies of von Willebrand factor. It is divided in different subtypes including 2A, 2B, 2M and 2N (Normandy variant). The mutant VWF protein in types 2A, 2B and 2M are defective in their platelet-dependent function, whereas the mutant protein in type 2N is defective in its ability to bind factor VIII. Clinical manifestations are mucocutaneous bleeding, such as epistaxis and menorrhagia, and prolonged bleeding after surgery or trauma. {ECO:0000269|PubMed:12406074, ECO:0000269|PubMed:1409710, ECO:0000269|PubMed:1419803, ECO:0000269|PubMed:1419804, ECO:0000269|PubMed:1420817, ECO:0000269|PubMed:1429668, ECO:0000269|PubMed:1672694, ECO:0000269|PubMed:1673047, ECO:0000269|PubMed:1729889, ECO:0000269|PubMed:1761120, ECO:0000269|PubMed:1832934, ECO:0000269|PubMed:1906179, ECO:0000269|PubMed:2010538, ECO:0000269|PubMed:2011604, ECO:0000269|PubMed:21592258, ECO:0000269|PubMed:2786201, ECO:0000269|PubMed:7620154, ECO:0000269|PubMed:7734373, ECO:0000269|PubMed:7789955, ECO:0000269|PubMed:8011991, ECO:0000269|PubMed:8123843, ECO:0000269|PubMed:8123844, ECO:0000269|PubMed:8338947, ECO:0000269|PubMed:8348943, ECO:0000269|PubMed:8376405, ECO:0000269|PubMed:8435341, ECO:0000269|PubMed:8486782, ECO:0000269|PubMed:8547152, ECO:0000269|PubMed:8622978}. Note=The disease is caused by mutations affecting the gene represented in this entry.; DISEASE: von Willebrand disease 3 (VWD3) [MIM:277480]: A severe hemorrhagic disorder due to a total or near total absence of von Willebrand factor in the plasma and cellular compartments, also leading to a profound deficiency of plasmatic factor VIII. Bleeding usually starts in infancy and can include epistaxis, recurrent mucocutaneous bleeding, excessive bleeding after minor trauma, and hemarthroses. {ECO:0000269|PubMed:10887119, ECO:0000269|PubMed:7989040, ECO:0000269|PubMed:8088787}. Note=The disease is caused by mutations affecting the gene represented in this entry.; </t>
        </is>
      </c>
      <c r="AI272" t="inlineStr">
        <is>
          <t>.</t>
        </is>
      </c>
      <c r="AJ272" t="inlineStr">
        <is>
          <t>.</t>
        </is>
      </c>
      <c r="AK272" t="inlineStr">
        <is>
          <t>.</t>
        </is>
      </c>
      <c r="AL272" t="inlineStr">
        <is>
          <t>.</t>
        </is>
      </c>
    </row>
    <row r="273">
      <c r="A273" t="inlineStr"/>
      <c r="B273">
        <f>HYPERLINK("https://genome.ucsc.edu/cgi-bin/hgTracks?db=hg19&amp;position=chr12%3A6860752%2D6860752", "chr12:6860752")</f>
        <v/>
      </c>
      <c r="C273" t="inlineStr">
        <is>
          <t>chr12</t>
        </is>
      </c>
      <c r="D273" t="n">
        <v>6860752</v>
      </c>
      <c r="E273" t="n">
        <v>6860752</v>
      </c>
      <c r="F273" t="inlineStr">
        <is>
          <t>T</t>
        </is>
      </c>
      <c r="G273" t="inlineStr">
        <is>
          <t>C</t>
        </is>
      </c>
      <c r="H273" t="inlineStr">
        <is>
          <t>400.06</t>
        </is>
      </c>
      <c r="I273" t="inlineStr">
        <is>
          <t>15</t>
        </is>
      </c>
      <c r="J273" t="inlineStr">
        <is>
          <t>0,15</t>
        </is>
      </c>
      <c r="K273" t="inlineStr">
        <is>
          <t>.</t>
        </is>
      </c>
      <c r="L273">
        <f>HYPERLINK("https://www.ncbi.nlm.nih.gov/snp/rs200720279", "rs200720279")</f>
        <v/>
      </c>
      <c r="M273">
        <f>HYPERLINK("https://www.genecards.org/Search/Keyword?queryString=%5Baliases%5D(%20MLF2%20)&amp;keywords=MLF2", "MLF2")</f>
        <v/>
      </c>
      <c r="N273" t="inlineStr">
        <is>
          <t>intronic</t>
        </is>
      </c>
      <c r="O273" t="inlineStr">
        <is>
          <t>.</t>
        </is>
      </c>
      <c r="P273" t="inlineStr">
        <is>
          <t>.</t>
        </is>
      </c>
      <c r="Q273" t="n">
        <v>0.000821</v>
      </c>
      <c r="R273" t="n">
        <v>-1</v>
      </c>
      <c r="S273" t="n">
        <v>7.347999999999999e-05</v>
      </c>
      <c r="T273" t="n">
        <v>-1</v>
      </c>
      <c r="U273" t="n">
        <v>-1</v>
      </c>
      <c r="V273" t="inlineStr">
        <is>
          <t>.</t>
        </is>
      </c>
      <c r="W273" t="inlineStr">
        <is>
          <t>.</t>
        </is>
      </c>
      <c r="X273" t="inlineStr">
        <is>
          <t>D</t>
        </is>
      </c>
      <c r="Y273" t="inlineStr">
        <is>
          <t>off</t>
        </is>
      </c>
      <c r="Z273" t="inlineStr">
        <is>
          <t>.</t>
        </is>
      </c>
      <c r="AA273" t="inlineStr">
        <is>
          <t>.</t>
        </is>
      </c>
      <c r="AB273" t="inlineStr">
        <is>
          <t>.</t>
        </is>
      </c>
      <c r="AC273" t="inlineStr">
        <is>
          <t>HOMO</t>
        </is>
      </c>
      <c r="AD273" t="inlineStr">
        <is>
          <t>1</t>
        </is>
      </c>
      <c r="AE273" t="inlineStr">
        <is>
          <t>0.921484672213679</t>
        </is>
      </c>
      <c r="AF273" t="inlineStr">
        <is>
          <t>myeloid leukemia factor 2</t>
        </is>
      </c>
      <c r="AG273" t="inlineStr">
        <is>
          <t>.</t>
        </is>
      </c>
      <c r="AH273" t="inlineStr">
        <is>
          <t>.</t>
        </is>
      </c>
      <c r="AI273" t="inlineStr">
        <is>
          <t>.</t>
        </is>
      </c>
      <c r="AJ273" t="inlineStr">
        <is>
          <t>.</t>
        </is>
      </c>
      <c r="AK273" t="inlineStr">
        <is>
          <t>.</t>
        </is>
      </c>
      <c r="AL273" t="inlineStr">
        <is>
          <t>.</t>
        </is>
      </c>
    </row>
    <row r="274">
      <c r="A274" t="inlineStr"/>
      <c r="B274">
        <f>HYPERLINK("https://genome.ucsc.edu/cgi-bin/hgTracks?db=hg19&amp;position=chr12%3A9268393%2D9268393", "chr12:9268393")</f>
        <v/>
      </c>
      <c r="C274" t="inlineStr">
        <is>
          <t>chr12</t>
        </is>
      </c>
      <c r="D274" t="n">
        <v>9268393</v>
      </c>
      <c r="E274" t="n">
        <v>9268393</v>
      </c>
      <c r="F274" t="inlineStr">
        <is>
          <t>A</t>
        </is>
      </c>
      <c r="G274" t="inlineStr">
        <is>
          <t>C</t>
        </is>
      </c>
      <c r="H274" t="inlineStr">
        <is>
          <t>3038.06</t>
        </is>
      </c>
      <c r="I274" t="inlineStr">
        <is>
          <t>112</t>
        </is>
      </c>
      <c r="J274" t="inlineStr">
        <is>
          <t>0,112</t>
        </is>
      </c>
      <c r="K274" t="inlineStr">
        <is>
          <t>.</t>
        </is>
      </c>
      <c r="L274">
        <f>HYPERLINK("https://www.ncbi.nlm.nih.gov/snp/rs201671036", "rs201671036")</f>
        <v/>
      </c>
      <c r="M274">
        <f>HYPERLINK("https://www.genecards.org/Search/Keyword?queryString=%5Baliases%5D(%20A2M%20)&amp;keywords=A2M", "A2M")</f>
        <v/>
      </c>
      <c r="N274" t="inlineStr">
        <is>
          <t>exonic</t>
        </is>
      </c>
      <c r="O274" t="inlineStr">
        <is>
          <t>nonsynonymous SNV</t>
        </is>
      </c>
      <c r="P274" t="inlineStr">
        <is>
          <t>A2M:NM_000014:exon1:c.T53G:p.L18R,A2M:NM_001347423:exon2:c.T53G:p.L18R;A2M:uc001qvk.1:exon1:c.T53G:p.L18R;A2M:ENST00000318602.12_5:exon1:c.T53G:p.L18R</t>
        </is>
      </c>
      <c r="Q274" t="n">
        <v>0.0035</v>
      </c>
      <c r="R274" t="n">
        <v>0.0037</v>
      </c>
      <c r="S274" t="n">
        <v>0.0036</v>
      </c>
      <c r="T274" t="n">
        <v>-1</v>
      </c>
      <c r="U274" t="n">
        <v>0.0081</v>
      </c>
      <c r="V274" t="inlineStr">
        <is>
          <t>5/11</t>
        </is>
      </c>
      <c r="W274" t="inlineStr">
        <is>
          <t>.</t>
        </is>
      </c>
      <c r="X274" t="inlineStr">
        <is>
          <t>.</t>
        </is>
      </c>
      <c r="Y274" t="inlineStr">
        <is>
          <t>.</t>
        </is>
      </c>
      <c r="Z274" t="inlineStr">
        <is>
          <t>1/7</t>
        </is>
      </c>
      <c r="AA274" t="inlineStr">
        <is>
          <t>Uncertain significance</t>
        </is>
      </c>
      <c r="AB274" t="inlineStr">
        <is>
          <t>.</t>
        </is>
      </c>
      <c r="AC274" t="inlineStr">
        <is>
          <t>HOMO</t>
        </is>
      </c>
      <c r="AD274" t="inlineStr">
        <is>
          <t>1</t>
        </is>
      </c>
      <c r="AE274" t="inlineStr">
        <is>
          <t>0.000540114865271392</t>
        </is>
      </c>
      <c r="AF274" t="inlineStr">
        <is>
          <t>alpha-2-macroglobulin</t>
        </is>
      </c>
      <c r="AG274" t="inlineStr">
        <is>
          <t xml:space="preserve">FUNCTION: Is able to inhibit all four classes of proteinases by a unique 'trapping' mechanism. This protein has a peptide stretch, called the 'bait region' which contains specific cleavage sites for different proteinases. When a proteinase cleaves the bait region, a conformational change is induced in the protein which traps the proteinase. The entrapped enzyme remains active against low molecular weight substrates (activity against high molecular weight substrates is greatly reduced). Following cleavage in the bait region a thioester bond is hydrolyzed and mediates the covalent binding of the protein to the proteinase.; </t>
        </is>
      </c>
      <c r="AH274" t="inlineStr">
        <is>
          <t>.</t>
        </is>
      </c>
      <c r="AI274" t="inlineStr">
        <is>
          <t>.</t>
        </is>
      </c>
      <c r="AJ274" t="inlineStr">
        <is>
          <t>.</t>
        </is>
      </c>
      <c r="AK274" t="inlineStr">
        <is>
          <t>.</t>
        </is>
      </c>
      <c r="AL274" t="inlineStr">
        <is>
          <t>.</t>
        </is>
      </c>
    </row>
    <row r="275">
      <c r="A275" t="inlineStr"/>
      <c r="B275">
        <f>HYPERLINK("https://genome.ucsc.edu/cgi-bin/hgTracks?db=hg19&amp;position=chr12%3A11286136%2D11286136", "chr12:11286136")</f>
        <v/>
      </c>
      <c r="C275" t="inlineStr">
        <is>
          <t>chr12</t>
        </is>
      </c>
      <c r="D275" t="n">
        <v>11286136</v>
      </c>
      <c r="E275" t="n">
        <v>11286136</v>
      </c>
      <c r="F275" t="inlineStr">
        <is>
          <t>-</t>
        </is>
      </c>
      <c r="G275" t="inlineStr">
        <is>
          <t>A</t>
        </is>
      </c>
      <c r="H275" t="inlineStr">
        <is>
          <t>122.60</t>
        </is>
      </c>
      <c r="I275" t="inlineStr">
        <is>
          <t>151</t>
        </is>
      </c>
      <c r="J275" t="inlineStr">
        <is>
          <t>138,13</t>
        </is>
      </c>
      <c r="K275" t="inlineStr">
        <is>
          <t>.</t>
        </is>
      </c>
      <c r="L275" t="inlineStr">
        <is>
          <t>.</t>
        </is>
      </c>
      <c r="M275">
        <f>HYPERLINK("https://www.genecards.org/Search/Keyword?queryString=%5Baliases%5D(%20TAS2R30%20)&amp;keywords=TAS2R30", "TAS2R30")</f>
        <v/>
      </c>
      <c r="N275" t="inlineStr">
        <is>
          <t>exonic</t>
        </is>
      </c>
      <c r="O275" t="inlineStr">
        <is>
          <t>frameshift insertion</t>
        </is>
      </c>
      <c r="P275" t="inlineStr">
        <is>
          <t>TAS2R30:NM_001097643:exon1:c.707dupT:p.L237Vfs*15;TAS2R30:uc009zhs.1:exon1:c.707dupT:p.L237Vfs*15;TAS2R30:ENST00000539585.1_4:exon1:c.707dupT:p.L237Vfs*15</t>
        </is>
      </c>
      <c r="Q275" t="n">
        <v>0.0223</v>
      </c>
      <c r="R275" t="n">
        <v>0.0003</v>
      </c>
      <c r="S275" t="n">
        <v>0.0003</v>
      </c>
      <c r="T275" t="n">
        <v>-1</v>
      </c>
      <c r="U275" t="n">
        <v>0.0004</v>
      </c>
      <c r="V275" t="inlineStr">
        <is>
          <t>.</t>
        </is>
      </c>
      <c r="W275" t="inlineStr">
        <is>
          <t>.</t>
        </is>
      </c>
      <c r="X275" t="inlineStr">
        <is>
          <t>.</t>
        </is>
      </c>
      <c r="Y275" t="inlineStr">
        <is>
          <t>.</t>
        </is>
      </c>
      <c r="Z275" t="inlineStr">
        <is>
          <t>.</t>
        </is>
      </c>
      <c r="AA275" t="inlineStr">
        <is>
          <t>.</t>
        </is>
      </c>
      <c r="AB275" t="inlineStr">
        <is>
          <t>.</t>
        </is>
      </c>
      <c r="AC275" t="inlineStr">
        <is>
          <t>.</t>
        </is>
      </c>
      <c r="AD275" t="inlineStr">
        <is>
          <t>1</t>
        </is>
      </c>
      <c r="AE275" t="inlineStr">
        <is>
          <t>0.00170314797923996</t>
        </is>
      </c>
      <c r="AF275" t="inlineStr">
        <is>
          <t>taste 2 receptor member 30</t>
        </is>
      </c>
      <c r="AG275" t="inlineStr">
        <is>
          <t xml:space="preserve">FUNCTION: Receptor that may play a role in the perception of bitterness and is gustducin-linked. May play a role in sensing the chemical composition of the gastrointestinal content. The activity of this receptor may stimulate alpha gustducin, mediate PLC-beta-2 activation and lead to the gating of TRPM5 (By similarity). {ECO:0000250}.; </t>
        </is>
      </c>
      <c r="AH275" t="inlineStr">
        <is>
          <t>.</t>
        </is>
      </c>
      <c r="AI275" t="inlineStr">
        <is>
          <t>.</t>
        </is>
      </c>
      <c r="AJ275" t="inlineStr">
        <is>
          <t>.</t>
        </is>
      </c>
      <c r="AK275" t="inlineStr">
        <is>
          <t>.</t>
        </is>
      </c>
      <c r="AL275" t="inlineStr">
        <is>
          <t>NGS_LowStringency</t>
        </is>
      </c>
    </row>
    <row r="276">
      <c r="A276" t="inlineStr"/>
      <c r="B276">
        <f>HYPERLINK("https://genome.ucsc.edu/cgi-bin/hgTracks?db=hg19&amp;position=chr12%3A15661564%2D15661564", "chr12:15661564")</f>
        <v/>
      </c>
      <c r="C276" t="inlineStr">
        <is>
          <t>chr12</t>
        </is>
      </c>
      <c r="D276" t="n">
        <v>15661564</v>
      </c>
      <c r="E276" t="n">
        <v>15661564</v>
      </c>
      <c r="F276" t="inlineStr">
        <is>
          <t>G</t>
        </is>
      </c>
      <c r="G276" t="inlineStr">
        <is>
          <t>A</t>
        </is>
      </c>
      <c r="H276" t="inlineStr">
        <is>
          <t>1999.06</t>
        </is>
      </c>
      <c r="I276" t="inlineStr">
        <is>
          <t>71</t>
        </is>
      </c>
      <c r="J276" t="inlineStr">
        <is>
          <t>1,70</t>
        </is>
      </c>
      <c r="K276" t="inlineStr">
        <is>
          <t>.</t>
        </is>
      </c>
      <c r="L276">
        <f>HYPERLINK("https://www.ncbi.nlm.nih.gov/snp/rs71459181", "rs71459181")</f>
        <v/>
      </c>
      <c r="M276">
        <f>HYPERLINK("https://www.genecards.org/Search/Keyword?queryString=%5Baliases%5D(%20PTPRO%20)&amp;keywords=PTPRO", "PTPRO")</f>
        <v/>
      </c>
      <c r="N276" t="inlineStr">
        <is>
          <t>exonic</t>
        </is>
      </c>
      <c r="O276" t="inlineStr">
        <is>
          <t>nonsynonymous SNV</t>
        </is>
      </c>
      <c r="P276" t="inlineStr">
        <is>
          <t>PTPRO:NM_002848:exon7:c.G1327A:p.V443I,PTPRO:NM_030667:exon7:c.G1327A:p.V443I;PTPRO:uc001rcu.2:exon7:c.G1327A:p.V443I,PTPRO:uc001rcv.2:exon7:c.G1327A:p.V443I,PTPRO:uc001rcw.2:exon7:c.G1327A:p.V443I;PTPRO:ENST00000674188.1_3:exon6:c.G883A:p.V295I,PTPRO:ENST00000281171.9_6:exon7:c.G1327A:p.V443I,PTPRO:ENST00000348962.7_5:exon7:c.G1327A:p.V443I,PTPRO:ENST00000543886.6_2:exon7:c.G1327A:p.V443I,PTPRO:ENST00000674316.1_3:exon7:c.G1327A:p.V443I</t>
        </is>
      </c>
      <c r="Q276" t="n">
        <v>0.018293</v>
      </c>
      <c r="R276" t="n">
        <v>0.0142</v>
      </c>
      <c r="S276" t="n">
        <v>0.0148</v>
      </c>
      <c r="T276" t="n">
        <v>-1</v>
      </c>
      <c r="U276" t="n">
        <v>0.0145</v>
      </c>
      <c r="V276" t="inlineStr">
        <is>
          <t>4/10</t>
        </is>
      </c>
      <c r="W276" t="inlineStr">
        <is>
          <t>.</t>
        </is>
      </c>
      <c r="X276" t="inlineStr">
        <is>
          <t>.</t>
        </is>
      </c>
      <c r="Y276" t="inlineStr">
        <is>
          <t>.</t>
        </is>
      </c>
      <c r="Z276" t="inlineStr">
        <is>
          <t>1/7</t>
        </is>
      </c>
      <c r="AA276" t="inlineStr">
        <is>
          <t>Uncertain significance</t>
        </is>
      </c>
      <c r="AB276" t="inlineStr">
        <is>
          <t>Benign</t>
        </is>
      </c>
      <c r="AC276" t="inlineStr">
        <is>
          <t>HOMO</t>
        </is>
      </c>
      <c r="AD276" t="inlineStr">
        <is>
          <t>1</t>
        </is>
      </c>
      <c r="AE276" t="inlineStr">
        <is>
          <t>0.304626089545522</t>
        </is>
      </c>
      <c r="AF276" t="inlineStr">
        <is>
          <t>protein tyrosine phosphatase, receptor type O</t>
        </is>
      </c>
      <c r="AG276" t="inlineStr">
        <is>
          <t xml:space="preserve">FUNCTION: Possesses tyrosine phosphatase activity. Plays a role in regulating the glomerular pressure/filtration rate relationship through an effect on podocyte structure and function (By similarity). {ECO:0000250, ECO:0000269|PubMed:19167335}.; </t>
        </is>
      </c>
      <c r="AH276" t="inlineStr">
        <is>
          <t xml:space="preserve">DISEASE: Nephrotic syndrome 6 (NPHS6) [MIM:614196]: A form of nephrotic syndrome, a renal disease clinically characterized by severe proteinuria, resulting in complications such as hypoalbuminemia, hyperlipidemia and edema. Kidney biopsies show non-specific histologic changes such as focal segmental glomerulosclerosis and diffuse mesangial proliferation. Some affected individuals have an inherited steroid-resistant form and progress to end-stage renal failure. {ECO:0000269|PubMed:21722858}. Note=The disease is caused by mutations affecting the gene represented in this entry.; </t>
        </is>
      </c>
      <c r="AI276" t="inlineStr">
        <is>
          <t>.</t>
        </is>
      </c>
      <c r="AJ276" t="inlineStr">
        <is>
          <t>.</t>
        </is>
      </c>
      <c r="AK276" t="inlineStr">
        <is>
          <t>.</t>
        </is>
      </c>
      <c r="AL276" t="inlineStr">
        <is>
          <t>.</t>
        </is>
      </c>
    </row>
    <row r="277">
      <c r="A277" t="inlineStr"/>
      <c r="B277">
        <f>HYPERLINK("https://genome.ucsc.edu/cgi-bin/hgTracks?db=hg19&amp;position=chr12%3A18747640%2D18747640", "chr12:18747640")</f>
        <v/>
      </c>
      <c r="C277" t="inlineStr">
        <is>
          <t>chr12</t>
        </is>
      </c>
      <c r="D277" t="n">
        <v>18747640</v>
      </c>
      <c r="E277" t="n">
        <v>18747640</v>
      </c>
      <c r="F277" t="inlineStr">
        <is>
          <t>T</t>
        </is>
      </c>
      <c r="G277" t="inlineStr">
        <is>
          <t>G</t>
        </is>
      </c>
      <c r="H277" t="inlineStr">
        <is>
          <t>48.64</t>
        </is>
      </c>
      <c r="I277" t="inlineStr">
        <is>
          <t>9</t>
        </is>
      </c>
      <c r="J277" t="inlineStr">
        <is>
          <t>7,2</t>
        </is>
      </c>
      <c r="K277" t="inlineStr">
        <is>
          <t>.</t>
        </is>
      </c>
      <c r="L277" t="inlineStr">
        <is>
          <t>.</t>
        </is>
      </c>
      <c r="M277">
        <f>HYPERLINK("https://www.genecards.org/Search/Keyword?queryString=%5Baliases%5D(%20PIK3C2G%20)&amp;keywords=PIK3C2G", "PIK3C2G")</f>
        <v/>
      </c>
      <c r="N277" t="inlineStr">
        <is>
          <t>intronic</t>
        </is>
      </c>
      <c r="O277" t="inlineStr">
        <is>
          <t>.</t>
        </is>
      </c>
      <c r="P277" t="inlineStr">
        <is>
          <t>.</t>
        </is>
      </c>
      <c r="Q277" t="n">
        <v>-1</v>
      </c>
      <c r="R277" t="n">
        <v>-1</v>
      </c>
      <c r="S277" t="n">
        <v>-1</v>
      </c>
      <c r="T277" t="n">
        <v>-1</v>
      </c>
      <c r="U277" t="n">
        <v>-1</v>
      </c>
      <c r="V277" t="inlineStr">
        <is>
          <t>.</t>
        </is>
      </c>
      <c r="W277" t="inlineStr">
        <is>
          <t>.</t>
        </is>
      </c>
      <c r="X277" t="inlineStr">
        <is>
          <t>D</t>
        </is>
      </c>
      <c r="Y277" t="inlineStr">
        <is>
          <t>off</t>
        </is>
      </c>
      <c r="Z277" t="inlineStr">
        <is>
          <t>.</t>
        </is>
      </c>
      <c r="AA277" t="inlineStr">
        <is>
          <t>.</t>
        </is>
      </c>
      <c r="AB277" t="inlineStr">
        <is>
          <t>.</t>
        </is>
      </c>
      <c r="AC277" t="inlineStr">
        <is>
          <t>0/1</t>
        </is>
      </c>
      <c r="AD277" t="inlineStr">
        <is>
          <t>1</t>
        </is>
      </c>
      <c r="AE277" t="inlineStr">
        <is>
          <t>9.18857248003686e-32</t>
        </is>
      </c>
      <c r="AF277" t="inlineStr">
        <is>
          <t>phosphatidylinositol-4-phosphate 3-kinase catalytic subunit type 2 gamma</t>
        </is>
      </c>
      <c r="AG277" t="inlineStr">
        <is>
          <t xml:space="preserve">FUNCTION: Generates phosphatidylinositol 3-phosphate (PtdIns3P) and phosphatidylinositol 3,4-bisphosphate (PtdIns(3,4)P2) that act as second messengers. May play a role in SDF1A-stimulated chemotaxis (By similarity). {ECO:0000250}.; </t>
        </is>
      </c>
      <c r="AH277" t="inlineStr">
        <is>
          <t>.</t>
        </is>
      </c>
      <c r="AI277" t="inlineStr">
        <is>
          <t>.</t>
        </is>
      </c>
      <c r="AJ277" t="inlineStr">
        <is>
          <t>.</t>
        </is>
      </c>
      <c r="AK277" t="inlineStr">
        <is>
          <t>.</t>
        </is>
      </c>
      <c r="AL277" t="inlineStr">
        <is>
          <t>.</t>
        </is>
      </c>
    </row>
    <row r="278">
      <c r="A278" t="inlineStr"/>
      <c r="B278">
        <f>HYPERLINK("https://genome.ucsc.edu/cgi-bin/hgTracks?db=hg19&amp;position=chr12%3A19444512%2D19444512", "chr12:19444512")</f>
        <v/>
      </c>
      <c r="C278" t="inlineStr">
        <is>
          <t>chr12</t>
        </is>
      </c>
      <c r="D278" t="n">
        <v>19444512</v>
      </c>
      <c r="E278" t="n">
        <v>19444512</v>
      </c>
      <c r="F278" t="inlineStr">
        <is>
          <t>A</t>
        </is>
      </c>
      <c r="G278" t="inlineStr">
        <is>
          <t>G</t>
        </is>
      </c>
      <c r="H278" t="inlineStr">
        <is>
          <t>484.64</t>
        </is>
      </c>
      <c r="I278" t="inlineStr">
        <is>
          <t>32</t>
        </is>
      </c>
      <c r="J278" t="inlineStr">
        <is>
          <t>12,20</t>
        </is>
      </c>
      <c r="K278" t="inlineStr">
        <is>
          <t>.</t>
        </is>
      </c>
      <c r="L278" t="inlineStr">
        <is>
          <t>.</t>
        </is>
      </c>
      <c r="M278">
        <f>HYPERLINK("https://www.genecards.org/Search/Keyword?queryString=%5Baliases%5D(%20PLEKHA5%20)&amp;keywords=PLEKHA5", "PLEKHA5")</f>
        <v/>
      </c>
      <c r="N278" t="inlineStr">
        <is>
          <t>intronic</t>
        </is>
      </c>
      <c r="O278" t="inlineStr">
        <is>
          <t>.</t>
        </is>
      </c>
      <c r="P278" t="inlineStr">
        <is>
          <t>.</t>
        </is>
      </c>
      <c r="Q278" t="n">
        <v>-1</v>
      </c>
      <c r="R278" t="n">
        <v>-1</v>
      </c>
      <c r="S278" t="n">
        <v>-1</v>
      </c>
      <c r="T278" t="n">
        <v>-1</v>
      </c>
      <c r="U278" t="n">
        <v>-1</v>
      </c>
      <c r="V278" t="inlineStr">
        <is>
          <t>.</t>
        </is>
      </c>
      <c r="W278" t="inlineStr">
        <is>
          <t>.</t>
        </is>
      </c>
      <c r="X278" t="inlineStr">
        <is>
          <t>PD</t>
        </is>
      </c>
      <c r="Y278" t="inlineStr">
        <is>
          <t>off</t>
        </is>
      </c>
      <c r="Z278" t="inlineStr">
        <is>
          <t>.</t>
        </is>
      </c>
      <c r="AA278" t="inlineStr">
        <is>
          <t>.</t>
        </is>
      </c>
      <c r="AB278" t="inlineStr">
        <is>
          <t>.</t>
        </is>
      </c>
      <c r="AC278" t="inlineStr">
        <is>
          <t>0/1</t>
        </is>
      </c>
      <c r="AD278" t="inlineStr">
        <is>
          <t>1</t>
        </is>
      </c>
      <c r="AE278" t="inlineStr">
        <is>
          <t>0.999999407945124</t>
        </is>
      </c>
      <c r="AF278" t="inlineStr">
        <is>
          <t>pleckstrin homology domain containing A5</t>
        </is>
      </c>
      <c r="AG278" t="inlineStr">
        <is>
          <t>.</t>
        </is>
      </c>
      <c r="AH278" t="inlineStr">
        <is>
          <t>.</t>
        </is>
      </c>
      <c r="AI278" t="inlineStr">
        <is>
          <t>.</t>
        </is>
      </c>
      <c r="AJ278" t="inlineStr">
        <is>
          <t>.</t>
        </is>
      </c>
      <c r="AK278" t="inlineStr">
        <is>
          <t>.</t>
        </is>
      </c>
      <c r="AL278" t="inlineStr">
        <is>
          <t>.</t>
        </is>
      </c>
    </row>
    <row r="279">
      <c r="A279" t="inlineStr"/>
      <c r="B279">
        <f>HYPERLINK("https://genome.ucsc.edu/cgi-bin/hgTracks?db=hg19&amp;position=chr12%3A26589152%2D26589152", "chr12:26589152")</f>
        <v/>
      </c>
      <c r="C279" t="inlineStr">
        <is>
          <t>chr12</t>
        </is>
      </c>
      <c r="D279" t="n">
        <v>26589152</v>
      </c>
      <c r="E279" t="n">
        <v>26589152</v>
      </c>
      <c r="F279" t="inlineStr">
        <is>
          <t>G</t>
        </is>
      </c>
      <c r="G279" t="inlineStr">
        <is>
          <t>T</t>
        </is>
      </c>
      <c r="H279" t="inlineStr">
        <is>
          <t>269.64</t>
        </is>
      </c>
      <c r="I279" t="inlineStr">
        <is>
          <t>49</t>
        </is>
      </c>
      <c r="J279" t="inlineStr">
        <is>
          <t>34,15</t>
        </is>
      </c>
      <c r="K279" t="inlineStr">
        <is>
          <t>.</t>
        </is>
      </c>
      <c r="L279" t="inlineStr">
        <is>
          <t>.</t>
        </is>
      </c>
      <c r="M279">
        <f>HYPERLINK("https://www.genecards.org/Search/Keyword?queryString=%5Baliases%5D(%20ITPR2%20)&amp;keywords=ITPR2", "ITPR2")</f>
        <v/>
      </c>
      <c r="N279" t="inlineStr">
        <is>
          <t>splicing</t>
        </is>
      </c>
      <c r="O279" t="inlineStr">
        <is>
          <t>.</t>
        </is>
      </c>
      <c r="P279" t="inlineStr">
        <is>
          <t>NM_002223:exon48:c.6769+2C&gt;A;uc001rhg.3:exon48:c.6769+2C&gt;A;uc009zjg.1:exon11:c.1222+2C&gt;A;ENST00000381340.8_5:exon48:c.6769+2C&gt;A</t>
        </is>
      </c>
      <c r="Q279" t="n">
        <v>-1</v>
      </c>
      <c r="R279" t="n">
        <v>-1</v>
      </c>
      <c r="S279" t="n">
        <v>-1</v>
      </c>
      <c r="T279" t="n">
        <v>-1</v>
      </c>
      <c r="U279" t="n">
        <v>-1</v>
      </c>
      <c r="V279" t="inlineStr">
        <is>
          <t>2/2</t>
        </is>
      </c>
      <c r="W279" t="inlineStr">
        <is>
          <t>.</t>
        </is>
      </c>
      <c r="X279" t="inlineStr">
        <is>
          <t>D</t>
        </is>
      </c>
      <c r="Y279" t="inlineStr">
        <is>
          <t>on</t>
        </is>
      </c>
      <c r="Z279" t="inlineStr">
        <is>
          <t>1/7</t>
        </is>
      </c>
      <c r="AA279" t="inlineStr">
        <is>
          <t>.</t>
        </is>
      </c>
      <c r="AB279" t="inlineStr">
        <is>
          <t>.</t>
        </is>
      </c>
      <c r="AC279" t="inlineStr">
        <is>
          <t>0/1</t>
        </is>
      </c>
      <c r="AD279" t="inlineStr">
        <is>
          <t>2</t>
        </is>
      </c>
      <c r="AE279" t="inlineStr">
        <is>
          <t>5.7359279512263e-11</t>
        </is>
      </c>
      <c r="AF279" t="inlineStr">
        <is>
          <t>inositol 1,4,5-trisphosphate receptor type 2</t>
        </is>
      </c>
      <c r="AG279" t="inlineStr">
        <is>
          <t xml:space="preserve">FUNCTION: Receptor for inositol 1,4,5-trisphosphate, a second messenger that mediates the release of intracellular calcium. This release is regulated by cAMP both dependently and independently of PKA (By similarity). {ECO:0000250|UniProtKB:Q9Z329}.; </t>
        </is>
      </c>
      <c r="AH279" t="inlineStr">
        <is>
          <t xml:space="preserve">DISEASE: Anhidrosis, isolated, with normal sweat glands (ANHD) [MIM:106190]: An autosomal recessive disorder characterized by generalized, isolated anhidrosis, severe heat intolerance, and morphologically normal eccrine sweat glands. Body growth, teeth, hair, nails, and skin are normal. {ECO:0000269|PubMed:25329695}. Note=The disease is caused by mutations affecting the gene represented in this entry.; </t>
        </is>
      </c>
      <c r="AI279" t="inlineStr">
        <is>
          <t>.</t>
        </is>
      </c>
      <c r="AJ279" t="inlineStr">
        <is>
          <t>.</t>
        </is>
      </c>
      <c r="AK279" t="inlineStr">
        <is>
          <t>.</t>
        </is>
      </c>
      <c r="AL279" t="inlineStr">
        <is>
          <t>.</t>
        </is>
      </c>
    </row>
    <row r="280">
      <c r="A280" t="inlineStr"/>
      <c r="B280">
        <f>HYPERLINK("https://genome.ucsc.edu/cgi-bin/hgTracks?db=hg19&amp;position=chr12%3A26777152%2D26777152", "chr12:26777152")</f>
        <v/>
      </c>
      <c r="C280" t="inlineStr">
        <is>
          <t>chr12</t>
        </is>
      </c>
      <c r="D280" t="n">
        <v>26777152</v>
      </c>
      <c r="E280" t="n">
        <v>26777152</v>
      </c>
      <c r="F280" t="inlineStr">
        <is>
          <t>G</t>
        </is>
      </c>
      <c r="G280" t="inlineStr">
        <is>
          <t>A</t>
        </is>
      </c>
      <c r="H280" t="inlineStr">
        <is>
          <t>265.64</t>
        </is>
      </c>
      <c r="I280" t="inlineStr">
        <is>
          <t>33</t>
        </is>
      </c>
      <c r="J280" t="inlineStr">
        <is>
          <t>21,12</t>
        </is>
      </c>
      <c r="K280" t="inlineStr">
        <is>
          <t>.</t>
        </is>
      </c>
      <c r="L280" t="inlineStr">
        <is>
          <t>.</t>
        </is>
      </c>
      <c r="M280">
        <f>HYPERLINK("https://www.genecards.org/Search/Keyword?queryString=%5Baliases%5D(%20ITPR2%20)&amp;keywords=ITPR2", "ITPR2")</f>
        <v/>
      </c>
      <c r="N280" t="inlineStr">
        <is>
          <t>intronic;ncRNA_intronic</t>
        </is>
      </c>
      <c r="O280" t="inlineStr">
        <is>
          <t>.</t>
        </is>
      </c>
      <c r="P280" t="inlineStr">
        <is>
          <t>.</t>
        </is>
      </c>
      <c r="Q280" t="n">
        <v>-1</v>
      </c>
      <c r="R280" t="n">
        <v>-1</v>
      </c>
      <c r="S280" t="n">
        <v>-1</v>
      </c>
      <c r="T280" t="n">
        <v>-1</v>
      </c>
      <c r="U280" t="n">
        <v>-1</v>
      </c>
      <c r="V280" t="inlineStr">
        <is>
          <t>.</t>
        </is>
      </c>
      <c r="W280" t="inlineStr">
        <is>
          <t>.</t>
        </is>
      </c>
      <c r="X280" t="inlineStr">
        <is>
          <t>B</t>
        </is>
      </c>
      <c r="Y280" t="inlineStr">
        <is>
          <t>off</t>
        </is>
      </c>
      <c r="Z280" t="inlineStr">
        <is>
          <t>.</t>
        </is>
      </c>
      <c r="AA280" t="inlineStr">
        <is>
          <t>.</t>
        </is>
      </c>
      <c r="AB280" t="inlineStr">
        <is>
          <t>.</t>
        </is>
      </c>
      <c r="AC280" t="inlineStr">
        <is>
          <t>0/1</t>
        </is>
      </c>
      <c r="AD280" t="inlineStr">
        <is>
          <t>2</t>
        </is>
      </c>
      <c r="AE280" t="inlineStr">
        <is>
          <t>5.7359279512263e-11</t>
        </is>
      </c>
      <c r="AF280" t="inlineStr">
        <is>
          <t>inositol 1,4,5-trisphosphate receptor type 2</t>
        </is>
      </c>
      <c r="AG280" t="inlineStr">
        <is>
          <t xml:space="preserve">FUNCTION: Receptor for inositol 1,4,5-trisphosphate, a second messenger that mediates the release of intracellular calcium. This release is regulated by cAMP both dependently and independently of PKA (By similarity). {ECO:0000250|UniProtKB:Q9Z329}.; </t>
        </is>
      </c>
      <c r="AH280" t="inlineStr">
        <is>
          <t xml:space="preserve">DISEASE: Anhidrosis, isolated, with normal sweat glands (ANHD) [MIM:106190]: An autosomal recessive disorder characterized by generalized, isolated anhidrosis, severe heat intolerance, and morphologically normal eccrine sweat glands. Body growth, teeth, hair, nails, and skin are normal. {ECO:0000269|PubMed:25329695}. Note=The disease is caused by mutations affecting the gene represented in this entry.; </t>
        </is>
      </c>
      <c r="AI280" t="inlineStr">
        <is>
          <t>.</t>
        </is>
      </c>
      <c r="AJ280" t="inlineStr">
        <is>
          <t>.</t>
        </is>
      </c>
      <c r="AK280" t="inlineStr">
        <is>
          <t>.</t>
        </is>
      </c>
      <c r="AL280" t="inlineStr">
        <is>
          <t>.</t>
        </is>
      </c>
    </row>
    <row r="281">
      <c r="A281" t="inlineStr"/>
      <c r="B281">
        <f>HYPERLINK("https://genome.ucsc.edu/cgi-bin/hgTracks?db=hg19&amp;position=chr12%3A43822020%2D43822020", "chr12:43822020")</f>
        <v/>
      </c>
      <c r="C281" t="inlineStr">
        <is>
          <t>chr12</t>
        </is>
      </c>
      <c r="D281" t="n">
        <v>43822020</v>
      </c>
      <c r="E281" t="n">
        <v>43822020</v>
      </c>
      <c r="F281" t="inlineStr">
        <is>
          <t>T</t>
        </is>
      </c>
      <c r="G281" t="inlineStr">
        <is>
          <t>C</t>
        </is>
      </c>
      <c r="H281" t="inlineStr">
        <is>
          <t>956.64</t>
        </is>
      </c>
      <c r="I281" t="inlineStr">
        <is>
          <t>43</t>
        </is>
      </c>
      <c r="J281" t="inlineStr">
        <is>
          <t>11,32</t>
        </is>
      </c>
      <c r="K281" t="inlineStr">
        <is>
          <t>.</t>
        </is>
      </c>
      <c r="L281" t="inlineStr">
        <is>
          <t>.</t>
        </is>
      </c>
      <c r="M281">
        <f>HYPERLINK("https://www.genecards.org/Search/Keyword?queryString=%5Baliases%5D(%20ADAMTS20%20)&amp;keywords=ADAMTS20", "ADAMTS20")</f>
        <v/>
      </c>
      <c r="N281" t="inlineStr">
        <is>
          <t>intronic</t>
        </is>
      </c>
      <c r="O281" t="inlineStr">
        <is>
          <t>.</t>
        </is>
      </c>
      <c r="P281" t="inlineStr">
        <is>
          <t>.</t>
        </is>
      </c>
      <c r="Q281" t="n">
        <v>-1</v>
      </c>
      <c r="R281" t="n">
        <v>-1</v>
      </c>
      <c r="S281" t="n">
        <v>-1</v>
      </c>
      <c r="T281" t="n">
        <v>-1</v>
      </c>
      <c r="U281" t="n">
        <v>-1</v>
      </c>
      <c r="V281" t="inlineStr">
        <is>
          <t>.</t>
        </is>
      </c>
      <c r="W281" t="inlineStr">
        <is>
          <t>.</t>
        </is>
      </c>
      <c r="X281" t="inlineStr">
        <is>
          <t>PD</t>
        </is>
      </c>
      <c r="Y281" t="inlineStr">
        <is>
          <t>off</t>
        </is>
      </c>
      <c r="Z281" t="inlineStr">
        <is>
          <t>.</t>
        </is>
      </c>
      <c r="AA281" t="inlineStr">
        <is>
          <t>.</t>
        </is>
      </c>
      <c r="AB281" t="inlineStr">
        <is>
          <t>.</t>
        </is>
      </c>
      <c r="AC281" t="inlineStr">
        <is>
          <t>0/1</t>
        </is>
      </c>
      <c r="AD281" t="inlineStr">
        <is>
          <t>1</t>
        </is>
      </c>
      <c r="AE281" t="inlineStr">
        <is>
          <t>4.85371907276584e-26</t>
        </is>
      </c>
      <c r="AF281" t="inlineStr">
        <is>
          <t>ADAM metallopeptidase with thrombospondin type 1 motif 20</t>
        </is>
      </c>
      <c r="AG281" t="inlineStr">
        <is>
          <t xml:space="preserve">FUNCTION: May play a role in tissue-remodeling process occurring in both normal and pathological conditions. May have a protease- independent function in the transport from the endoplasmic reticulum to the Golgi apparatus of secretory cargos, mediated by the GON domain.; </t>
        </is>
      </c>
      <c r="AH281" t="inlineStr">
        <is>
          <t>.</t>
        </is>
      </c>
      <c r="AI281" t="inlineStr">
        <is>
          <t>.</t>
        </is>
      </c>
      <c r="AJ281" t="inlineStr">
        <is>
          <t>.</t>
        </is>
      </c>
      <c r="AK281" t="inlineStr">
        <is>
          <t>.</t>
        </is>
      </c>
      <c r="AL281" t="inlineStr">
        <is>
          <t>.</t>
        </is>
      </c>
    </row>
    <row r="282">
      <c r="A282" t="inlineStr"/>
      <c r="B282">
        <f>HYPERLINK("https://genome.ucsc.edu/cgi-bin/hgTracks?db=hg19&amp;position=chr12%3A49949404%2D49949404", "chr12:49949404")</f>
        <v/>
      </c>
      <c r="C282" t="inlineStr">
        <is>
          <t>chr12</t>
        </is>
      </c>
      <c r="D282" t="n">
        <v>49949404</v>
      </c>
      <c r="E282" t="n">
        <v>49949404</v>
      </c>
      <c r="F282" t="inlineStr">
        <is>
          <t>T</t>
        </is>
      </c>
      <c r="G282" t="inlineStr">
        <is>
          <t>G</t>
        </is>
      </c>
      <c r="H282" t="inlineStr">
        <is>
          <t>361.64</t>
        </is>
      </c>
      <c r="I282" t="inlineStr">
        <is>
          <t>66</t>
        </is>
      </c>
      <c r="J282" t="inlineStr">
        <is>
          <t>48,18</t>
        </is>
      </c>
      <c r="K282" t="inlineStr">
        <is>
          <t>.</t>
        </is>
      </c>
      <c r="L282" t="inlineStr">
        <is>
          <t>.</t>
        </is>
      </c>
      <c r="M282">
        <f>HYPERLINK("https://www.genecards.org/Search/Keyword?queryString=%5Baliases%5D(%20KCNH3%20)&amp;keywords=KCNH3", "KCNH3")</f>
        <v/>
      </c>
      <c r="N282" t="inlineStr">
        <is>
          <t>exonic</t>
        </is>
      </c>
      <c r="O282" t="inlineStr">
        <is>
          <t>nonsynonymous SNV</t>
        </is>
      </c>
      <c r="P282" t="inlineStr">
        <is>
          <t>KCNH3:NM_001314030:exon12:c.T1958G:p.V653G,KCNH3:NM_012284:exon12:c.T2138G:p.V713G;KCNH3:uc001ruh.1:exon12:c.T2138G:p.V713G,KCNH3:uc010smj.1:exon12:c.T1958G:p.V653G;KCNH3:ENST00000257981.7_3:exon12:c.T2138G:p.V713G</t>
        </is>
      </c>
      <c r="Q282" t="n">
        <v>-1</v>
      </c>
      <c r="R282" t="n">
        <v>-1</v>
      </c>
      <c r="S282" t="n">
        <v>-1</v>
      </c>
      <c r="T282" t="n">
        <v>-1</v>
      </c>
      <c r="U282" t="n">
        <v>-1</v>
      </c>
      <c r="V282" t="inlineStr">
        <is>
          <t>5/12</t>
        </is>
      </c>
      <c r="W282" t="inlineStr">
        <is>
          <t>T</t>
        </is>
      </c>
      <c r="X282" t="inlineStr">
        <is>
          <t>.</t>
        </is>
      </c>
      <c r="Y282" t="inlineStr">
        <is>
          <t>.</t>
        </is>
      </c>
      <c r="Z282" t="inlineStr">
        <is>
          <t>0/7</t>
        </is>
      </c>
      <c r="AA282" t="inlineStr">
        <is>
          <t>Uncertain significance</t>
        </is>
      </c>
      <c r="AB282" t="inlineStr">
        <is>
          <t>.</t>
        </is>
      </c>
      <c r="AC282" t="inlineStr">
        <is>
          <t>0/1</t>
        </is>
      </c>
      <c r="AD282" t="inlineStr">
        <is>
          <t>1</t>
        </is>
      </c>
      <c r="AE282" t="inlineStr">
        <is>
          <t>0.999889995234816</t>
        </is>
      </c>
      <c r="AF282" t="inlineStr">
        <is>
          <t>potassium voltage-gated channel subfamily H member 3</t>
        </is>
      </c>
      <c r="AG282" t="inlineStr">
        <is>
          <t xml:space="preserve">FUNCTION: Pore-forming (alpha) subunit of voltage-gated potassium channel. Elicits an outward current with fast inactivation. Channel properties may be modulated by cAMP and subunit assembly.; </t>
        </is>
      </c>
      <c r="AH282" t="inlineStr">
        <is>
          <t>.</t>
        </is>
      </c>
      <c r="AI282" t="inlineStr">
        <is>
          <t>.</t>
        </is>
      </c>
      <c r="AJ282" t="inlineStr">
        <is>
          <t>.</t>
        </is>
      </c>
      <c r="AK282" t="inlineStr">
        <is>
          <t>.</t>
        </is>
      </c>
      <c r="AL282" t="inlineStr">
        <is>
          <t>.</t>
        </is>
      </c>
    </row>
    <row r="283">
      <c r="A283" t="inlineStr"/>
      <c r="B283">
        <f>HYPERLINK("https://genome.ucsc.edu/cgi-bin/hgTracks?db=hg19&amp;position=chr12%3A50291798%2D50291798", "chr12:50291798")</f>
        <v/>
      </c>
      <c r="C283" t="inlineStr">
        <is>
          <t>chr12</t>
        </is>
      </c>
      <c r="D283" t="n">
        <v>50291798</v>
      </c>
      <c r="E283" t="n">
        <v>50291798</v>
      </c>
      <c r="F283" t="inlineStr">
        <is>
          <t>T</t>
        </is>
      </c>
      <c r="G283" t="inlineStr">
        <is>
          <t>C</t>
        </is>
      </c>
      <c r="H283" t="inlineStr">
        <is>
          <t>1085.64</t>
        </is>
      </c>
      <c r="I283" t="inlineStr">
        <is>
          <t>66</t>
        </is>
      </c>
      <c r="J283" t="inlineStr">
        <is>
          <t>18,48</t>
        </is>
      </c>
      <c r="K283" t="inlineStr">
        <is>
          <t>.</t>
        </is>
      </c>
      <c r="L283">
        <f>HYPERLINK("https://www.ncbi.nlm.nih.gov/snp/rs149184489", "rs149184489")</f>
        <v/>
      </c>
      <c r="M283">
        <f>HYPERLINK("https://www.genecards.org/Search/Keyword?queryString=%5Baliases%5D(%20FAIM2%20)&amp;keywords=FAIM2", "FAIM2")</f>
        <v/>
      </c>
      <c r="N283" t="inlineStr">
        <is>
          <t>exonic</t>
        </is>
      </c>
      <c r="O283" t="inlineStr">
        <is>
          <t>nonsynonymous SNV</t>
        </is>
      </c>
      <c r="P283" t="inlineStr">
        <is>
          <t>FAIM2:NM_012306:exon3:c.A287G:p.Q96R;FAIM2:uc001rvi.2:exon2:c.A149G:p.Q50R,FAIM2:uc001rvj.2:exon3:c.A287G:p.Q96R;FAIM2:ENST00000550890.5_3:exon2:c.A149G:p.Q50R,FAIM2:ENST00000320634.8_5:exon3:c.A287G:p.Q96R</t>
        </is>
      </c>
      <c r="Q283" t="n">
        <v>0.002924</v>
      </c>
      <c r="R283" t="n">
        <v>0.002</v>
      </c>
      <c r="S283" t="n">
        <v>0.0019</v>
      </c>
      <c r="T283" t="n">
        <v>-1</v>
      </c>
      <c r="U283" t="n">
        <v>0.0018</v>
      </c>
      <c r="V283" t="inlineStr">
        <is>
          <t>3/11</t>
        </is>
      </c>
      <c r="W283" t="inlineStr">
        <is>
          <t>.</t>
        </is>
      </c>
      <c r="X283" t="inlineStr">
        <is>
          <t>.</t>
        </is>
      </c>
      <c r="Y283" t="inlineStr">
        <is>
          <t>.</t>
        </is>
      </c>
      <c r="Z283" t="inlineStr">
        <is>
          <t>2/7</t>
        </is>
      </c>
      <c r="AA283" t="inlineStr">
        <is>
          <t>Uncertain significance</t>
        </is>
      </c>
      <c r="AB283" t="inlineStr">
        <is>
          <t>.</t>
        </is>
      </c>
      <c r="AC283" t="inlineStr">
        <is>
          <t>0/1</t>
        </is>
      </c>
      <c r="AD283" t="inlineStr">
        <is>
          <t>1</t>
        </is>
      </c>
      <c r="AE283" t="inlineStr">
        <is>
          <t>0.619353001444294</t>
        </is>
      </c>
      <c r="AF283" t="inlineStr">
        <is>
          <t>Fas apoptotic inhibitory molecule 2</t>
        </is>
      </c>
      <c r="AG283" t="inlineStr">
        <is>
          <t xml:space="preserve">FUNCTION: Antiapoptotic protein which protects cells uniquely from Fas-induced apoptosis. Regulates Fas-mediated apoptosis in neurons by interfering with caspase-8 activation. May play a role in cerebellar development by affecting cerebellar size, internal granular layer (IGL) thickness, and Purkinje cell (PC) development. {ECO:0000269|PubMed:10535980, ECO:0000269|PubMed:17635665}.; </t>
        </is>
      </c>
      <c r="AH283" t="inlineStr">
        <is>
          <t>.</t>
        </is>
      </c>
      <c r="AI283" t="inlineStr">
        <is>
          <t>.</t>
        </is>
      </c>
      <c r="AJ283" t="inlineStr">
        <is>
          <t>.</t>
        </is>
      </c>
      <c r="AK283" t="inlineStr">
        <is>
          <t>.</t>
        </is>
      </c>
      <c r="AL283" t="inlineStr">
        <is>
          <t>.</t>
        </is>
      </c>
    </row>
    <row r="284">
      <c r="A284" t="inlineStr"/>
      <c r="B284">
        <f>HYPERLINK("https://genome.ucsc.edu/cgi-bin/hgTracks?db=hg19&amp;position=chr12%3A50350800%2D50350800", "chr12:50350800")</f>
        <v/>
      </c>
      <c r="C284" t="inlineStr">
        <is>
          <t>chr12</t>
        </is>
      </c>
      <c r="D284" t="n">
        <v>50350800</v>
      </c>
      <c r="E284" t="n">
        <v>50350800</v>
      </c>
      <c r="F284" t="inlineStr">
        <is>
          <t>T</t>
        </is>
      </c>
      <c r="G284" t="inlineStr">
        <is>
          <t>-</t>
        </is>
      </c>
      <c r="H284" t="inlineStr">
        <is>
          <t>46.60</t>
        </is>
      </c>
      <c r="I284" t="inlineStr">
        <is>
          <t>9</t>
        </is>
      </c>
      <c r="J284" t="inlineStr">
        <is>
          <t>7,2</t>
        </is>
      </c>
      <c r="K284" t="inlineStr">
        <is>
          <t>.</t>
        </is>
      </c>
      <c r="L284" t="inlineStr">
        <is>
          <t>.</t>
        </is>
      </c>
      <c r="M284">
        <f>HYPERLINK("https://www.genecards.org/Search/Keyword?queryString=%5Baliases%5D(%20AQP2%20)%20OR%20%5Baliases%5D(%20LOC101927318%20)&amp;keywords=AQP2,LOC101927318", "AQP2;LOC101927318")</f>
        <v/>
      </c>
      <c r="N284" t="inlineStr">
        <is>
          <t>UTR3;ncRNA_intronic</t>
        </is>
      </c>
      <c r="O284" t="inlineStr">
        <is>
          <t>.</t>
        </is>
      </c>
      <c r="P284" t="inlineStr">
        <is>
          <t>uc001rvn.3:c.*1409delT</t>
        </is>
      </c>
      <c r="Q284" t="n">
        <v>-1</v>
      </c>
      <c r="R284" t="n">
        <v>-1</v>
      </c>
      <c r="S284" t="n">
        <v>-1</v>
      </c>
      <c r="T284" t="n">
        <v>-1</v>
      </c>
      <c r="U284" t="n">
        <v>-1</v>
      </c>
      <c r="V284" t="inlineStr">
        <is>
          <t>.</t>
        </is>
      </c>
      <c r="W284" t="inlineStr">
        <is>
          <t>.</t>
        </is>
      </c>
      <c r="X284" t="inlineStr">
        <is>
          <t>.</t>
        </is>
      </c>
      <c r="Y284" t="inlineStr">
        <is>
          <t>.</t>
        </is>
      </c>
      <c r="Z284" t="inlineStr">
        <is>
          <t>.</t>
        </is>
      </c>
      <c r="AA284" t="inlineStr">
        <is>
          <t>.</t>
        </is>
      </c>
      <c r="AB284" t="inlineStr">
        <is>
          <t>.</t>
        </is>
      </c>
      <c r="AC284" t="inlineStr">
        <is>
          <t>0/1</t>
        </is>
      </c>
      <c r="AD284" t="inlineStr">
        <is>
          <t>1;1</t>
        </is>
      </c>
      <c r="AE284" t="inlineStr">
        <is>
          <t>4.17696058293906e-06</t>
        </is>
      </c>
      <c r="AF284" t="inlineStr">
        <is>
          <t>aquaporin 2</t>
        </is>
      </c>
      <c r="AG284" t="inlineStr">
        <is>
          <t xml:space="preserve">FUNCTION: Forms a water-specific channel that provides the plasma membranes of renal collecting duct with high permeability to water, thereby permitting water to move in the direction of an osmotic gradient.; </t>
        </is>
      </c>
      <c r="AH284" t="inlineStr">
        <is>
          <t xml:space="preserve">DISEASE: Diabetes insipidus, nephrogenic, autosomal (ANDI) [MIM:125800]: A disorder caused by the inability of the renal collecting ducts to absorb water in response to arginine vasopressin. Characterized by excessive water drinking (polydipsia), excessive urine excretion (polyuria), persistent hypotonic urine, and hypokalemia. Inheritance can be autosomal dominant or recessive. {ECO:0000269|PubMed:12050236, ECO:0000269|PubMed:12191971, ECO:0000269|PubMed:15509592, ECO:0000269|PubMed:16120822, ECO:0000269|PubMed:16361827, ECO:0000269|PubMed:16845277, ECO:0000269|PubMed:19585583, ECO:0000269|PubMed:24944815, ECO:0000269|PubMed:7524315, ECO:0000269|PubMed:8882880, ECO:0000269|PubMed:9048343, ECO:0000269|PubMed:9302264, ECO:0000269|PubMed:9402087, ECO:0000269|PubMed:9550615, ECO:0000269|PubMed:9649557, ECO:0000269|PubMed:9745427}. Note=The disease is caused by mutations affecting the gene represented in this entry.; </t>
        </is>
      </c>
      <c r="AI284" t="inlineStr">
        <is>
          <t>.</t>
        </is>
      </c>
      <c r="AJ284" t="inlineStr">
        <is>
          <t>.</t>
        </is>
      </c>
      <c r="AK284" t="inlineStr">
        <is>
          <t>.</t>
        </is>
      </c>
      <c r="AL284" t="inlineStr">
        <is>
          <t>.</t>
        </is>
      </c>
    </row>
    <row r="285">
      <c r="A285" t="inlineStr"/>
      <c r="B285">
        <f>HYPERLINK("https://genome.ucsc.edu/cgi-bin/hgTracks?db=hg19&amp;position=chr12%3A51135199%2D51135199", "chr12:51135199")</f>
        <v/>
      </c>
      <c r="C285" t="inlineStr">
        <is>
          <t>chr12</t>
        </is>
      </c>
      <c r="D285" t="n">
        <v>51135199</v>
      </c>
      <c r="E285" t="n">
        <v>51135199</v>
      </c>
      <c r="F285" t="inlineStr">
        <is>
          <t>A</t>
        </is>
      </c>
      <c r="G285" t="inlineStr">
        <is>
          <t>C</t>
        </is>
      </c>
      <c r="H285" t="inlineStr">
        <is>
          <t>198.64</t>
        </is>
      </c>
      <c r="I285" t="inlineStr">
        <is>
          <t>51</t>
        </is>
      </c>
      <c r="J285" t="inlineStr">
        <is>
          <t>38,13</t>
        </is>
      </c>
      <c r="K285" t="inlineStr">
        <is>
          <t>.</t>
        </is>
      </c>
      <c r="L285" t="inlineStr">
        <is>
          <t>.</t>
        </is>
      </c>
      <c r="M285">
        <f>HYPERLINK("https://www.genecards.org/Search/Keyword?queryString=%5Baliases%5D(%20DIP2B%20)&amp;keywords=DIP2B", "DIP2B")</f>
        <v/>
      </c>
      <c r="N285" t="inlineStr">
        <is>
          <t>exonic</t>
        </is>
      </c>
      <c r="O285" t="inlineStr">
        <is>
          <t>nonsynonymous SNV</t>
        </is>
      </c>
      <c r="P285" t="inlineStr">
        <is>
          <t>DIP2B:NM_173602:exon37:c.A4355C:p.E1452A;DIP2B:uc009zlt.3:exon26:c.A2645C:p.E882A,DIP2B:uc001rwv.3:exon37:c.A4355C:p.E1452A;DIP2B:ENST00000301180.10_3:exon37:c.A4355C:p.E1452A</t>
        </is>
      </c>
      <c r="Q285" t="n">
        <v>-1</v>
      </c>
      <c r="R285" t="n">
        <v>-1</v>
      </c>
      <c r="S285" t="n">
        <v>-1</v>
      </c>
      <c r="T285" t="n">
        <v>-1</v>
      </c>
      <c r="U285" t="n">
        <v>-1</v>
      </c>
      <c r="V285" t="inlineStr">
        <is>
          <t>6/12</t>
        </is>
      </c>
      <c r="W285" t="inlineStr">
        <is>
          <t>T</t>
        </is>
      </c>
      <c r="X285" t="inlineStr">
        <is>
          <t>.</t>
        </is>
      </c>
      <c r="Y285" t="inlineStr">
        <is>
          <t>.</t>
        </is>
      </c>
      <c r="Z285" t="inlineStr">
        <is>
          <t>4/7</t>
        </is>
      </c>
      <c r="AA285" t="inlineStr">
        <is>
          <t>Uncertain significance</t>
        </is>
      </c>
      <c r="AB285" t="inlineStr">
        <is>
          <t>.</t>
        </is>
      </c>
      <c r="AC285" t="inlineStr">
        <is>
          <t>0/1</t>
        </is>
      </c>
      <c r="AD285" t="inlineStr">
        <is>
          <t>1</t>
        </is>
      </c>
      <c r="AE285" t="inlineStr">
        <is>
          <t>0.999668381879693</t>
        </is>
      </c>
      <c r="AF285" t="inlineStr">
        <is>
          <t>disco interacting protein 2 homolog B</t>
        </is>
      </c>
      <c r="AG285" t="inlineStr">
        <is>
          <t>.</t>
        </is>
      </c>
      <c r="AH285" t="inlineStr">
        <is>
          <t>.</t>
        </is>
      </c>
      <c r="AI285" t="inlineStr">
        <is>
          <t>.</t>
        </is>
      </c>
      <c r="AJ285" t="inlineStr">
        <is>
          <t>.</t>
        </is>
      </c>
      <c r="AK285" t="inlineStr">
        <is>
          <t>.</t>
        </is>
      </c>
      <c r="AL285" t="inlineStr">
        <is>
          <t>.</t>
        </is>
      </c>
    </row>
    <row r="286">
      <c r="A286" t="inlineStr"/>
      <c r="B286">
        <f>HYPERLINK("https://genome.ucsc.edu/cgi-bin/hgTracks?db=hg19&amp;position=chr12%3A53045527%2D53045527", "chr12:53045527")</f>
        <v/>
      </c>
      <c r="C286" t="inlineStr">
        <is>
          <t>chr12</t>
        </is>
      </c>
      <c r="D286" t="n">
        <v>53045527</v>
      </c>
      <c r="E286" t="n">
        <v>53045527</v>
      </c>
      <c r="F286" t="inlineStr">
        <is>
          <t>C</t>
        </is>
      </c>
      <c r="G286" t="inlineStr">
        <is>
          <t>T</t>
        </is>
      </c>
      <c r="H286" t="inlineStr">
        <is>
          <t>2352.64</t>
        </is>
      </c>
      <c r="I286" t="inlineStr">
        <is>
          <t>125</t>
        </is>
      </c>
      <c r="J286" t="inlineStr">
        <is>
          <t>39,86</t>
        </is>
      </c>
      <c r="K286" t="inlineStr">
        <is>
          <t>.</t>
        </is>
      </c>
      <c r="L286" t="inlineStr">
        <is>
          <t>.</t>
        </is>
      </c>
      <c r="M286">
        <f>HYPERLINK("https://www.genecards.org/Search/Keyword?queryString=%5Baliases%5D(%20KRT2%20)&amp;keywords=KRT2", "KRT2")</f>
        <v/>
      </c>
      <c r="N286" t="inlineStr">
        <is>
          <t>exonic</t>
        </is>
      </c>
      <c r="O286" t="inlineStr">
        <is>
          <t>nonsynonymous SNV</t>
        </is>
      </c>
      <c r="P286" t="inlineStr">
        <is>
          <t>KRT2:NM_000423:exon1:c.G400A:p.G134S;KRT2:uc001sat.3:exon1:c.G400A:p.G134S;KRT2:ENST00000309680.4_5:exon1:c.G400A:p.G134S</t>
        </is>
      </c>
      <c r="Q286" t="n">
        <v>-1</v>
      </c>
      <c r="R286" t="n">
        <v>-1</v>
      </c>
      <c r="S286" t="n">
        <v>-1</v>
      </c>
      <c r="T286" t="n">
        <v>-1</v>
      </c>
      <c r="U286" t="n">
        <v>-1</v>
      </c>
      <c r="V286" t="inlineStr">
        <is>
          <t>7/11</t>
        </is>
      </c>
      <c r="W286" t="inlineStr">
        <is>
          <t>.</t>
        </is>
      </c>
      <c r="X286" t="inlineStr">
        <is>
          <t>.</t>
        </is>
      </c>
      <c r="Y286" t="inlineStr">
        <is>
          <t>.</t>
        </is>
      </c>
      <c r="Z286" t="inlineStr">
        <is>
          <t>1/7</t>
        </is>
      </c>
      <c r="AA286" t="inlineStr">
        <is>
          <t>Uncertain significance</t>
        </is>
      </c>
      <c r="AB286" t="inlineStr">
        <is>
          <t>.</t>
        </is>
      </c>
      <c r="AC286" t="inlineStr">
        <is>
          <t>0/1</t>
        </is>
      </c>
      <c r="AD286" t="inlineStr">
        <is>
          <t>1</t>
        </is>
      </c>
      <c r="AE286" t="inlineStr">
        <is>
          <t>0.0673499186894365</t>
        </is>
      </c>
      <c r="AF286" t="inlineStr">
        <is>
          <t>keratin 2</t>
        </is>
      </c>
      <c r="AG286" t="inlineStr">
        <is>
          <t xml:space="preserve">FUNCTION: Probably contributes to terminal cornification. Associated with keratinocyte activation, proliferation and keratinization. {ECO:0000269|PubMed:12598329, ECO:0000269|PubMed:1380918}.; </t>
        </is>
      </c>
      <c r="AH286" t="inlineStr">
        <is>
          <t xml:space="preserve">DISEASE: Ichthyosis bullosa of Siemens (IBS) [MIM:146800]: A rare autosomal dominant skin disorder displaying a type of epidermolytic hyperkeratosis characterized by generalized erythema and extensive blistering from birth. Large, dark gray hyperkeratoses are observed in later weeks. The skin of IBS patients is unusually fragile and has a tendency to shed the outer layers of the epidermis, producing localized denuded areas (molting effect). IBS usually improves with age so that in most middle-aged patients the hyperkeratosis and keratotic lichenification is limited to the flexural folds of the major joints. {ECO:0000269|PubMed:10084318, ECO:0000269|PubMed:10233323, ECO:0000269|PubMed:10564334, ECO:0000269|PubMed:10620137, ECO:0000269|PubMed:10688369, ECO:0000269|PubMed:11167982, ECO:0000269|PubMed:11531804, ECO:0000269|PubMed:15949009, ECO:0000269|PubMed:7521371, ECO:0000269|PubMed:7524919, ECO:0000269|PubMed:8077693, ECO:0000269|PubMed:9036938, ECO:0000269|PubMed:9204966, ECO:0000269|PubMed:9804344, ECO:0000269|PubMed:9833038}. Note=The disease is caused by mutations affecting the gene represented in this entry.; </t>
        </is>
      </c>
      <c r="AI286" t="inlineStr">
        <is>
          <t>.</t>
        </is>
      </c>
      <c r="AJ286" t="inlineStr">
        <is>
          <t>.</t>
        </is>
      </c>
      <c r="AK286" t="inlineStr">
        <is>
          <t>.</t>
        </is>
      </c>
      <c r="AL286" t="inlineStr">
        <is>
          <t>.</t>
        </is>
      </c>
    </row>
    <row r="287">
      <c r="A287" t="inlineStr"/>
      <c r="B287">
        <f>HYPERLINK("https://genome.ucsc.edu/cgi-bin/hgTracks?db=hg19&amp;position=chr12%3A56488312%2D56488312", "chr12:56488312")</f>
        <v/>
      </c>
      <c r="C287" t="inlineStr">
        <is>
          <t>chr12</t>
        </is>
      </c>
      <c r="D287" t="n">
        <v>56488312</v>
      </c>
      <c r="E287" t="n">
        <v>56488312</v>
      </c>
      <c r="F287" t="inlineStr">
        <is>
          <t>C</t>
        </is>
      </c>
      <c r="G287" t="inlineStr">
        <is>
          <t>T</t>
        </is>
      </c>
      <c r="H287" t="inlineStr">
        <is>
          <t>1640.64</t>
        </is>
      </c>
      <c r="I287" t="inlineStr">
        <is>
          <t>94</t>
        </is>
      </c>
      <c r="J287" t="inlineStr">
        <is>
          <t>33,61</t>
        </is>
      </c>
      <c r="K287" t="inlineStr">
        <is>
          <t>.</t>
        </is>
      </c>
      <c r="L287">
        <f>HYPERLINK("https://www.ncbi.nlm.nih.gov/snp/rs373609369", "rs373609369")</f>
        <v/>
      </c>
      <c r="M287">
        <f>HYPERLINK("https://www.genecards.org/Search/Keyword?queryString=%5Baliases%5D(%20ERBB3%20)&amp;keywords=ERBB3", "ERBB3")</f>
        <v/>
      </c>
      <c r="N287" t="inlineStr">
        <is>
          <t>exonic</t>
        </is>
      </c>
      <c r="O287" t="inlineStr">
        <is>
          <t>nonsynonymous SNV</t>
        </is>
      </c>
      <c r="P287" t="inlineStr">
        <is>
          <t>ERBB3:NM_001982:exon15:c.C1831T:p.R611W;ERBB3:uc009zok.3:exon3:c.C157T:p.R53W,ERBB3:uc001sjh.3:exon15:c.C1831T:p.R611W,ERBB3:uc010sqc.2:exon16:c.C1654T:p.R552W;ERBB3:ENST00000267101.8_3:exon15:c.C1831T:p.R611W,ERBB3:ENST00000683018.1_1:exon15:c.C1654T:p.R552W,ERBB3:ENST00000683059.1_1:exon15:c.C1654T:p.R552W,ERBB3:ENST00000683164.1_1:exon15:c.C1654T:p.R552W,ERBB3:ENST00000415288.6_1:exon16:c.C1654T:p.R552W</t>
        </is>
      </c>
      <c r="Q287" t="n">
        <v>0.008621</v>
      </c>
      <c r="R287" t="n">
        <v>9.022e-05</v>
      </c>
      <c r="S287" t="n">
        <v>-1</v>
      </c>
      <c r="T287" t="n">
        <v>-1</v>
      </c>
      <c r="U287" t="n">
        <v>-1</v>
      </c>
      <c r="V287" t="inlineStr">
        <is>
          <t>4/11</t>
        </is>
      </c>
      <c r="W287" t="inlineStr">
        <is>
          <t>.</t>
        </is>
      </c>
      <c r="X287" t="inlineStr">
        <is>
          <t>.</t>
        </is>
      </c>
      <c r="Y287" t="inlineStr">
        <is>
          <t>.</t>
        </is>
      </c>
      <c r="Z287" t="inlineStr">
        <is>
          <t>1/7</t>
        </is>
      </c>
      <c r="AA287" t="inlineStr">
        <is>
          <t>Uncertain significance</t>
        </is>
      </c>
      <c r="AB287" t="inlineStr">
        <is>
          <t>.</t>
        </is>
      </c>
      <c r="AC287" t="inlineStr">
        <is>
          <t>0/1</t>
        </is>
      </c>
      <c r="AD287" t="inlineStr">
        <is>
          <t>1</t>
        </is>
      </c>
      <c r="AE287" t="inlineStr">
        <is>
          <t>4.35825057327711e-06</t>
        </is>
      </c>
      <c r="AF287" t="inlineStr">
        <is>
          <t>erb-b2 receptor tyrosine kinase 3</t>
        </is>
      </c>
      <c r="AG287" t="inlineStr">
        <is>
          <t xml:space="preserve">FUNCTION: Binds and is activated by neuregulins and NTAK. May also be activated by CSPG5. {ECO:0000269|PubMed:15358134}.; </t>
        </is>
      </c>
      <c r="AH287" t="inlineStr">
        <is>
          <t xml:space="preserve">DISEASE: Lethal congenital contracture syndrome 2 (LCCS2) [MIM:607598]: A form of lethal congenital contracture syndrome, an autosomal recessive disorder characterized by degeneration of anterior horn neurons, extreme skeletal muscle atrophy, and congenital non-progressive joint contractures (arthrogryposis). The contractures can involve the upper or lower limbs and/or the vertebral column, leading to various degrees of flexion or extension limitations evident at birth. LCCS2 patients manifest craniofacial/ocular findings, lack of hydrops, multiple pterygia, and fractures, as well as a normal duration of pregnancy and a unique feature of a markedly distended urinary bladder (neurogenic bladder defect). The phenotype suggests a spinal cord neuropathic etiology. {ECO:0000269|PubMed:17701904}. Note=The disease is caused by mutations affecting the gene represented in this entry.; </t>
        </is>
      </c>
      <c r="AI287" t="inlineStr">
        <is>
          <t>.</t>
        </is>
      </c>
      <c r="AJ287" t="inlineStr">
        <is>
          <t>.</t>
        </is>
      </c>
      <c r="AK287" t="inlineStr">
        <is>
          <t>.</t>
        </is>
      </c>
      <c r="AL287" t="inlineStr">
        <is>
          <t>.</t>
        </is>
      </c>
    </row>
    <row r="288">
      <c r="A288" t="inlineStr"/>
      <c r="B288">
        <f>HYPERLINK("https://genome.ucsc.edu/cgi-bin/hgTracks?db=hg19&amp;position=chr12%3A56532395%2D56532395", "chr12:56532395")</f>
        <v/>
      </c>
      <c r="C288" t="inlineStr">
        <is>
          <t>chr12</t>
        </is>
      </c>
      <c r="D288" t="n">
        <v>56532395</v>
      </c>
      <c r="E288" t="n">
        <v>56532395</v>
      </c>
      <c r="F288" t="inlineStr">
        <is>
          <t>G</t>
        </is>
      </c>
      <c r="G288" t="inlineStr">
        <is>
          <t>A</t>
        </is>
      </c>
      <c r="H288" t="inlineStr">
        <is>
          <t>403.64</t>
        </is>
      </c>
      <c r="I288" t="inlineStr">
        <is>
          <t>17</t>
        </is>
      </c>
      <c r="J288" t="inlineStr">
        <is>
          <t>6,11</t>
        </is>
      </c>
      <c r="K288" t="inlineStr">
        <is>
          <t>.</t>
        </is>
      </c>
      <c r="L288">
        <f>HYPERLINK("https://www.ncbi.nlm.nih.gov/snp/rs80303681", "rs80303681")</f>
        <v/>
      </c>
      <c r="M288">
        <f>HYPERLINK("https://www.genecards.org/Search/Keyword?queryString=%5Baliases%5D(%20ESYT1%20)&amp;keywords=ESYT1", "ESYT1")</f>
        <v/>
      </c>
      <c r="N288" t="inlineStr">
        <is>
          <t>intronic</t>
        </is>
      </c>
      <c r="O288" t="inlineStr">
        <is>
          <t>.</t>
        </is>
      </c>
      <c r="P288" t="inlineStr">
        <is>
          <t>.</t>
        </is>
      </c>
      <c r="Q288" t="n">
        <v>0.015599</v>
      </c>
      <c r="R288" t="n">
        <v>0.0144</v>
      </c>
      <c r="S288" t="n">
        <v>0.0103</v>
      </c>
      <c r="T288" t="n">
        <v>-1</v>
      </c>
      <c r="U288" t="n">
        <v>0.0105</v>
      </c>
      <c r="V288" t="inlineStr">
        <is>
          <t>.</t>
        </is>
      </c>
      <c r="W288" t="inlineStr">
        <is>
          <t>.</t>
        </is>
      </c>
      <c r="X288" t="inlineStr">
        <is>
          <t>D</t>
        </is>
      </c>
      <c r="Y288" t="inlineStr">
        <is>
          <t>off</t>
        </is>
      </c>
      <c r="Z288" t="inlineStr">
        <is>
          <t>.</t>
        </is>
      </c>
      <c r="AA288" t="inlineStr">
        <is>
          <t>.</t>
        </is>
      </c>
      <c r="AB288" t="inlineStr">
        <is>
          <t>.</t>
        </is>
      </c>
      <c r="AC288" t="inlineStr">
        <is>
          <t>0/1</t>
        </is>
      </c>
      <c r="AD288" t="inlineStr">
        <is>
          <t>1</t>
        </is>
      </c>
      <c r="AE288" t="inlineStr">
        <is>
          <t>2.14071709405869e-07</t>
        </is>
      </c>
      <c r="AF288" t="inlineStr">
        <is>
          <t>extended synaptotagmin protein 1</t>
        </is>
      </c>
      <c r="AG288" t="inlineStr">
        <is>
          <t xml:space="preserve">FUNCTION: Binds glycerophospholipids in a barrel-like domain and may play a role in cellular lipid transport (By similarity). Binds calcium (via the C2 domains) and translocates to sites of contact between the endoplasmic reticulum and the cell membrane in response to increased cytosolic calcium levels. Helps tether the endoplasmic reticulum to the cell membrane and promotes the formation of appositions between the endoplasmic reticulum and the cell membrane. {ECO:0000250, ECO:0000269|PubMed:23791178, ECO:0000269|PubMed:24183667}.; </t>
        </is>
      </c>
      <c r="AH288" t="inlineStr">
        <is>
          <t>.</t>
        </is>
      </c>
      <c r="AI288" t="inlineStr">
        <is>
          <t>.</t>
        </is>
      </c>
      <c r="AJ288" t="inlineStr">
        <is>
          <t>.</t>
        </is>
      </c>
      <c r="AK288" t="inlineStr">
        <is>
          <t>.</t>
        </is>
      </c>
      <c r="AL288" t="inlineStr">
        <is>
          <t>.</t>
        </is>
      </c>
    </row>
    <row r="289">
      <c r="A289" t="inlineStr"/>
      <c r="B289">
        <f>HYPERLINK("https://genome.ucsc.edu/cgi-bin/hgTracks?db=hg19&amp;position=chr12%3A58006749%2D58006749", "chr12:58006749")</f>
        <v/>
      </c>
      <c r="C289" t="inlineStr">
        <is>
          <t>chr12</t>
        </is>
      </c>
      <c r="D289" t="n">
        <v>58006749</v>
      </c>
      <c r="E289" t="n">
        <v>58006749</v>
      </c>
      <c r="F289" t="inlineStr">
        <is>
          <t>C</t>
        </is>
      </c>
      <c r="G289" t="inlineStr">
        <is>
          <t>T</t>
        </is>
      </c>
      <c r="H289" t="inlineStr">
        <is>
          <t>1150.64</t>
        </is>
      </c>
      <c r="I289" t="inlineStr">
        <is>
          <t>61</t>
        </is>
      </c>
      <c r="J289" t="inlineStr">
        <is>
          <t>18,43</t>
        </is>
      </c>
      <c r="K289" t="inlineStr">
        <is>
          <t>.</t>
        </is>
      </c>
      <c r="L289">
        <f>HYPERLINK("https://www.ncbi.nlm.nih.gov/snp/rs376912565", "rs376912565")</f>
        <v/>
      </c>
      <c r="M289">
        <f>HYPERLINK("https://www.genecards.org/Search/Keyword?queryString=%5Baliases%5D(%20ARHGEF25%20)&amp;keywords=ARHGEF25", "ARHGEF25")</f>
        <v/>
      </c>
      <c r="N289" t="inlineStr">
        <is>
          <t>exonic</t>
        </is>
      </c>
      <c r="O289" t="inlineStr">
        <is>
          <t>nonsynonymous SNV</t>
        </is>
      </c>
      <c r="P289" t="inlineStr">
        <is>
          <t>ARHGEF25:NM_001347933:exon2:c.C134T:p.S45L,ARHGEF25:NM_182947:exon2:c.C134T:p.S45L,ARHGEF25:NM_001111270:exon3:c.C251T:p.S84L;ARHGEF25:uc001spb.4:exon2:c.C134T:p.S45L,ARHGEF25:uc009zpy.4:exon3:c.C251T:p.S84L;ARHGEF25:ENST00000286494.9_7:exon2:c.C134T:p.S45L,ARHGEF25:ENST00000333972.11_5:exon3:c.C251T:p.S84L</t>
        </is>
      </c>
      <c r="Q289" t="n">
        <v>0.0002</v>
      </c>
      <c r="R289" t="n">
        <v>0.0003</v>
      </c>
      <c r="S289" t="n">
        <v>0.0002</v>
      </c>
      <c r="T289" t="n">
        <v>-1</v>
      </c>
      <c r="U289" t="n">
        <v>-1</v>
      </c>
      <c r="V289" t="inlineStr">
        <is>
          <t>7/11</t>
        </is>
      </c>
      <c r="W289" t="inlineStr">
        <is>
          <t>.</t>
        </is>
      </c>
      <c r="X289" t="inlineStr">
        <is>
          <t>.</t>
        </is>
      </c>
      <c r="Y289" t="inlineStr">
        <is>
          <t>.</t>
        </is>
      </c>
      <c r="Z289" t="inlineStr">
        <is>
          <t>0/7</t>
        </is>
      </c>
      <c r="AA289" t="inlineStr">
        <is>
          <t>Uncertain significance</t>
        </is>
      </c>
      <c r="AB289" t="inlineStr">
        <is>
          <t>.</t>
        </is>
      </c>
      <c r="AC289" t="inlineStr">
        <is>
          <t>0/1</t>
        </is>
      </c>
      <c r="AD289" t="inlineStr">
        <is>
          <t>1</t>
        </is>
      </c>
      <c r="AE289" t="inlineStr">
        <is>
          <t>5.17606707704438e-06</t>
        </is>
      </c>
      <c r="AF289" t="inlineStr">
        <is>
          <t>Rho guanine nucleotide exchange factor 25</t>
        </is>
      </c>
      <c r="AG289" t="inlineStr">
        <is>
          <t xml:space="preserve">FUNCTION: May play a role in actin cytoskeleton reorganization in different tissues since its activation induces formation of actin stress fibers. It works as a guanine nucleotide exchange factor for Rho family of small GTPases. Links specifically G alpha q/11- coupled receptors to RHOA activation. May be an important regulator of processes involved in axon and dendrite formation. In neurons seems to be an exchange factor primarily for RAC1. Involved in skeletal myogenesis (By similarity). {ECO:0000250, ECO:0000269|PubMed:11861769, ECO:0000269|PubMed:12547822, ECO:0000269|PubMed:15069594, ECO:0000269|PubMed:15632174, ECO:0000269|PubMed:16314529, ECO:0000269|PubMed:17606614}.; </t>
        </is>
      </c>
      <c r="AH289" t="inlineStr">
        <is>
          <t>.</t>
        </is>
      </c>
      <c r="AI289" t="inlineStr">
        <is>
          <t>.</t>
        </is>
      </c>
      <c r="AJ289" t="inlineStr">
        <is>
          <t>.</t>
        </is>
      </c>
      <c r="AK289" t="inlineStr">
        <is>
          <t>.</t>
        </is>
      </c>
      <c r="AL289" t="inlineStr">
        <is>
          <t>.</t>
        </is>
      </c>
    </row>
    <row r="290">
      <c r="A290" t="inlineStr"/>
      <c r="B290">
        <f>HYPERLINK("https://genome.ucsc.edu/cgi-bin/hgTracks?db=hg19&amp;position=chr12%3A58017637%2D58017637", "chr12:58017637")</f>
        <v/>
      </c>
      <c r="C290" t="inlineStr">
        <is>
          <t>chr12</t>
        </is>
      </c>
      <c r="D290" t="n">
        <v>58017637</v>
      </c>
      <c r="E290" t="n">
        <v>58017637</v>
      </c>
      <c r="F290" t="inlineStr">
        <is>
          <t>T</t>
        </is>
      </c>
      <c r="G290" t="inlineStr">
        <is>
          <t>C</t>
        </is>
      </c>
      <c r="H290" t="inlineStr">
        <is>
          <t>1172.64</t>
        </is>
      </c>
      <c r="I290" t="inlineStr">
        <is>
          <t>65</t>
        </is>
      </c>
      <c r="J290" t="inlineStr">
        <is>
          <t>16,49</t>
        </is>
      </c>
      <c r="K290" t="inlineStr">
        <is>
          <t>.</t>
        </is>
      </c>
      <c r="L290">
        <f>HYPERLINK("https://www.ncbi.nlm.nih.gov/snp/rs768952054", "rs768952054")</f>
        <v/>
      </c>
      <c r="M290">
        <f>HYPERLINK("https://www.genecards.org/Search/Keyword?queryString=%5Baliases%5D(%20SLC26A10%20)&amp;keywords=SLC26A10", "SLC26A10")</f>
        <v/>
      </c>
      <c r="N290" t="inlineStr">
        <is>
          <t>UTR3;exonic;ncRNA_exonic</t>
        </is>
      </c>
      <c r="O290" t="inlineStr">
        <is>
          <t>nonsynonymous SNV</t>
        </is>
      </c>
      <c r="P290" t="inlineStr">
        <is>
          <t>SLC26A10:uc001spe.3:exon8:c.T1072C:p.C358R;ENST00000341156.9_5:c.*2890A&gt;G;ENST00000474359.7_3:c.*1183T&gt;C</t>
        </is>
      </c>
      <c r="Q290" t="n">
        <v>1.29e-05</v>
      </c>
      <c r="R290" t="n">
        <v>-1</v>
      </c>
      <c r="S290" t="n">
        <v>-1</v>
      </c>
      <c r="T290" t="n">
        <v>-1</v>
      </c>
      <c r="U290" t="n">
        <v>-1</v>
      </c>
      <c r="V290" t="inlineStr">
        <is>
          <t>10/11</t>
        </is>
      </c>
      <c r="W290" t="inlineStr">
        <is>
          <t>.</t>
        </is>
      </c>
      <c r="X290" t="inlineStr">
        <is>
          <t>.</t>
        </is>
      </c>
      <c r="Y290" t="inlineStr">
        <is>
          <t>.</t>
        </is>
      </c>
      <c r="Z290" t="inlineStr">
        <is>
          <t>2/7</t>
        </is>
      </c>
      <c r="AA290" t="inlineStr">
        <is>
          <t>Uncertain significance</t>
        </is>
      </c>
      <c r="AB290" t="inlineStr">
        <is>
          <t>.</t>
        </is>
      </c>
      <c r="AC290" t="inlineStr">
        <is>
          <t>0/1</t>
        </is>
      </c>
      <c r="AD290" t="inlineStr">
        <is>
          <t>1</t>
        </is>
      </c>
      <c r="AE290" t="inlineStr">
        <is>
          <t>1.16500286588742e-09</t>
        </is>
      </c>
      <c r="AF290" t="inlineStr">
        <is>
          <t>solute carrier family 26 member 10</t>
        </is>
      </c>
      <c r="AG290" t="inlineStr">
        <is>
          <t xml:space="preserve">FUNCTION: Chloride/bicarbonate exchanger. {ECO:0000250}.; </t>
        </is>
      </c>
      <c r="AH290" t="inlineStr">
        <is>
          <t>.</t>
        </is>
      </c>
      <c r="AI290" t="inlineStr">
        <is>
          <t>.</t>
        </is>
      </c>
      <c r="AJ290" t="inlineStr">
        <is>
          <t>.</t>
        </is>
      </c>
      <c r="AK290" t="inlineStr">
        <is>
          <t>.</t>
        </is>
      </c>
      <c r="AL290" t="inlineStr">
        <is>
          <t>.</t>
        </is>
      </c>
    </row>
    <row r="291">
      <c r="A291" t="inlineStr"/>
      <c r="B291">
        <f>HYPERLINK("https://genome.ucsc.edu/cgi-bin/hgTracks?db=hg19&amp;position=chr12%3A58217698%2D58217698", "chr12:58217698")</f>
        <v/>
      </c>
      <c r="C291" t="inlineStr">
        <is>
          <t>chr12</t>
        </is>
      </c>
      <c r="D291" t="n">
        <v>58217698</v>
      </c>
      <c r="E291" t="n">
        <v>58217698</v>
      </c>
      <c r="F291" t="inlineStr">
        <is>
          <t>G</t>
        </is>
      </c>
      <c r="G291" t="inlineStr">
        <is>
          <t>T</t>
        </is>
      </c>
      <c r="H291" t="inlineStr">
        <is>
          <t>278.64</t>
        </is>
      </c>
      <c r="I291" t="inlineStr">
        <is>
          <t>113</t>
        </is>
      </c>
      <c r="J291" t="inlineStr">
        <is>
          <t>99,14</t>
        </is>
      </c>
      <c r="K291" t="inlineStr">
        <is>
          <t>.</t>
        </is>
      </c>
      <c r="L291">
        <f>HYPERLINK("https://www.ncbi.nlm.nih.gov/snp/rs796175724", "rs796175724")</f>
        <v/>
      </c>
      <c r="M291">
        <f>HYPERLINK("https://www.genecards.org/Search/Keyword?queryString=%5Baliases%5D(%20CTDSP2%20)&amp;keywords=CTDSP2", "CTDSP2")</f>
        <v/>
      </c>
      <c r="N291" t="inlineStr">
        <is>
          <t>exonic</t>
        </is>
      </c>
      <c r="O291" t="inlineStr">
        <is>
          <t>nonsynonymous SNV</t>
        </is>
      </c>
      <c r="P291" t="inlineStr">
        <is>
          <t>CTDSP2:NM_005730:exon7:c.C679A:p.P227T;CTDSP2:uc010ssg.2:exon2:c.C301A:p.P101T,CTDSP2:uc009zqg.3:exon3:c.C160A:p.P54T,CTDSP2:uc001sqm.3:exon7:c.C679A:p.P227T,CTDSP2:uc009zqf.3:exon7:c.C223A:p.P75T;CTDSP2:ENST00000548823.1_3:exon3:c.C160A:p.P54T,CTDSP2:ENST00000398073.7_5:exon7:c.C679A:p.P227T,CTDSP2:ENST00000547701.5_3:exon7:c.C223A:p.P75T</t>
        </is>
      </c>
      <c r="Q291" t="n">
        <v>6.5e-06</v>
      </c>
      <c r="R291" t="n">
        <v>-1</v>
      </c>
      <c r="S291" t="n">
        <v>-1</v>
      </c>
      <c r="T291" t="n">
        <v>-1</v>
      </c>
      <c r="U291" t="n">
        <v>-1</v>
      </c>
      <c r="V291" t="inlineStr">
        <is>
          <t>8/12</t>
        </is>
      </c>
      <c r="W291" t="inlineStr">
        <is>
          <t>.</t>
        </is>
      </c>
      <c r="X291" t="inlineStr">
        <is>
          <t>.</t>
        </is>
      </c>
      <c r="Y291" t="inlineStr">
        <is>
          <t>.</t>
        </is>
      </c>
      <c r="Z291" t="inlineStr">
        <is>
          <t>5/7</t>
        </is>
      </c>
      <c r="AA291" t="inlineStr">
        <is>
          <t>Uncertain significance</t>
        </is>
      </c>
      <c r="AB291" t="inlineStr">
        <is>
          <t>.</t>
        </is>
      </c>
      <c r="AC291" t="inlineStr">
        <is>
          <t>.</t>
        </is>
      </c>
      <c r="AD291" t="inlineStr">
        <is>
          <t>13</t>
        </is>
      </c>
      <c r="AE291" t="inlineStr">
        <is>
          <t>0.397665011331897</t>
        </is>
      </c>
      <c r="AF291" t="inlineStr">
        <is>
          <t>CTD small phosphatase 2</t>
        </is>
      </c>
      <c r="AG291" t="inlineStr">
        <is>
          <t xml:space="preserve">FUNCTION: Preferentially catalyzes the dephosphorylation of 'Ser- 5' within the tandem 7 residue repeats in the C-terminal domain (CTD) of the largest RNA polymerase II subunit POLR2A. Negatively regulates RNA polymerase II transcription, possibly by controlling the transition from initiation/capping to processive transcript elongation. Recruited by REST to neuronal genes that contain RE-1 elements, leading to neuronal gene silencing in non-neuronal cells. May contribute to the development of sarcomas. {ECO:0000269|PubMed:12721286, ECO:0000269|PubMed:15681389}.; </t>
        </is>
      </c>
      <c r="AH291" t="inlineStr">
        <is>
          <t>.</t>
        </is>
      </c>
      <c r="AI291" t="inlineStr">
        <is>
          <t>GenotypeConflict</t>
        </is>
      </c>
      <c r="AJ291" t="inlineStr">
        <is>
          <t>.</t>
        </is>
      </c>
      <c r="AK291" t="inlineStr">
        <is>
          <t>.</t>
        </is>
      </c>
      <c r="AL291" t="inlineStr">
        <is>
          <t>.</t>
        </is>
      </c>
    </row>
    <row r="292">
      <c r="A292" t="inlineStr"/>
      <c r="B292">
        <f>HYPERLINK("https://genome.ucsc.edu/cgi-bin/hgTracks?db=hg19&amp;position=chr12%3A58217738%2D58217741", "chr12:58217738")</f>
        <v/>
      </c>
      <c r="C292" t="inlineStr">
        <is>
          <t>chr12</t>
        </is>
      </c>
      <c r="D292" t="n">
        <v>58217738</v>
      </c>
      <c r="E292" t="n">
        <v>58217741</v>
      </c>
      <c r="F292" t="inlineStr">
        <is>
          <t>GGTC</t>
        </is>
      </c>
      <c r="G292" t="inlineStr">
        <is>
          <t>-</t>
        </is>
      </c>
      <c r="H292" t="inlineStr">
        <is>
          <t>599.60</t>
        </is>
      </c>
      <c r="I292" t="inlineStr">
        <is>
          <t>151</t>
        </is>
      </c>
      <c r="J292" t="inlineStr">
        <is>
          <t>127,24</t>
        </is>
      </c>
      <c r="K292" t="inlineStr">
        <is>
          <t>.</t>
        </is>
      </c>
      <c r="L292" t="inlineStr">
        <is>
          <t>.</t>
        </is>
      </c>
      <c r="M292">
        <f>HYPERLINK("https://www.genecards.org/Search/Keyword?queryString=%5Baliases%5D(%20CTDSP2%20)&amp;keywords=CTDSP2", "CTDSP2")</f>
        <v/>
      </c>
      <c r="N292" t="inlineStr">
        <is>
          <t>exonic</t>
        </is>
      </c>
      <c r="O292" t="inlineStr">
        <is>
          <t>frameshift deletion</t>
        </is>
      </c>
      <c r="P292" t="inlineStr">
        <is>
          <t>CTDSP2:NM_005730:exon7:c.636_639del:p.K212Nfs*34;CTDSP2:uc010ssg.2:exon2:c.258_261del:p.K86Nfs*34,CTDSP2:uc001sqm.3:exon7:c.636_639del:p.K212Nfs*34,CTDSP2:uc009zqf.3:exon7:c.180_183del:p.K60Nfs*34;CTDSP2:ENST00000398073.7_5:exon7:c.636_639del:p.K212Nfs*34,CTDSP2:ENST00000547701.5_3:exon7:c.180_183del:p.K60Nfs*34</t>
        </is>
      </c>
      <c r="Q292" t="n">
        <v>-1</v>
      </c>
      <c r="R292" t="n">
        <v>-1</v>
      </c>
      <c r="S292" t="n">
        <v>-1</v>
      </c>
      <c r="T292" t="n">
        <v>-1</v>
      </c>
      <c r="U292" t="n">
        <v>-1</v>
      </c>
      <c r="V292" t="inlineStr">
        <is>
          <t>.</t>
        </is>
      </c>
      <c r="W292" t="inlineStr">
        <is>
          <t>.</t>
        </is>
      </c>
      <c r="X292" t="inlineStr">
        <is>
          <t>.</t>
        </is>
      </c>
      <c r="Y292" t="inlineStr">
        <is>
          <t>.</t>
        </is>
      </c>
      <c r="Z292" t="inlineStr">
        <is>
          <t>.</t>
        </is>
      </c>
      <c r="AA292" t="inlineStr">
        <is>
          <t>.</t>
        </is>
      </c>
      <c r="AB292" t="inlineStr">
        <is>
          <t>.</t>
        </is>
      </c>
      <c r="AC292" t="inlineStr">
        <is>
          <t>0/1</t>
        </is>
      </c>
      <c r="AD292" t="inlineStr">
        <is>
          <t>13</t>
        </is>
      </c>
      <c r="AE292" t="inlineStr">
        <is>
          <t>0.397665011331897</t>
        </is>
      </c>
      <c r="AF292" t="inlineStr">
        <is>
          <t>CTD small phosphatase 2</t>
        </is>
      </c>
      <c r="AG292" t="inlineStr">
        <is>
          <t xml:space="preserve">FUNCTION: Preferentially catalyzes the dephosphorylation of 'Ser- 5' within the tandem 7 residue repeats in the C-terminal domain (CTD) of the largest RNA polymerase II subunit POLR2A. Negatively regulates RNA polymerase II transcription, possibly by controlling the transition from initiation/capping to processive transcript elongation. Recruited by REST to neuronal genes that contain RE-1 elements, leading to neuronal gene silencing in non-neuronal cells. May contribute to the development of sarcomas. {ECO:0000269|PubMed:12721286, ECO:0000269|PubMed:15681389}.; </t>
        </is>
      </c>
      <c r="AH292" t="inlineStr">
        <is>
          <t>.</t>
        </is>
      </c>
      <c r="AI292" t="inlineStr">
        <is>
          <t>.</t>
        </is>
      </c>
      <c r="AJ292" t="inlineStr">
        <is>
          <t>.</t>
        </is>
      </c>
      <c r="AK292" t="inlineStr">
        <is>
          <t>.</t>
        </is>
      </c>
      <c r="AL292" t="inlineStr">
        <is>
          <t>.</t>
        </is>
      </c>
    </row>
    <row r="293">
      <c r="A293" t="inlineStr"/>
      <c r="B293">
        <f>HYPERLINK("https://genome.ucsc.edu/cgi-bin/hgTracks?db=hg19&amp;position=chr12%3A58217741%2D58217741", "chr12:58217741")</f>
        <v/>
      </c>
      <c r="C293" t="inlineStr">
        <is>
          <t>chr12</t>
        </is>
      </c>
      <c r="D293" t="n">
        <v>58217741</v>
      </c>
      <c r="E293" t="n">
        <v>58217741</v>
      </c>
      <c r="F293" t="inlineStr">
        <is>
          <t>C</t>
        </is>
      </c>
      <c r="G293" t="inlineStr">
        <is>
          <t>T</t>
        </is>
      </c>
      <c r="H293" t="inlineStr">
        <is>
          <t>98.04</t>
        </is>
      </c>
      <c r="I293" t="inlineStr">
        <is>
          <t>151</t>
        </is>
      </c>
      <c r="J293" t="inlineStr">
        <is>
          <t>101,26</t>
        </is>
      </c>
      <c r="K293" t="inlineStr">
        <is>
          <t>.</t>
        </is>
      </c>
      <c r="L293">
        <f>HYPERLINK("https://www.ncbi.nlm.nih.gov/snp/rs74568739", "rs74568739")</f>
        <v/>
      </c>
      <c r="M293">
        <f>HYPERLINK("https://www.genecards.org/Search/Keyword?queryString=%5Baliases%5D(%20CTDSP2%20)&amp;keywords=CTDSP2", "CTDSP2")</f>
        <v/>
      </c>
      <c r="N293" t="inlineStr">
        <is>
          <t>exonic;splicing</t>
        </is>
      </c>
      <c r="O293" t="inlineStr">
        <is>
          <t>synonymous SNV</t>
        </is>
      </c>
      <c r="P293" t="inlineStr">
        <is>
          <t>CTDSP2:NM_005730:exon7:c.G636A:p.K212K;uc009zqg.3:exon3:c.118-1G&gt;A;CTDSP2:uc010ssg.2:exon2:c.G258A:p.K86K,CTDSP2:uc001sqm.3:exon7:c.G636A:p.K212K,CTDSP2:uc009zqf.3:exon7:c.G180A:p.K60K;ENST00000548823.1_3:exon3:c.118-1G&gt;A;CTDSP2:ENST00000398073.7_5:exon7:c.G636A:p.K212K,CTDSP2:ENST00000547701.5_3:exon7:c.G180A:p.K60K</t>
        </is>
      </c>
      <c r="Q293" t="n">
        <v>6.5e-06</v>
      </c>
      <c r="R293" t="n">
        <v>-1</v>
      </c>
      <c r="S293" t="n">
        <v>-1</v>
      </c>
      <c r="T293" t="n">
        <v>-1</v>
      </c>
      <c r="U293" t="n">
        <v>-1</v>
      </c>
      <c r="V293" t="inlineStr">
        <is>
          <t>1/2</t>
        </is>
      </c>
      <c r="W293" t="inlineStr">
        <is>
          <t>.</t>
        </is>
      </c>
      <c r="X293" t="inlineStr">
        <is>
          <t>.</t>
        </is>
      </c>
      <c r="Y293" t="inlineStr">
        <is>
          <t>.</t>
        </is>
      </c>
      <c r="Z293" t="inlineStr">
        <is>
          <t>0/7</t>
        </is>
      </c>
      <c r="AA293" t="inlineStr">
        <is>
          <t>Uncertain significance</t>
        </is>
      </c>
      <c r="AB293" t="inlineStr">
        <is>
          <t>.</t>
        </is>
      </c>
      <c r="AC293" t="inlineStr">
        <is>
          <t>.</t>
        </is>
      </c>
      <c r="AD293" t="inlineStr">
        <is>
          <t>13</t>
        </is>
      </c>
      <c r="AE293" t="inlineStr">
        <is>
          <t>0.397665011331897</t>
        </is>
      </c>
      <c r="AF293" t="inlineStr">
        <is>
          <t>CTD small phosphatase 2</t>
        </is>
      </c>
      <c r="AG293" t="inlineStr">
        <is>
          <t xml:space="preserve">FUNCTION: Preferentially catalyzes the dephosphorylation of 'Ser- 5' within the tandem 7 residue repeats in the C-terminal domain (CTD) of the largest RNA polymerase II subunit POLR2A. Negatively regulates RNA polymerase II transcription, possibly by controlling the transition from initiation/capping to processive transcript elongation. Recruited by REST to neuronal genes that contain RE-1 elements, leading to neuronal gene silencing in non-neuronal cells. May contribute to the development of sarcomas. {ECO:0000269|PubMed:12721286, ECO:0000269|PubMed:15681389}.; </t>
        </is>
      </c>
      <c r="AH293" t="inlineStr">
        <is>
          <t>.</t>
        </is>
      </c>
      <c r="AI293" t="inlineStr">
        <is>
          <t>.</t>
        </is>
      </c>
      <c r="AJ293" t="inlineStr">
        <is>
          <t>.</t>
        </is>
      </c>
      <c r="AK293" t="inlineStr">
        <is>
          <t>.</t>
        </is>
      </c>
      <c r="AL293" t="inlineStr">
        <is>
          <t>.</t>
        </is>
      </c>
    </row>
    <row r="294">
      <c r="A294" t="inlineStr"/>
      <c r="B294">
        <f>HYPERLINK("https://genome.ucsc.edu/cgi-bin/hgTracks?db=hg19&amp;position=chr12%3A58217763%2D58217763", "chr12:58217763")</f>
        <v/>
      </c>
      <c r="C294" t="inlineStr">
        <is>
          <t>chr12</t>
        </is>
      </c>
      <c r="D294" t="n">
        <v>58217763</v>
      </c>
      <c r="E294" t="n">
        <v>58217763</v>
      </c>
      <c r="F294" t="inlineStr">
        <is>
          <t>C</t>
        </is>
      </c>
      <c r="G294" t="inlineStr">
        <is>
          <t>T</t>
        </is>
      </c>
      <c r="H294" t="inlineStr">
        <is>
          <t>2191.64</t>
        </is>
      </c>
      <c r="I294" t="inlineStr">
        <is>
          <t>163</t>
        </is>
      </c>
      <c r="J294" t="inlineStr">
        <is>
          <t>103,60</t>
        </is>
      </c>
      <c r="K294" t="inlineStr">
        <is>
          <t>.</t>
        </is>
      </c>
      <c r="L294">
        <f>HYPERLINK("https://www.ncbi.nlm.nih.gov/snp/rs796989809", "rs796989809")</f>
        <v/>
      </c>
      <c r="M294">
        <f>HYPERLINK("https://www.genecards.org/Search/Keyword?queryString=%5Baliases%5D(%20CTDSP2%20)&amp;keywords=CTDSP2", "CTDSP2")</f>
        <v/>
      </c>
      <c r="N294" t="inlineStr">
        <is>
          <t>exonic</t>
        </is>
      </c>
      <c r="O294" t="inlineStr">
        <is>
          <t>nonsynonymous SNV</t>
        </is>
      </c>
      <c r="P294" t="inlineStr">
        <is>
          <t>CTDSP2:NM_005730:exon7:c.G614A:p.R205H;CTDSP2:uc010ssg.2:exon2:c.G236A:p.R79H,CTDSP2:uc001sqm.3:exon7:c.G614A:p.R205H,CTDSP2:uc009zqf.3:exon7:c.G158A:p.R53H;CTDSP2:ENST00000398073.7_5:exon7:c.G614A:p.R205H,CTDSP2:ENST00000547701.5_3:exon7:c.G158A:p.R53H</t>
        </is>
      </c>
      <c r="Q294" t="n">
        <v>6.489e-05</v>
      </c>
      <c r="R294" t="n">
        <v>9.029e-05</v>
      </c>
      <c r="S294" t="n">
        <v>-1</v>
      </c>
      <c r="T294" t="n">
        <v>-1</v>
      </c>
      <c r="U294" t="n">
        <v>-1</v>
      </c>
      <c r="V294" t="inlineStr">
        <is>
          <t>7/12</t>
        </is>
      </c>
      <c r="W294" t="inlineStr">
        <is>
          <t>.</t>
        </is>
      </c>
      <c r="X294" t="inlineStr">
        <is>
          <t>.</t>
        </is>
      </c>
      <c r="Y294" t="inlineStr">
        <is>
          <t>.</t>
        </is>
      </c>
      <c r="Z294" t="inlineStr">
        <is>
          <t>3/7</t>
        </is>
      </c>
      <c r="AA294" t="inlineStr">
        <is>
          <t>Uncertain significance</t>
        </is>
      </c>
      <c r="AB294" t="inlineStr">
        <is>
          <t>.</t>
        </is>
      </c>
      <c r="AC294" t="inlineStr">
        <is>
          <t>.</t>
        </is>
      </c>
      <c r="AD294" t="inlineStr">
        <is>
          <t>13</t>
        </is>
      </c>
      <c r="AE294" t="inlineStr">
        <is>
          <t>0.397665011331897</t>
        </is>
      </c>
      <c r="AF294" t="inlineStr">
        <is>
          <t>CTD small phosphatase 2</t>
        </is>
      </c>
      <c r="AG294" t="inlineStr">
        <is>
          <t xml:space="preserve">FUNCTION: Preferentially catalyzes the dephosphorylation of 'Ser- 5' within the tandem 7 residue repeats in the C-terminal domain (CTD) of the largest RNA polymerase II subunit POLR2A. Negatively regulates RNA polymerase II transcription, possibly by controlling the transition from initiation/capping to processive transcript elongation. Recruited by REST to neuronal genes that contain RE-1 elements, leading to neuronal gene silencing in non-neuronal cells. May contribute to the development of sarcomas. {ECO:0000269|PubMed:12721286, ECO:0000269|PubMed:15681389}.; </t>
        </is>
      </c>
      <c r="AH294" t="inlineStr">
        <is>
          <t>.</t>
        </is>
      </c>
      <c r="AI294" t="inlineStr">
        <is>
          <t>GenotypeConflict</t>
        </is>
      </c>
      <c r="AJ294" t="inlineStr">
        <is>
          <t>.</t>
        </is>
      </c>
      <c r="AK294" t="inlineStr">
        <is>
          <t>.</t>
        </is>
      </c>
      <c r="AL294" t="inlineStr">
        <is>
          <t>.</t>
        </is>
      </c>
    </row>
    <row r="295">
      <c r="A295" t="inlineStr"/>
      <c r="B295">
        <f>HYPERLINK("https://genome.ucsc.edu/cgi-bin/hgTracks?db=hg19&amp;position=chr12%3A58217770%2D58217770", "chr12:58217770")</f>
        <v/>
      </c>
      <c r="C295" t="inlineStr">
        <is>
          <t>chr12</t>
        </is>
      </c>
      <c r="D295" t="n">
        <v>58217770</v>
      </c>
      <c r="E295" t="n">
        <v>58217770</v>
      </c>
      <c r="F295" t="inlineStr">
        <is>
          <t>G</t>
        </is>
      </c>
      <c r="G295" t="inlineStr">
        <is>
          <t>T</t>
        </is>
      </c>
      <c r="H295" t="inlineStr">
        <is>
          <t>471.64</t>
        </is>
      </c>
      <c r="I295" t="inlineStr">
        <is>
          <t>173</t>
        </is>
      </c>
      <c r="J295" t="inlineStr">
        <is>
          <t>141,17</t>
        </is>
      </c>
      <c r="K295" t="inlineStr">
        <is>
          <t>.</t>
        </is>
      </c>
      <c r="L295">
        <f>HYPERLINK("https://www.ncbi.nlm.nih.gov/snp/rs796106620", "rs796106620")</f>
        <v/>
      </c>
      <c r="M295">
        <f>HYPERLINK("https://www.genecards.org/Search/Keyword?queryString=%5Baliases%5D(%20CTDSP2%20)&amp;keywords=CTDSP2", "CTDSP2")</f>
        <v/>
      </c>
      <c r="N295" t="inlineStr">
        <is>
          <t>exonic</t>
        </is>
      </c>
      <c r="O295" t="inlineStr">
        <is>
          <t>nonsynonymous SNV</t>
        </is>
      </c>
      <c r="P295" t="inlineStr">
        <is>
          <t>CTDSP2:NM_005730:exon7:c.C607A:p.L203I;CTDSP2:uc010ssg.2:exon2:c.C229A:p.L77I,CTDSP2:uc001sqm.3:exon7:c.C607A:p.L203I,CTDSP2:uc009zqf.3:exon7:c.C151A:p.L51I;CTDSP2:ENST00000398073.7_5:exon7:c.C607A:p.L203I,CTDSP2:ENST00000547701.5_3:exon7:c.C151A:p.L51I</t>
        </is>
      </c>
      <c r="Q295" t="n">
        <v>-1</v>
      </c>
      <c r="R295" t="n">
        <v>-1</v>
      </c>
      <c r="S295" t="n">
        <v>-1</v>
      </c>
      <c r="T295" t="n">
        <v>-1</v>
      </c>
      <c r="U295" t="n">
        <v>-1</v>
      </c>
      <c r="V295" t="inlineStr">
        <is>
          <t>10/12</t>
        </is>
      </c>
      <c r="W295" t="inlineStr">
        <is>
          <t>.</t>
        </is>
      </c>
      <c r="X295" t="inlineStr">
        <is>
          <t>.</t>
        </is>
      </c>
      <c r="Y295" t="inlineStr">
        <is>
          <t>.</t>
        </is>
      </c>
      <c r="Z295" t="inlineStr">
        <is>
          <t>5/7</t>
        </is>
      </c>
      <c r="AA295" t="inlineStr">
        <is>
          <t>Uncertain significance</t>
        </is>
      </c>
      <c r="AB295" t="inlineStr">
        <is>
          <t>.</t>
        </is>
      </c>
      <c r="AC295" t="inlineStr">
        <is>
          <t>0/1</t>
        </is>
      </c>
      <c r="AD295" t="inlineStr">
        <is>
          <t>13</t>
        </is>
      </c>
      <c r="AE295" t="inlineStr">
        <is>
          <t>0.397665011331897</t>
        </is>
      </c>
      <c r="AF295" t="inlineStr">
        <is>
          <t>CTD small phosphatase 2</t>
        </is>
      </c>
      <c r="AG295" t="inlineStr">
        <is>
          <t xml:space="preserve">FUNCTION: Preferentially catalyzes the dephosphorylation of 'Ser- 5' within the tandem 7 residue repeats in the C-terminal domain (CTD) of the largest RNA polymerase II subunit POLR2A. Negatively regulates RNA polymerase II transcription, possibly by controlling the transition from initiation/capping to processive transcript elongation. Recruited by REST to neuronal genes that contain RE-1 elements, leading to neuronal gene silencing in non-neuronal cells. May contribute to the development of sarcomas. {ECO:0000269|PubMed:12721286, ECO:0000269|PubMed:15681389}.; </t>
        </is>
      </c>
      <c r="AH295" t="inlineStr">
        <is>
          <t>.</t>
        </is>
      </c>
      <c r="AI295" t="inlineStr">
        <is>
          <t>.</t>
        </is>
      </c>
      <c r="AJ295" t="inlineStr">
        <is>
          <t>.</t>
        </is>
      </c>
      <c r="AK295" t="inlineStr">
        <is>
          <t>.</t>
        </is>
      </c>
      <c r="AL295" t="inlineStr">
        <is>
          <t>.</t>
        </is>
      </c>
    </row>
    <row r="296">
      <c r="A296" t="inlineStr"/>
      <c r="B296">
        <f>HYPERLINK("https://genome.ucsc.edu/cgi-bin/hgTracks?db=hg19&amp;position=chr12%3A58217774%2D58217774", "chr12:58217774")</f>
        <v/>
      </c>
      <c r="C296" t="inlineStr">
        <is>
          <t>chr12</t>
        </is>
      </c>
      <c r="D296" t="n">
        <v>58217774</v>
      </c>
      <c r="E296" t="n">
        <v>58217774</v>
      </c>
      <c r="F296" t="inlineStr">
        <is>
          <t>C</t>
        </is>
      </c>
      <c r="G296" t="inlineStr">
        <is>
          <t>A</t>
        </is>
      </c>
      <c r="H296" t="inlineStr">
        <is>
          <t>735.64</t>
        </is>
      </c>
      <c r="I296" t="inlineStr">
        <is>
          <t>170</t>
        </is>
      </c>
      <c r="J296" t="inlineStr">
        <is>
          <t>141,29</t>
        </is>
      </c>
      <c r="K296" t="inlineStr">
        <is>
          <t>.</t>
        </is>
      </c>
      <c r="L296">
        <f>HYPERLINK("https://www.ncbi.nlm.nih.gov/snp/rs113792624", "rs113792624")</f>
        <v/>
      </c>
      <c r="M296">
        <f>HYPERLINK("https://www.genecards.org/Search/Keyword?queryString=%5Baliases%5D(%20CTDSP2%20)&amp;keywords=CTDSP2", "CTDSP2")</f>
        <v/>
      </c>
      <c r="N296" t="inlineStr">
        <is>
          <t>exonic</t>
        </is>
      </c>
      <c r="O296" t="inlineStr">
        <is>
          <t>nonsynonymous SNV</t>
        </is>
      </c>
      <c r="P296" t="inlineStr">
        <is>
          <t>CTDSP2:NM_005730:exon7:c.G603T:p.K201N;CTDSP2:uc010ssg.2:exon2:c.G225T:p.K75N,CTDSP2:uc001sqm.3:exon7:c.G603T:p.K201N,CTDSP2:uc009zqf.3:exon7:c.G147T:p.K49N;CTDSP2:ENST00000398073.7_5:exon7:c.G603T:p.K201N,CTDSP2:ENST00000547701.5_3:exon7:c.G147T:p.K49N</t>
        </is>
      </c>
      <c r="Q296" t="n">
        <v>1.94e-05</v>
      </c>
      <c r="R296" t="n">
        <v>-1</v>
      </c>
      <c r="S296" t="n">
        <v>-1</v>
      </c>
      <c r="T296" t="n">
        <v>-1</v>
      </c>
      <c r="U296" t="n">
        <v>-1</v>
      </c>
      <c r="V296" t="inlineStr">
        <is>
          <t>10/12</t>
        </is>
      </c>
      <c r="W296" t="inlineStr">
        <is>
          <t>.</t>
        </is>
      </c>
      <c r="X296" t="inlineStr">
        <is>
          <t>.</t>
        </is>
      </c>
      <c r="Y296" t="inlineStr">
        <is>
          <t>.</t>
        </is>
      </c>
      <c r="Z296" t="inlineStr">
        <is>
          <t>4/7</t>
        </is>
      </c>
      <c r="AA296" t="inlineStr">
        <is>
          <t>Uncertain significance</t>
        </is>
      </c>
      <c r="AB296" t="inlineStr">
        <is>
          <t>.</t>
        </is>
      </c>
      <c r="AC296" t="inlineStr">
        <is>
          <t>0/1</t>
        </is>
      </c>
      <c r="AD296" t="inlineStr">
        <is>
          <t>13</t>
        </is>
      </c>
      <c r="AE296" t="inlineStr">
        <is>
          <t>0.397665011331897</t>
        </is>
      </c>
      <c r="AF296" t="inlineStr">
        <is>
          <t>CTD small phosphatase 2</t>
        </is>
      </c>
      <c r="AG296" t="inlineStr">
        <is>
          <t xml:space="preserve">FUNCTION: Preferentially catalyzes the dephosphorylation of 'Ser- 5' within the tandem 7 residue repeats in the C-terminal domain (CTD) of the largest RNA polymerase II subunit POLR2A. Negatively regulates RNA polymerase II transcription, possibly by controlling the transition from initiation/capping to processive transcript elongation. Recruited by REST to neuronal genes that contain RE-1 elements, leading to neuronal gene silencing in non-neuronal cells. May contribute to the development of sarcomas. {ECO:0000269|PubMed:12721286, ECO:0000269|PubMed:15681389}.; </t>
        </is>
      </c>
      <c r="AH296" t="inlineStr">
        <is>
          <t>.</t>
        </is>
      </c>
      <c r="AI296" t="inlineStr">
        <is>
          <t>.</t>
        </is>
      </c>
      <c r="AJ296" t="inlineStr">
        <is>
          <t>.</t>
        </is>
      </c>
      <c r="AK296" t="inlineStr">
        <is>
          <t>.</t>
        </is>
      </c>
      <c r="AL296" t="inlineStr">
        <is>
          <t>.</t>
        </is>
      </c>
    </row>
    <row r="297">
      <c r="A297" t="inlineStr"/>
      <c r="B297">
        <f>HYPERLINK("https://genome.ucsc.edu/cgi-bin/hgTracks?db=hg19&amp;position=chr12%3A58220811%2D58220811", "chr12:58220811")</f>
        <v/>
      </c>
      <c r="C297" t="inlineStr">
        <is>
          <t>chr12</t>
        </is>
      </c>
      <c r="D297" t="n">
        <v>58220811</v>
      </c>
      <c r="E297" t="n">
        <v>58220811</v>
      </c>
      <c r="F297" t="inlineStr">
        <is>
          <t>G</t>
        </is>
      </c>
      <c r="G297" t="inlineStr">
        <is>
          <t>T</t>
        </is>
      </c>
      <c r="H297" t="inlineStr">
        <is>
          <t>856.64</t>
        </is>
      </c>
      <c r="I297" t="inlineStr">
        <is>
          <t>159</t>
        </is>
      </c>
      <c r="J297" t="inlineStr">
        <is>
          <t>123,36</t>
        </is>
      </c>
      <c r="K297" t="inlineStr">
        <is>
          <t>.</t>
        </is>
      </c>
      <c r="L297">
        <f>HYPERLINK("https://www.ncbi.nlm.nih.gov/snp/rs796375970", "rs796375970")</f>
        <v/>
      </c>
      <c r="M297">
        <f>HYPERLINK("https://www.genecards.org/Search/Keyword?queryString=%5Baliases%5D(%20CTDSP2%20)&amp;keywords=CTDSP2", "CTDSP2")</f>
        <v/>
      </c>
      <c r="N297" t="inlineStr">
        <is>
          <t>exonic</t>
        </is>
      </c>
      <c r="O297" t="inlineStr">
        <is>
          <t>nonsynonymous SNV</t>
        </is>
      </c>
      <c r="P297" t="inlineStr">
        <is>
          <t>CTDSP2:NM_005730:exon4:c.C322A:p.L108I;CTDSP2:uc001sqm.3:exon4:c.C322A:p.L108I;CTDSP2:ENST00000398073.7_5:exon4:c.C322A:p.L108I</t>
        </is>
      </c>
      <c r="Q297" t="n">
        <v>-1</v>
      </c>
      <c r="R297" t="n">
        <v>-1</v>
      </c>
      <c r="S297" t="n">
        <v>-1</v>
      </c>
      <c r="T297" t="n">
        <v>-1</v>
      </c>
      <c r="U297" t="n">
        <v>-1</v>
      </c>
      <c r="V297" t="inlineStr">
        <is>
          <t>10/12</t>
        </is>
      </c>
      <c r="W297" t="inlineStr">
        <is>
          <t>.</t>
        </is>
      </c>
      <c r="X297" t="inlineStr">
        <is>
          <t>.</t>
        </is>
      </c>
      <c r="Y297" t="inlineStr">
        <is>
          <t>.</t>
        </is>
      </c>
      <c r="Z297" t="inlineStr">
        <is>
          <t>1/7</t>
        </is>
      </c>
      <c r="AA297" t="inlineStr">
        <is>
          <t>Uncertain significance</t>
        </is>
      </c>
      <c r="AB297" t="inlineStr">
        <is>
          <t>.</t>
        </is>
      </c>
      <c r="AC297" t="inlineStr">
        <is>
          <t>0/1</t>
        </is>
      </c>
      <c r="AD297" t="inlineStr">
        <is>
          <t>13</t>
        </is>
      </c>
      <c r="AE297" t="inlineStr">
        <is>
          <t>0.397665011331897</t>
        </is>
      </c>
      <c r="AF297" t="inlineStr">
        <is>
          <t>CTD small phosphatase 2</t>
        </is>
      </c>
      <c r="AG297" t="inlineStr">
        <is>
          <t xml:space="preserve">FUNCTION: Preferentially catalyzes the dephosphorylation of 'Ser- 5' within the tandem 7 residue repeats in the C-terminal domain (CTD) of the largest RNA polymerase II subunit POLR2A. Negatively regulates RNA polymerase II transcription, possibly by controlling the transition from initiation/capping to processive transcript elongation. Recruited by REST to neuronal genes that contain RE-1 elements, leading to neuronal gene silencing in non-neuronal cells. May contribute to the development of sarcomas. {ECO:0000269|PubMed:12721286, ECO:0000269|PubMed:15681389}.; </t>
        </is>
      </c>
      <c r="AH297" t="inlineStr">
        <is>
          <t>.</t>
        </is>
      </c>
      <c r="AI297" t="inlineStr">
        <is>
          <t>.</t>
        </is>
      </c>
      <c r="AJ297" t="inlineStr">
        <is>
          <t>.</t>
        </is>
      </c>
      <c r="AK297" t="inlineStr">
        <is>
          <t>.</t>
        </is>
      </c>
      <c r="AL297" t="inlineStr">
        <is>
          <t>.</t>
        </is>
      </c>
    </row>
    <row r="298">
      <c r="A298" t="inlineStr"/>
      <c r="B298">
        <f>HYPERLINK("https://genome.ucsc.edu/cgi-bin/hgTracks?db=hg19&amp;position=chr12%3A58220816%2D58220816", "chr12:58220816")</f>
        <v/>
      </c>
      <c r="C298" t="inlineStr">
        <is>
          <t>chr12</t>
        </is>
      </c>
      <c r="D298" t="n">
        <v>58220816</v>
      </c>
      <c r="E298" t="n">
        <v>58220816</v>
      </c>
      <c r="F298" t="inlineStr">
        <is>
          <t>A</t>
        </is>
      </c>
      <c r="G298" t="inlineStr">
        <is>
          <t>G</t>
        </is>
      </c>
      <c r="H298" t="inlineStr">
        <is>
          <t>4490.64</t>
        </is>
      </c>
      <c r="I298" t="inlineStr">
        <is>
          <t>180</t>
        </is>
      </c>
      <c r="J298" t="inlineStr">
        <is>
          <t>65,115</t>
        </is>
      </c>
      <c r="K298" t="inlineStr">
        <is>
          <t>.</t>
        </is>
      </c>
      <c r="L298">
        <f>HYPERLINK("https://www.ncbi.nlm.nih.gov/snp/rs76940645", "rs76940645")</f>
        <v/>
      </c>
      <c r="M298">
        <f>HYPERLINK("https://www.genecards.org/Search/Keyword?queryString=%5Baliases%5D(%20CTDSP2%20)&amp;keywords=CTDSP2", "CTDSP2")</f>
        <v/>
      </c>
      <c r="N298" t="inlineStr">
        <is>
          <t>exonic</t>
        </is>
      </c>
      <c r="O298" t="inlineStr">
        <is>
          <t>nonsynonymous SNV</t>
        </is>
      </c>
      <c r="P298" t="inlineStr">
        <is>
          <t>CTDSP2:NM_005730:exon4:c.T317C:p.I106T;CTDSP2:uc001sqm.3:exon4:c.T317C:p.I106T;CTDSP2:ENST00000398073.7_5:exon4:c.T317C:p.I106T</t>
        </is>
      </c>
      <c r="Q298" t="n">
        <v>2.59e-05</v>
      </c>
      <c r="R298" t="n">
        <v>-1</v>
      </c>
      <c r="S298" t="n">
        <v>-1</v>
      </c>
      <c r="T298" t="n">
        <v>-1</v>
      </c>
      <c r="U298" t="n">
        <v>-1</v>
      </c>
      <c r="V298" t="inlineStr">
        <is>
          <t>7/12</t>
        </is>
      </c>
      <c r="W298" t="inlineStr">
        <is>
          <t>.</t>
        </is>
      </c>
      <c r="X298" t="inlineStr">
        <is>
          <t>.</t>
        </is>
      </c>
      <c r="Y298" t="inlineStr">
        <is>
          <t>.</t>
        </is>
      </c>
      <c r="Z298" t="inlineStr">
        <is>
          <t>4/7</t>
        </is>
      </c>
      <c r="AA298" t="inlineStr">
        <is>
          <t>Uncertain significance</t>
        </is>
      </c>
      <c r="AB298" t="inlineStr">
        <is>
          <t>.</t>
        </is>
      </c>
      <c r="AC298" t="inlineStr">
        <is>
          <t>.</t>
        </is>
      </c>
      <c r="AD298" t="inlineStr">
        <is>
          <t>13</t>
        </is>
      </c>
      <c r="AE298" t="inlineStr">
        <is>
          <t>0.397665011331897</t>
        </is>
      </c>
      <c r="AF298" t="inlineStr">
        <is>
          <t>CTD small phosphatase 2</t>
        </is>
      </c>
      <c r="AG298" t="inlineStr">
        <is>
          <t xml:space="preserve">FUNCTION: Preferentially catalyzes the dephosphorylation of 'Ser- 5' within the tandem 7 residue repeats in the C-terminal domain (CTD) of the largest RNA polymerase II subunit POLR2A. Negatively regulates RNA polymerase II transcription, possibly by controlling the transition from initiation/capping to processive transcript elongation. Recruited by REST to neuronal genes that contain RE-1 elements, leading to neuronal gene silencing in non-neuronal cells. May contribute to the development of sarcomas. {ECO:0000269|PubMed:12721286, ECO:0000269|PubMed:15681389}.; </t>
        </is>
      </c>
      <c r="AH298" t="inlineStr">
        <is>
          <t>.</t>
        </is>
      </c>
      <c r="AI298" t="inlineStr">
        <is>
          <t>GenotypeConflict</t>
        </is>
      </c>
      <c r="AJ298" t="inlineStr">
        <is>
          <t>.</t>
        </is>
      </c>
      <c r="AK298" t="inlineStr">
        <is>
          <t>.</t>
        </is>
      </c>
      <c r="AL298" t="inlineStr">
        <is>
          <t>.</t>
        </is>
      </c>
    </row>
    <row r="299">
      <c r="A299" t="inlineStr"/>
      <c r="B299">
        <f>HYPERLINK("https://genome.ucsc.edu/cgi-bin/hgTracks?db=hg19&amp;position=chr12%3A58220819%2D58220819", "chr12:58220819")</f>
        <v/>
      </c>
      <c r="C299" t="inlineStr">
        <is>
          <t>chr12</t>
        </is>
      </c>
      <c r="D299" t="n">
        <v>58220819</v>
      </c>
      <c r="E299" t="n">
        <v>58220819</v>
      </c>
      <c r="F299" t="inlineStr">
        <is>
          <t>A</t>
        </is>
      </c>
      <c r="G299" t="inlineStr">
        <is>
          <t>G</t>
        </is>
      </c>
      <c r="H299" t="inlineStr">
        <is>
          <t>613.64</t>
        </is>
      </c>
      <c r="I299" t="inlineStr">
        <is>
          <t>182</t>
        </is>
      </c>
      <c r="J299" t="inlineStr">
        <is>
          <t>146,36</t>
        </is>
      </c>
      <c r="K299" t="inlineStr">
        <is>
          <t>.</t>
        </is>
      </c>
      <c r="L299">
        <f>HYPERLINK("https://www.ncbi.nlm.nih.gov/snp/rs1056200123", "rs1056200123")</f>
        <v/>
      </c>
      <c r="M299">
        <f>HYPERLINK("https://www.genecards.org/Search/Keyword?queryString=%5Baliases%5D(%20CTDSP2%20)&amp;keywords=CTDSP2", "CTDSP2")</f>
        <v/>
      </c>
      <c r="N299" t="inlineStr">
        <is>
          <t>exonic</t>
        </is>
      </c>
      <c r="O299" t="inlineStr">
        <is>
          <t>nonsynonymous SNV</t>
        </is>
      </c>
      <c r="P299" t="inlineStr">
        <is>
          <t>CTDSP2:NM_005730:exon4:c.T314C:p.V105A;CTDSP2:uc001sqm.3:exon4:c.T314C:p.V105A;CTDSP2:ENST00000398073.7_5:exon4:c.T314C:p.V105A</t>
        </is>
      </c>
      <c r="Q299" t="n">
        <v>-1</v>
      </c>
      <c r="R299" t="n">
        <v>-1</v>
      </c>
      <c r="S299" t="n">
        <v>-1</v>
      </c>
      <c r="T299" t="n">
        <v>-1</v>
      </c>
      <c r="U299" t="n">
        <v>-1</v>
      </c>
      <c r="V299" t="inlineStr">
        <is>
          <t>7/12</t>
        </is>
      </c>
      <c r="W299" t="inlineStr">
        <is>
          <t>.</t>
        </is>
      </c>
      <c r="X299" t="inlineStr">
        <is>
          <t>.</t>
        </is>
      </c>
      <c r="Y299" t="inlineStr">
        <is>
          <t>.</t>
        </is>
      </c>
      <c r="Z299" t="inlineStr">
        <is>
          <t>4/7</t>
        </is>
      </c>
      <c r="AA299" t="inlineStr">
        <is>
          <t>Uncertain significance</t>
        </is>
      </c>
      <c r="AB299" t="inlineStr">
        <is>
          <t>.</t>
        </is>
      </c>
      <c r="AC299" t="inlineStr">
        <is>
          <t>0/1</t>
        </is>
      </c>
      <c r="AD299" t="inlineStr">
        <is>
          <t>13</t>
        </is>
      </c>
      <c r="AE299" t="inlineStr">
        <is>
          <t>0.397665011331897</t>
        </is>
      </c>
      <c r="AF299" t="inlineStr">
        <is>
          <t>CTD small phosphatase 2</t>
        </is>
      </c>
      <c r="AG299" t="inlineStr">
        <is>
          <t xml:space="preserve">FUNCTION: Preferentially catalyzes the dephosphorylation of 'Ser- 5' within the tandem 7 residue repeats in the C-terminal domain (CTD) of the largest RNA polymerase II subunit POLR2A. Negatively regulates RNA polymerase II transcription, possibly by controlling the transition from initiation/capping to processive transcript elongation. Recruited by REST to neuronal genes that contain RE-1 elements, leading to neuronal gene silencing in non-neuronal cells. May contribute to the development of sarcomas. {ECO:0000269|PubMed:12721286, ECO:0000269|PubMed:15681389}.; </t>
        </is>
      </c>
      <c r="AH299" t="inlineStr">
        <is>
          <t>.</t>
        </is>
      </c>
      <c r="AI299" t="inlineStr">
        <is>
          <t>.</t>
        </is>
      </c>
      <c r="AJ299" t="inlineStr">
        <is>
          <t>.</t>
        </is>
      </c>
      <c r="AK299" t="inlineStr">
        <is>
          <t>.</t>
        </is>
      </c>
      <c r="AL299" t="inlineStr">
        <is>
          <t>.</t>
        </is>
      </c>
    </row>
    <row r="300">
      <c r="A300" t="inlineStr"/>
      <c r="B300">
        <f>HYPERLINK("https://genome.ucsc.edu/cgi-bin/hgTracks?db=hg19&amp;position=chr12%3A58220823%2D58220823", "chr12:58220823")</f>
        <v/>
      </c>
      <c r="C300" t="inlineStr">
        <is>
          <t>chr12</t>
        </is>
      </c>
      <c r="D300" t="n">
        <v>58220823</v>
      </c>
      <c r="E300" t="n">
        <v>58220823</v>
      </c>
      <c r="F300" t="inlineStr">
        <is>
          <t>C</t>
        </is>
      </c>
      <c r="G300" t="inlineStr">
        <is>
          <t>T</t>
        </is>
      </c>
      <c r="H300" t="inlineStr">
        <is>
          <t>4666.64</t>
        </is>
      </c>
      <c r="I300" t="inlineStr">
        <is>
          <t>185</t>
        </is>
      </c>
      <c r="J300" t="inlineStr">
        <is>
          <t>65,120</t>
        </is>
      </c>
      <c r="K300" t="inlineStr">
        <is>
          <t>.</t>
        </is>
      </c>
      <c r="L300">
        <f>HYPERLINK("https://www.ncbi.nlm.nih.gov/snp/rs111346934", "rs111346934")</f>
        <v/>
      </c>
      <c r="M300">
        <f>HYPERLINK("https://www.genecards.org/Search/Keyword?queryString=%5Baliases%5D(%20CTDSP2%20)&amp;keywords=CTDSP2", "CTDSP2")</f>
        <v/>
      </c>
      <c r="N300" t="inlineStr">
        <is>
          <t>exonic</t>
        </is>
      </c>
      <c r="O300" t="inlineStr">
        <is>
          <t>nonsynonymous SNV</t>
        </is>
      </c>
      <c r="P300" t="inlineStr">
        <is>
          <t>CTDSP2:NM_005730:exon4:c.G310A:p.V104M;CTDSP2:uc001sqm.3:exon4:c.G310A:p.V104M;CTDSP2:ENST00000398073.7_5:exon4:c.G310A:p.V104M</t>
        </is>
      </c>
      <c r="Q300" t="n">
        <v>2.59e-05</v>
      </c>
      <c r="R300" t="n">
        <v>-1</v>
      </c>
      <c r="S300" t="n">
        <v>-1</v>
      </c>
      <c r="T300" t="n">
        <v>-1</v>
      </c>
      <c r="U300" t="n">
        <v>-1</v>
      </c>
      <c r="V300" t="inlineStr">
        <is>
          <t>4/12</t>
        </is>
      </c>
      <c r="W300" t="inlineStr">
        <is>
          <t>.</t>
        </is>
      </c>
      <c r="X300" t="inlineStr">
        <is>
          <t>.</t>
        </is>
      </c>
      <c r="Y300" t="inlineStr">
        <is>
          <t>.</t>
        </is>
      </c>
      <c r="Z300" t="inlineStr">
        <is>
          <t>2/7</t>
        </is>
      </c>
      <c r="AA300" t="inlineStr">
        <is>
          <t>Uncertain significance</t>
        </is>
      </c>
      <c r="AB300" t="inlineStr">
        <is>
          <t>.</t>
        </is>
      </c>
      <c r="AC300" t="inlineStr">
        <is>
          <t>.</t>
        </is>
      </c>
      <c r="AD300" t="inlineStr">
        <is>
          <t>13</t>
        </is>
      </c>
      <c r="AE300" t="inlineStr">
        <is>
          <t>0.397665011331897</t>
        </is>
      </c>
      <c r="AF300" t="inlineStr">
        <is>
          <t>CTD small phosphatase 2</t>
        </is>
      </c>
      <c r="AG300" t="inlineStr">
        <is>
          <t xml:space="preserve">FUNCTION: Preferentially catalyzes the dephosphorylation of 'Ser- 5' within the tandem 7 residue repeats in the C-terminal domain (CTD) of the largest RNA polymerase II subunit POLR2A. Negatively regulates RNA polymerase II transcription, possibly by controlling the transition from initiation/capping to processive transcript elongation. Recruited by REST to neuronal genes that contain RE-1 elements, leading to neuronal gene silencing in non-neuronal cells. May contribute to the development of sarcomas. {ECO:0000269|PubMed:12721286, ECO:0000269|PubMed:15681389}.; </t>
        </is>
      </c>
      <c r="AH300" t="inlineStr">
        <is>
          <t>.</t>
        </is>
      </c>
      <c r="AI300" t="inlineStr">
        <is>
          <t>.</t>
        </is>
      </c>
      <c r="AJ300" t="inlineStr">
        <is>
          <t>.</t>
        </is>
      </c>
      <c r="AK300" t="inlineStr">
        <is>
          <t>.</t>
        </is>
      </c>
      <c r="AL300" t="inlineStr">
        <is>
          <t>.</t>
        </is>
      </c>
    </row>
    <row r="301">
      <c r="A301" t="inlineStr"/>
      <c r="B301">
        <f>HYPERLINK("https://genome.ucsc.edu/cgi-bin/hgTracks?db=hg19&amp;position=chr12%3A58220831%2D58220831", "chr12:58220831")</f>
        <v/>
      </c>
      <c r="C301" t="inlineStr">
        <is>
          <t>chr12</t>
        </is>
      </c>
      <c r="D301" t="n">
        <v>58220831</v>
      </c>
      <c r="E301" t="n">
        <v>58220831</v>
      </c>
      <c r="F301" t="inlineStr">
        <is>
          <t>C</t>
        </is>
      </c>
      <c r="G301" t="inlineStr">
        <is>
          <t>G</t>
        </is>
      </c>
      <c r="H301" t="inlineStr">
        <is>
          <t>1102.64</t>
        </is>
      </c>
      <c r="I301" t="inlineStr">
        <is>
          <t>208</t>
        </is>
      </c>
      <c r="J301" t="inlineStr">
        <is>
          <t>143,56</t>
        </is>
      </c>
      <c r="K301" t="inlineStr">
        <is>
          <t>.</t>
        </is>
      </c>
      <c r="L301">
        <f>HYPERLINK("https://www.ncbi.nlm.nih.gov/snp/rs747149135", "rs747149135")</f>
        <v/>
      </c>
      <c r="M301">
        <f>HYPERLINK("https://www.genecards.org/Search/Keyword?queryString=%5Baliases%5D(%20CTDSP2%20)&amp;keywords=CTDSP2", "CTDSP2")</f>
        <v/>
      </c>
      <c r="N301" t="inlineStr">
        <is>
          <t>exonic</t>
        </is>
      </c>
      <c r="O301" t="inlineStr">
        <is>
          <t>nonsynonymous SNV</t>
        </is>
      </c>
      <c r="P301" t="inlineStr">
        <is>
          <t>CTDSP2:NM_005730:exon4:c.G302C:p.R101T;CTDSP2:uc001sqm.3:exon4:c.G302C:p.R101T;CTDSP2:ENST00000398073.7_5:exon4:c.G302C:p.R101T</t>
        </is>
      </c>
      <c r="Q301" t="n">
        <v>-1</v>
      </c>
      <c r="R301" t="n">
        <v>-1</v>
      </c>
      <c r="S301" t="n">
        <v>-1</v>
      </c>
      <c r="T301" t="n">
        <v>-1</v>
      </c>
      <c r="U301" t="n">
        <v>-1</v>
      </c>
      <c r="V301" t="inlineStr">
        <is>
          <t>7/12</t>
        </is>
      </c>
      <c r="W301" t="inlineStr">
        <is>
          <t>.</t>
        </is>
      </c>
      <c r="X301" t="inlineStr">
        <is>
          <t>.</t>
        </is>
      </c>
      <c r="Y301" t="inlineStr">
        <is>
          <t>.</t>
        </is>
      </c>
      <c r="Z301" t="inlineStr">
        <is>
          <t>2/7</t>
        </is>
      </c>
      <c r="AA301" t="inlineStr">
        <is>
          <t>Uncertain significance</t>
        </is>
      </c>
      <c r="AB301" t="inlineStr">
        <is>
          <t>.</t>
        </is>
      </c>
      <c r="AC301" t="inlineStr">
        <is>
          <t>0/1</t>
        </is>
      </c>
      <c r="AD301" t="inlineStr">
        <is>
          <t>13</t>
        </is>
      </c>
      <c r="AE301" t="inlineStr">
        <is>
          <t>0.397665011331897</t>
        </is>
      </c>
      <c r="AF301" t="inlineStr">
        <is>
          <t>CTD small phosphatase 2</t>
        </is>
      </c>
      <c r="AG301" t="inlineStr">
        <is>
          <t xml:space="preserve">FUNCTION: Preferentially catalyzes the dephosphorylation of 'Ser- 5' within the tandem 7 residue repeats in the C-terminal domain (CTD) of the largest RNA polymerase II subunit POLR2A. Negatively regulates RNA polymerase II transcription, possibly by controlling the transition from initiation/capping to processive transcript elongation. Recruited by REST to neuronal genes that contain RE-1 elements, leading to neuronal gene silencing in non-neuronal cells. May contribute to the development of sarcomas. {ECO:0000269|PubMed:12721286, ECO:0000269|PubMed:15681389}.; </t>
        </is>
      </c>
      <c r="AH301" t="inlineStr">
        <is>
          <t>.</t>
        </is>
      </c>
      <c r="AI301" t="inlineStr">
        <is>
          <t>.</t>
        </is>
      </c>
      <c r="AJ301" t="inlineStr">
        <is>
          <t>.</t>
        </is>
      </c>
      <c r="AK301" t="inlineStr">
        <is>
          <t>.</t>
        </is>
      </c>
      <c r="AL301" t="inlineStr">
        <is>
          <t>.</t>
        </is>
      </c>
    </row>
    <row r="302">
      <c r="A302" t="inlineStr"/>
      <c r="B302">
        <f>HYPERLINK("https://genome.ucsc.edu/cgi-bin/hgTracks?db=hg19&amp;position=chr12%3A58220841%2D58220841", "chr12:58220841")</f>
        <v/>
      </c>
      <c r="C302" t="inlineStr">
        <is>
          <t>chr12</t>
        </is>
      </c>
      <c r="D302" t="n">
        <v>58220841</v>
      </c>
      <c r="E302" t="n">
        <v>58220841</v>
      </c>
      <c r="F302" t="inlineStr">
        <is>
          <t>C</t>
        </is>
      </c>
      <c r="G302" t="inlineStr">
        <is>
          <t>T</t>
        </is>
      </c>
      <c r="H302" t="inlineStr">
        <is>
          <t>6483.64</t>
        </is>
      </c>
      <c r="I302" t="inlineStr">
        <is>
          <t>228</t>
        </is>
      </c>
      <c r="J302" t="inlineStr">
        <is>
          <t>68,160</t>
        </is>
      </c>
      <c r="K302" t="inlineStr">
        <is>
          <t>.</t>
        </is>
      </c>
      <c r="L302">
        <f>HYPERLINK("https://www.ncbi.nlm.nih.gov/snp/rs74343811", "rs74343811")</f>
        <v/>
      </c>
      <c r="M302">
        <f>HYPERLINK("https://www.genecards.org/Search/Keyword?queryString=%5Baliases%5D(%20CTDSP2%20)&amp;keywords=CTDSP2", "CTDSP2")</f>
        <v/>
      </c>
      <c r="N302" t="inlineStr">
        <is>
          <t>exonic</t>
        </is>
      </c>
      <c r="O302" t="inlineStr">
        <is>
          <t>nonsynonymous SNV</t>
        </is>
      </c>
      <c r="P302" t="inlineStr">
        <is>
          <t>CTDSP2:NM_005730:exon4:c.G292A:p.D98N;CTDSP2:uc001sqm.3:exon4:c.G292A:p.D98N;CTDSP2:ENST00000398073.7_5:exon4:c.G292A:p.D98N</t>
        </is>
      </c>
      <c r="Q302" t="n">
        <v>3.23e-05</v>
      </c>
      <c r="R302" t="n">
        <v>-1</v>
      </c>
      <c r="S302" t="n">
        <v>-1</v>
      </c>
      <c r="T302" t="n">
        <v>-1</v>
      </c>
      <c r="U302" t="n">
        <v>-1</v>
      </c>
      <c r="V302" t="inlineStr">
        <is>
          <t>6/12</t>
        </is>
      </c>
      <c r="W302" t="inlineStr">
        <is>
          <t>.</t>
        </is>
      </c>
      <c r="X302" t="inlineStr">
        <is>
          <t>.</t>
        </is>
      </c>
      <c r="Y302" t="inlineStr">
        <is>
          <t>.</t>
        </is>
      </c>
      <c r="Z302" t="inlineStr">
        <is>
          <t>4/7</t>
        </is>
      </c>
      <c r="AA302" t="inlineStr">
        <is>
          <t>Uncertain significance</t>
        </is>
      </c>
      <c r="AB302" t="inlineStr">
        <is>
          <t>.</t>
        </is>
      </c>
      <c r="AC302" t="inlineStr">
        <is>
          <t>.</t>
        </is>
      </c>
      <c r="AD302" t="inlineStr">
        <is>
          <t>13</t>
        </is>
      </c>
      <c r="AE302" t="inlineStr">
        <is>
          <t>0.397665011331897</t>
        </is>
      </c>
      <c r="AF302" t="inlineStr">
        <is>
          <t>CTD small phosphatase 2</t>
        </is>
      </c>
      <c r="AG302" t="inlineStr">
        <is>
          <t xml:space="preserve">FUNCTION: Preferentially catalyzes the dephosphorylation of 'Ser- 5' within the tandem 7 residue repeats in the C-terminal domain (CTD) of the largest RNA polymerase II subunit POLR2A. Negatively regulates RNA polymerase II transcription, possibly by controlling the transition from initiation/capping to processive transcript elongation. Recruited by REST to neuronal genes that contain RE-1 elements, leading to neuronal gene silencing in non-neuronal cells. May contribute to the development of sarcomas. {ECO:0000269|PubMed:12721286, ECO:0000269|PubMed:15681389}.; </t>
        </is>
      </c>
      <c r="AH302" t="inlineStr">
        <is>
          <t>.</t>
        </is>
      </c>
      <c r="AI302" t="inlineStr">
        <is>
          <t>GenotypeConflict</t>
        </is>
      </c>
      <c r="AJ302" t="inlineStr">
        <is>
          <t>.</t>
        </is>
      </c>
      <c r="AK302" t="inlineStr">
        <is>
          <t>.</t>
        </is>
      </c>
      <c r="AL302" t="inlineStr">
        <is>
          <t>.</t>
        </is>
      </c>
    </row>
    <row r="303">
      <c r="A303" t="inlineStr"/>
      <c r="B303">
        <f>HYPERLINK("https://genome.ucsc.edu/cgi-bin/hgTracks?db=hg19&amp;position=chr12%3A58220844%2D58220844", "chr12:58220844")</f>
        <v/>
      </c>
      <c r="C303" t="inlineStr">
        <is>
          <t>chr12</t>
        </is>
      </c>
      <c r="D303" t="n">
        <v>58220844</v>
      </c>
      <c r="E303" t="n">
        <v>58220844</v>
      </c>
      <c r="F303" t="inlineStr">
        <is>
          <t>C</t>
        </is>
      </c>
      <c r="G303" t="inlineStr">
        <is>
          <t>T</t>
        </is>
      </c>
      <c r="H303" t="inlineStr">
        <is>
          <t>6505.64</t>
        </is>
      </c>
      <c r="I303" t="inlineStr">
        <is>
          <t>232</t>
        </is>
      </c>
      <c r="J303" t="inlineStr">
        <is>
          <t>70,162</t>
        </is>
      </c>
      <c r="K303" t="inlineStr">
        <is>
          <t>.</t>
        </is>
      </c>
      <c r="L303">
        <f>HYPERLINK("https://www.ncbi.nlm.nih.gov/snp/rs75591888", "rs75591888")</f>
        <v/>
      </c>
      <c r="M303">
        <f>HYPERLINK("https://www.genecards.org/Search/Keyword?queryString=%5Baliases%5D(%20CTDSP2%20)&amp;keywords=CTDSP2", "CTDSP2")</f>
        <v/>
      </c>
      <c r="N303" t="inlineStr">
        <is>
          <t>exonic</t>
        </is>
      </c>
      <c r="O303" t="inlineStr">
        <is>
          <t>nonsynonymous SNV</t>
        </is>
      </c>
      <c r="P303" t="inlineStr">
        <is>
          <t>CTDSP2:NM_005730:exon4:c.G289A:p.E97K;CTDSP2:uc001sqm.3:exon4:c.G289A:p.E97K;CTDSP2:ENST00000398073.7_5:exon4:c.G289A:p.E97K</t>
        </is>
      </c>
      <c r="Q303" t="n">
        <v>3.88e-05</v>
      </c>
      <c r="R303" t="n">
        <v>-1</v>
      </c>
      <c r="S303" t="n">
        <v>-1</v>
      </c>
      <c r="T303" t="n">
        <v>-1</v>
      </c>
      <c r="U303" t="n">
        <v>-1</v>
      </c>
      <c r="V303" t="inlineStr">
        <is>
          <t>4/12</t>
        </is>
      </c>
      <c r="W303" t="inlineStr">
        <is>
          <t>.</t>
        </is>
      </c>
      <c r="X303" t="inlineStr">
        <is>
          <t>.</t>
        </is>
      </c>
      <c r="Y303" t="inlineStr">
        <is>
          <t>.</t>
        </is>
      </c>
      <c r="Z303" t="inlineStr">
        <is>
          <t>1/7</t>
        </is>
      </c>
      <c r="AA303" t="inlineStr">
        <is>
          <t>Uncertain significance</t>
        </is>
      </c>
      <c r="AB303" t="inlineStr">
        <is>
          <t>.</t>
        </is>
      </c>
      <c r="AC303" t="inlineStr">
        <is>
          <t>.</t>
        </is>
      </c>
      <c r="AD303" t="inlineStr">
        <is>
          <t>13</t>
        </is>
      </c>
      <c r="AE303" t="inlineStr">
        <is>
          <t>0.397665011331897</t>
        </is>
      </c>
      <c r="AF303" t="inlineStr">
        <is>
          <t>CTD small phosphatase 2</t>
        </is>
      </c>
      <c r="AG303" t="inlineStr">
        <is>
          <t xml:space="preserve">FUNCTION: Preferentially catalyzes the dephosphorylation of 'Ser- 5' within the tandem 7 residue repeats in the C-terminal domain (CTD) of the largest RNA polymerase II subunit POLR2A. Negatively regulates RNA polymerase II transcription, possibly by controlling the transition from initiation/capping to processive transcript elongation. Recruited by REST to neuronal genes that contain RE-1 elements, leading to neuronal gene silencing in non-neuronal cells. May contribute to the development of sarcomas. {ECO:0000269|PubMed:12721286, ECO:0000269|PubMed:15681389}.; </t>
        </is>
      </c>
      <c r="AH303" t="inlineStr">
        <is>
          <t>.</t>
        </is>
      </c>
      <c r="AI303" t="inlineStr">
        <is>
          <t>GenotypeConflict</t>
        </is>
      </c>
      <c r="AJ303" t="inlineStr">
        <is>
          <t>.</t>
        </is>
      </c>
      <c r="AK303" t="inlineStr">
        <is>
          <t>.</t>
        </is>
      </c>
      <c r="AL303" t="inlineStr">
        <is>
          <t>.</t>
        </is>
      </c>
    </row>
    <row r="304">
      <c r="A304" t="inlineStr"/>
      <c r="B304">
        <f>HYPERLINK("https://genome.ucsc.edu/cgi-bin/hgTracks?db=hg19&amp;position=chr12%3A64712650%2D64712650", "chr12:64712650")</f>
        <v/>
      </c>
      <c r="C304" t="inlineStr">
        <is>
          <t>chr12</t>
        </is>
      </c>
      <c r="D304" t="n">
        <v>64712650</v>
      </c>
      <c r="E304" t="n">
        <v>64712650</v>
      </c>
      <c r="F304" t="inlineStr">
        <is>
          <t>G</t>
        </is>
      </c>
      <c r="G304" t="inlineStr">
        <is>
          <t>C</t>
        </is>
      </c>
      <c r="H304" t="inlineStr">
        <is>
          <t>431.64</t>
        </is>
      </c>
      <c r="I304" t="inlineStr">
        <is>
          <t>117</t>
        </is>
      </c>
      <c r="J304" t="inlineStr">
        <is>
          <t>88,29</t>
        </is>
      </c>
      <c r="K304" t="inlineStr">
        <is>
          <t>.</t>
        </is>
      </c>
      <c r="L304" t="inlineStr">
        <is>
          <t>.</t>
        </is>
      </c>
      <c r="M304">
        <f>HYPERLINK("https://www.genecards.org/Search/Keyword?queryString=%5Baliases%5D(%20C12orf56%20)&amp;keywords=C12orf56", "C12orf56")</f>
        <v/>
      </c>
      <c r="N304" t="inlineStr">
        <is>
          <t>exonic</t>
        </is>
      </c>
      <c r="O304" t="inlineStr">
        <is>
          <t>nonsynonymous SNV</t>
        </is>
      </c>
      <c r="P304" t="inlineStr">
        <is>
          <t>C12orf56:NM_001170633:exon4:c.C599G:p.P200R;C12orf56:uc021qzu.1:exon4:c.C599G:p.P200R;C12orf56:ENST00000543942.7_8:exon4:c.C599G:p.P200R</t>
        </is>
      </c>
      <c r="Q304" t="n">
        <v>-1</v>
      </c>
      <c r="R304" t="n">
        <v>-1</v>
      </c>
      <c r="S304" t="n">
        <v>-1</v>
      </c>
      <c r="T304" t="n">
        <v>-1</v>
      </c>
      <c r="U304" t="n">
        <v>-1</v>
      </c>
      <c r="V304" t="inlineStr">
        <is>
          <t>3/10</t>
        </is>
      </c>
      <c r="W304" t="inlineStr">
        <is>
          <t>.</t>
        </is>
      </c>
      <c r="X304" t="inlineStr">
        <is>
          <t>.</t>
        </is>
      </c>
      <c r="Y304" t="inlineStr">
        <is>
          <t>.</t>
        </is>
      </c>
      <c r="Z304" t="inlineStr">
        <is>
          <t>0/7</t>
        </is>
      </c>
      <c r="AA304" t="inlineStr">
        <is>
          <t>Uncertain significance</t>
        </is>
      </c>
      <c r="AB304" t="inlineStr">
        <is>
          <t>.</t>
        </is>
      </c>
      <c r="AC304" t="inlineStr">
        <is>
          <t>0/1</t>
        </is>
      </c>
      <c r="AD304" t="inlineStr">
        <is>
          <t>1</t>
        </is>
      </c>
      <c r="AE304" t="inlineStr">
        <is>
          <t>2.90933463847163e-11</t>
        </is>
      </c>
      <c r="AF304" t="inlineStr">
        <is>
          <t>chromosome 12 open reading frame 56</t>
        </is>
      </c>
      <c r="AG304" t="inlineStr">
        <is>
          <t>.</t>
        </is>
      </c>
      <c r="AH304" t="inlineStr">
        <is>
          <t>.</t>
        </is>
      </c>
      <c r="AI304" t="inlineStr">
        <is>
          <t>.</t>
        </is>
      </c>
      <c r="AJ304" t="inlineStr">
        <is>
          <t>.</t>
        </is>
      </c>
      <c r="AK304" t="inlineStr">
        <is>
          <t>.</t>
        </is>
      </c>
      <c r="AL304" t="inlineStr">
        <is>
          <t>.</t>
        </is>
      </c>
    </row>
    <row r="305">
      <c r="A305" t="inlineStr"/>
      <c r="B305">
        <f>HYPERLINK("https://genome.ucsc.edu/cgi-bin/hgTracks?db=hg19&amp;position=chr12%3A64882317%2D64882317", "chr12:64882317")</f>
        <v/>
      </c>
      <c r="C305" t="inlineStr">
        <is>
          <t>chr12</t>
        </is>
      </c>
      <c r="D305" t="n">
        <v>64882317</v>
      </c>
      <c r="E305" t="n">
        <v>64882317</v>
      </c>
      <c r="F305" t="inlineStr">
        <is>
          <t>T</t>
        </is>
      </c>
      <c r="G305" t="inlineStr">
        <is>
          <t>C</t>
        </is>
      </c>
      <c r="H305" t="inlineStr">
        <is>
          <t>933.64</t>
        </is>
      </c>
      <c r="I305" t="inlineStr">
        <is>
          <t>58</t>
        </is>
      </c>
      <c r="J305" t="inlineStr">
        <is>
          <t>24,34</t>
        </is>
      </c>
      <c r="K305" t="inlineStr">
        <is>
          <t>.</t>
        </is>
      </c>
      <c r="L305">
        <f>HYPERLINK("https://www.ncbi.nlm.nih.gov/snp/rs35635889", "rs35635889")</f>
        <v/>
      </c>
      <c r="M305">
        <f>HYPERLINK("https://www.genecards.org/Search/Keyword?queryString=%5Baliases%5D(%20TBK1%20)&amp;keywords=TBK1", "TBK1")</f>
        <v/>
      </c>
      <c r="N305" t="inlineStr">
        <is>
          <t>exonic</t>
        </is>
      </c>
      <c r="O305" t="inlineStr">
        <is>
          <t>nonsynonymous SNV</t>
        </is>
      </c>
      <c r="P305" t="inlineStr">
        <is>
          <t>TBK1:NM_013254:exon12:c.T1391C:p.V464A;TBK1:uc001ssc.2:exon12:c.T1391C:p.V464A;TBK1:ENST00000676930.1_1:exon9:c.T1043C:p.V348A,TBK1:ENST00000331710.10_6:exon12:c.T1391C:p.V464A,TBK1:ENST00000650790.1_5:exon12:c.T1391C:p.V464A,TBK1:ENST00000652657.1_1:exon12:c.T1391C:p.V464A,TBK1:ENST00000676912.1_3:exon12:c.T1235C:p.V412A,TBK1:ENST00000677632.1_3:exon12:c.T1391C:p.V464A,TBK1:ENST00000677641.1_2:exon12:c.T1391C:p.V464A,TBK1:ENST00000651014.1_2:exon13:c.T1235C:p.V412A</t>
        </is>
      </c>
      <c r="Q305" t="n">
        <v>0.0253</v>
      </c>
      <c r="R305" t="n">
        <v>0.0188</v>
      </c>
      <c r="S305" t="n">
        <v>0.02</v>
      </c>
      <c r="T305" t="n">
        <v>-1</v>
      </c>
      <c r="U305" t="n">
        <v>0.0185</v>
      </c>
      <c r="V305" t="inlineStr">
        <is>
          <t>4/10</t>
        </is>
      </c>
      <c r="W305" t="inlineStr">
        <is>
          <t>.</t>
        </is>
      </c>
      <c r="X305" t="inlineStr">
        <is>
          <t>.</t>
        </is>
      </c>
      <c r="Y305" t="inlineStr">
        <is>
          <t>.</t>
        </is>
      </c>
      <c r="Z305" t="inlineStr">
        <is>
          <t>7/7</t>
        </is>
      </c>
      <c r="AA305" t="inlineStr">
        <is>
          <t>Uncertain significance</t>
        </is>
      </c>
      <c r="AB305" t="inlineStr">
        <is>
          <t>Benign</t>
        </is>
      </c>
      <c r="AC305" t="inlineStr">
        <is>
          <t>0/1</t>
        </is>
      </c>
      <c r="AD305" t="inlineStr">
        <is>
          <t>1</t>
        </is>
      </c>
      <c r="AE305" t="inlineStr">
        <is>
          <t>0.995096971403116</t>
        </is>
      </c>
      <c r="AF305" t="inlineStr">
        <is>
          <t>TANK binding kinase 1</t>
        </is>
      </c>
      <c r="AG305" t="inlineStr">
        <is>
          <t xml:space="preserve">FUNCTION: Serine/threonine kinase that plays an essential role in regulating inflammatory responses to foreign agents. Following activation of toll-like receptors by viral or bacterial components, associates with TRAF3 and TANK and phosphorylates interferon regulatory factors (IRFs) IRF3 and IRF7 as well as DDX3X. This activity allows subsequent homodimerization and nuclear translocation of the IRFs leading to transcriptional activation of pro-inflammatory and antiviral genes including IFNA and IFNB. In order to establish such an antiviral state, TBK1 form several different complexes whose composition depends on the type of cell and cellular stimuli. Thus, several scaffolding molecules including FADD, TRADD, MAVS, AZI2, TANK or TBKBP1/SINTBAD can be recruited to the TBK1-containing-complexes. Under particular conditions, functions as a NF-kappa-B effector by phosphorylating NF-kappa-B inhibitor alpha/NFKBIA, IKBKB or RELA to translocate NF-Kappa-B to the nucleus. Restricts bacterial proliferation by phosphorylating the autophagy receptor OPTN/Optineurin on 'Ser- 177', thus enhancing LC3 binding affinity and antibacterial autophagy. Phosphorylates and activates AKT1. Seems to play a role in energy balance regulation by sustaining a state of chronic, low-grade inflammation in obesity, wich leads to a negative impact on insulin sensitivity. Attenuates retroviral budding by phosphorylating the endosomal sorting complex required for transport-I (ESCRT-I) subunit VPS37C. Phosphorylates Borna disease virus (BDV) P protein. {ECO:0000269|PubMed:10581243, ECO:0000269|PubMed:10783893, ECO:0000269|PubMed:11839743, ECO:0000269|PubMed:12692549, ECO:0000269|PubMed:12702806, ECO:0000269|PubMed:14703513, ECO:0000269|PubMed:15367631, ECO:0000269|PubMed:15485837, ECO:0000269|PubMed:15489227, ECO:0000269|PubMed:18583960, ECO:0000269|PubMed:21138416, ECO:0000269|PubMed:21270402, ECO:0000269|PubMed:21464307, ECO:0000269|PubMed:21617041, ECO:0000269|PubMed:21931631, ECO:0000269|PubMed:23453971, ECO:0000269|PubMed:23453972, ECO:0000269|PubMed:23746807}.; </t>
        </is>
      </c>
      <c r="AH305" t="inlineStr">
        <is>
          <t xml:space="preserve">DISEASE: Glaucoma 1, open angle, P (GLC1P) [MIM:177700]: A form of primary open angle glaucoma (POAG). POAG is characterized by a specific pattern of optic nerve and visual field defects. The angle of the anterior chamber of the eye is open, and usually the intraocular pressure is increased. However, glaucoma can occur at any intraocular pressure. The disease is generally asymptomatic until the late stages, by which time significant and irreversible optic nerve damage has already taken place. GLC1P is characterized by early onset, thin central corneas and low intraocular pressure. {ECO:0000269|PubMed:21447600, ECO:0000269|PubMed:22306015}. Note=The disease may be caused by mutations affecting the gene represented in this entry. A copy number variation on chromosome 12q14 consisting of a 300 kb duplication that includes TBK1, XPOT, RASSF3 and GNS has been found in individuals affected by glaucoma. TBK1 is the most likely candidate for the disorder (PubMed:21447600). {ECO:0000269|PubMed:21447600}.; DISEASE: Frontotemporal dementia and/or amyotrophic lateral sclerosis 4 (FTDALS4) [MIM:616439]: A neurodegenerative disorder characterized by frontotemporal dementia and/or amyotrophic lateral sclerosis in affected individuals. There is high intrafamilial variation. Frontotemporal dementia is characterized by frontal and temporal lobe atrophy associated with neuronal loss, gliosis, and dementia. Patients exhibit progressive changes in social, behavioral, and/or language function. Amyotrophic lateral sclerosis is characterized by the death of motor neurons in the brain, brainstem, and spinal cord, resulting in fatal paralysis. {ECO:0000269|PubMed:25803835, ECO:0000269|PubMed:25943890}. Note=The disease is caused by mutations affecting the gene represented in this entry.; </t>
        </is>
      </c>
      <c r="AI305" t="inlineStr">
        <is>
          <t>.</t>
        </is>
      </c>
      <c r="AJ305" t="inlineStr">
        <is>
          <t>.</t>
        </is>
      </c>
      <c r="AK305" t="inlineStr">
        <is>
          <t>.</t>
        </is>
      </c>
      <c r="AL305" t="inlineStr">
        <is>
          <t>.</t>
        </is>
      </c>
    </row>
    <row r="306">
      <c r="A306" t="inlineStr"/>
      <c r="B306">
        <f>HYPERLINK("https://genome.ucsc.edu/cgi-bin/hgTracks?db=hg19&amp;position=chr12%3A68552043%2D68552043", "chr12:68552043")</f>
        <v/>
      </c>
      <c r="C306" t="inlineStr">
        <is>
          <t>chr12</t>
        </is>
      </c>
      <c r="D306" t="n">
        <v>68552043</v>
      </c>
      <c r="E306" t="n">
        <v>68552043</v>
      </c>
      <c r="F306" t="inlineStr">
        <is>
          <t>A</t>
        </is>
      </c>
      <c r="G306" t="inlineStr">
        <is>
          <t>-</t>
        </is>
      </c>
      <c r="H306" t="inlineStr">
        <is>
          <t>1705.02</t>
        </is>
      </c>
      <c r="I306" t="inlineStr">
        <is>
          <t>70</t>
        </is>
      </c>
      <c r="J306" t="inlineStr">
        <is>
          <t>1,20,45</t>
        </is>
      </c>
      <c r="K306" t="inlineStr">
        <is>
          <t>.</t>
        </is>
      </c>
      <c r="L306" t="inlineStr">
        <is>
          <t>.</t>
        </is>
      </c>
      <c r="M306">
        <f>HYPERLINK("https://www.genecards.org/Search/Keyword?queryString=%5Baliases%5D(%20IFNG%20)&amp;keywords=IFNG", "IFNG")</f>
        <v/>
      </c>
      <c r="N306" t="inlineStr">
        <is>
          <t>intronic;ncRNA_intronic</t>
        </is>
      </c>
      <c r="O306" t="inlineStr">
        <is>
          <t>.</t>
        </is>
      </c>
      <c r="P306" t="inlineStr">
        <is>
          <t>.</t>
        </is>
      </c>
      <c r="Q306" t="n">
        <v>-1</v>
      </c>
      <c r="R306" t="n">
        <v>-1</v>
      </c>
      <c r="S306" t="n">
        <v>-1</v>
      </c>
      <c r="T306" t="n">
        <v>-1</v>
      </c>
      <c r="U306" t="n">
        <v>-1</v>
      </c>
      <c r="V306" t="inlineStr">
        <is>
          <t>.</t>
        </is>
      </c>
      <c r="W306" t="inlineStr">
        <is>
          <t>.</t>
        </is>
      </c>
      <c r="X306" t="inlineStr">
        <is>
          <t>.</t>
        </is>
      </c>
      <c r="Y306" t="inlineStr">
        <is>
          <t>.</t>
        </is>
      </c>
      <c r="Z306" t="inlineStr">
        <is>
          <t>.</t>
        </is>
      </c>
      <c r="AA306" t="inlineStr">
        <is>
          <t>.</t>
        </is>
      </c>
      <c r="AB306" t="inlineStr">
        <is>
          <t>.</t>
        </is>
      </c>
      <c r="AC306" t="inlineStr">
        <is>
          <t>1/2</t>
        </is>
      </c>
      <c r="AD306" t="inlineStr">
        <is>
          <t>1</t>
        </is>
      </c>
      <c r="AE306" t="inlineStr">
        <is>
          <t>0.0204465656775392</t>
        </is>
      </c>
      <c r="AF306" t="inlineStr">
        <is>
          <t>interferon, gamma</t>
        </is>
      </c>
      <c r="AG306" t="inlineStr">
        <is>
          <t xml:space="preserve">FUNCTION: Produced by lymphocytes activated by specific antigens or mitogens. IFN-gamma, in addition to having antiviral activity, has important immunoregulatory functions. It is a potent activator of macrophages, it has antiproliferative effects on transformed cells and it can potentiate the antiviral and antitumor effects of the type I interferons.; </t>
        </is>
      </c>
      <c r="AH306" t="inlineStr">
        <is>
          <t xml:space="preserve">DISEASE: Aplastic anemia (AA) [MIM:609135]: A form of anemia in which the bone marrow fails to produce adequate numbers of peripheral blood elements. It is characterized by peripheral pancytopenia and marrow hypoplasia. {ECO:0000269|PubMed:15327519}. Note=Disease susceptibility may be associated with variations affecting the gene represented in this entry.; </t>
        </is>
      </c>
      <c r="AI306" t="inlineStr">
        <is>
          <t>.</t>
        </is>
      </c>
      <c r="AJ306" t="inlineStr">
        <is>
          <t>.</t>
        </is>
      </c>
      <c r="AK306" t="inlineStr">
        <is>
          <t>.</t>
        </is>
      </c>
      <c r="AL306" t="inlineStr">
        <is>
          <t>.</t>
        </is>
      </c>
    </row>
    <row r="307">
      <c r="A307" t="inlineStr"/>
      <c r="B307">
        <f>HYPERLINK("https://genome.ucsc.edu/cgi-bin/hgTracks?db=hg19&amp;position=chr12%3A70065214%2D70065214", "chr12:70065214")</f>
        <v/>
      </c>
      <c r="C307" t="inlineStr">
        <is>
          <t>chr12</t>
        </is>
      </c>
      <c r="D307" t="n">
        <v>70065214</v>
      </c>
      <c r="E307" t="n">
        <v>70065214</v>
      </c>
      <c r="F307" t="inlineStr">
        <is>
          <t>T</t>
        </is>
      </c>
      <c r="G307" t="inlineStr">
        <is>
          <t>G</t>
        </is>
      </c>
      <c r="H307" t="inlineStr">
        <is>
          <t>629.64</t>
        </is>
      </c>
      <c r="I307" t="inlineStr">
        <is>
          <t>72</t>
        </is>
      </c>
      <c r="J307" t="inlineStr">
        <is>
          <t>39,33</t>
        </is>
      </c>
      <c r="K307" t="inlineStr">
        <is>
          <t>.</t>
        </is>
      </c>
      <c r="L307">
        <f>HYPERLINK("https://www.ncbi.nlm.nih.gov/snp/rs61928092", "rs61928092")</f>
        <v/>
      </c>
      <c r="M307">
        <f>HYPERLINK("https://www.genecards.org/Search/Keyword?queryString=%5Baliases%5D(%20BEST3%20)&amp;keywords=BEST3", "BEST3")</f>
        <v/>
      </c>
      <c r="N307" t="inlineStr">
        <is>
          <t>exonic</t>
        </is>
      </c>
      <c r="O307" t="inlineStr">
        <is>
          <t>nonsynonymous SNV</t>
        </is>
      </c>
      <c r="P307" t="inlineStr">
        <is>
          <t>BEST3:NM_152439:exon5:c.A455C:p.Q152P,BEST3:NM_001282613:exon7:c.A776C:p.Q259P,BEST3:NM_001282614:exon9:c.A1094C:p.Q365P,BEST3:NM_032735:exon9:c.A1094C:p.Q365P;BEST3:uc001svf.3:exon5:c.A455C:p.Q152P,BEST3:uc010stm.2:exon7:c.A776C:p.Q259P,BEST3:uc001svd.2:exon9:c.A1094C:p.Q365P,BEST3:uc001svg.3:exon9:c.A1094C:p.Q365P;BEST3:ENST00000488961.5_3:exon5:c.A455C:p.Q152P,BEST3:ENST00000476098.5_3:exon6:c.A455C:p.Q152P,BEST3:ENST00000553096.5_4:exon7:c.A776C:p.Q259P,BEST3:ENST00000330891.10_12:exon9:c.A1094C:p.Q365P,BEST3:ENST00000331471.8_5:exon9:c.A1094C:p.Q365P</t>
        </is>
      </c>
      <c r="Q307" t="n">
        <v>0.0129</v>
      </c>
      <c r="R307" t="n">
        <v>0.013</v>
      </c>
      <c r="S307" t="n">
        <v>0.013</v>
      </c>
      <c r="T307" t="n">
        <v>-1</v>
      </c>
      <c r="U307" t="n">
        <v>0.0137</v>
      </c>
      <c r="V307" t="inlineStr">
        <is>
          <t>6/10</t>
        </is>
      </c>
      <c r="W307" t="inlineStr">
        <is>
          <t>.</t>
        </is>
      </c>
      <c r="X307" t="inlineStr">
        <is>
          <t>.</t>
        </is>
      </c>
      <c r="Y307" t="inlineStr">
        <is>
          <t>.</t>
        </is>
      </c>
      <c r="Z307" t="inlineStr">
        <is>
          <t>5/7</t>
        </is>
      </c>
      <c r="AA307" t="inlineStr">
        <is>
          <t>Uncertain significance</t>
        </is>
      </c>
      <c r="AB307" t="inlineStr">
        <is>
          <t>.</t>
        </is>
      </c>
      <c r="AC307" t="inlineStr">
        <is>
          <t>0/1</t>
        </is>
      </c>
      <c r="AD307" t="inlineStr">
        <is>
          <t>1</t>
        </is>
      </c>
      <c r="AE307" t="inlineStr">
        <is>
          <t>3.69441601591338e-17</t>
        </is>
      </c>
      <c r="AF307" t="inlineStr">
        <is>
          <t>bestrophin 3</t>
        </is>
      </c>
      <c r="AG307" t="inlineStr">
        <is>
          <t xml:space="preserve">FUNCTION: Forms calcium-sensitive chloride channels. Permeable to bicarbonate. {ECO:0000269|PubMed:12907679}.; </t>
        </is>
      </c>
      <c r="AH307" t="inlineStr">
        <is>
          <t>.</t>
        </is>
      </c>
      <c r="AI307" t="inlineStr">
        <is>
          <t>.</t>
        </is>
      </c>
      <c r="AJ307" t="inlineStr">
        <is>
          <t>.</t>
        </is>
      </c>
      <c r="AK307" t="inlineStr">
        <is>
          <t>.</t>
        </is>
      </c>
      <c r="AL307" t="inlineStr">
        <is>
          <t>.</t>
        </is>
      </c>
    </row>
    <row r="308">
      <c r="A308" t="inlineStr"/>
      <c r="B308">
        <f>HYPERLINK("https://genome.ucsc.edu/cgi-bin/hgTracks?db=hg19&amp;position=chr12%3A80651685%2D80651685", "chr12:80651685")</f>
        <v/>
      </c>
      <c r="C308" t="inlineStr">
        <is>
          <t>chr12</t>
        </is>
      </c>
      <c r="D308" t="n">
        <v>80651685</v>
      </c>
      <c r="E308" t="n">
        <v>80651685</v>
      </c>
      <c r="F308" t="inlineStr">
        <is>
          <t>G</t>
        </is>
      </c>
      <c r="G308" t="inlineStr">
        <is>
          <t>T</t>
        </is>
      </c>
      <c r="H308" t="inlineStr">
        <is>
          <t>841.64</t>
        </is>
      </c>
      <c r="I308" t="inlineStr">
        <is>
          <t>91</t>
        </is>
      </c>
      <c r="J308" t="inlineStr">
        <is>
          <t>51,40</t>
        </is>
      </c>
      <c r="K308" t="inlineStr">
        <is>
          <t>.</t>
        </is>
      </c>
      <c r="L308">
        <f>HYPERLINK("https://www.ncbi.nlm.nih.gov/snp/rs757555432", "rs757555432")</f>
        <v/>
      </c>
      <c r="M308">
        <f>HYPERLINK("https://www.genecards.org/Search/Keyword?queryString=%5Baliases%5D(%20OTOGL%20)&amp;keywords=OTOGL", "OTOGL")</f>
        <v/>
      </c>
      <c r="N308" t="inlineStr">
        <is>
          <t>exonic</t>
        </is>
      </c>
      <c r="O308" t="inlineStr">
        <is>
          <t>nonsynonymous SNV</t>
        </is>
      </c>
      <c r="P308" t="inlineStr">
        <is>
          <t>OTOGL:NM_001378609:exon18:c.G1765T:p.D589Y,OTOGL:NM_173591:exon18:c.G1765T:p.D589Y,OTOGL:NM_001378610:exon21:c.G1765T:p.D589Y,OTOGL:NM_001368062:exon23:c.G1765T:p.D589Y;OTOGL:uc001szd.3:exon17:c.G1765T:p.D589Y;OTOGL:ENST00000547103.7_10:exon18:c.G1792T:p.D598Y,OTOGL:ENST00000646859.1_6:exon23:c.G1792T:p.D598Y</t>
        </is>
      </c>
      <c r="Q308" t="n">
        <v>6.5e-06</v>
      </c>
      <c r="R308" t="n">
        <v>-1</v>
      </c>
      <c r="S308" t="n">
        <v>-1</v>
      </c>
      <c r="T308" t="n">
        <v>-1</v>
      </c>
      <c r="U308" t="n">
        <v>-1</v>
      </c>
      <c r="V308" t="inlineStr">
        <is>
          <t>7/11</t>
        </is>
      </c>
      <c r="W308" t="inlineStr">
        <is>
          <t>.</t>
        </is>
      </c>
      <c r="X308" t="inlineStr">
        <is>
          <t>.</t>
        </is>
      </c>
      <c r="Y308" t="inlineStr">
        <is>
          <t>.</t>
        </is>
      </c>
      <c r="Z308" t="inlineStr">
        <is>
          <t>4/7</t>
        </is>
      </c>
      <c r="AA308" t="inlineStr">
        <is>
          <t>Uncertain significance</t>
        </is>
      </c>
      <c r="AB308" t="inlineStr">
        <is>
          <t>.</t>
        </is>
      </c>
      <c r="AC308" t="inlineStr">
        <is>
          <t>0/1</t>
        </is>
      </c>
      <c r="AD308" t="inlineStr">
        <is>
          <t>2</t>
        </is>
      </c>
      <c r="AE308" t="inlineStr">
        <is>
          <t>3.7282457621613e-31</t>
        </is>
      </c>
      <c r="AF308" t="inlineStr">
        <is>
          <t>otogelin like</t>
        </is>
      </c>
      <c r="AG308" t="inlineStr">
        <is>
          <t>.</t>
        </is>
      </c>
      <c r="AH308" t="inlineStr">
        <is>
          <t>.</t>
        </is>
      </c>
      <c r="AI308" t="inlineStr">
        <is>
          <t>.</t>
        </is>
      </c>
      <c r="AJ308" t="inlineStr">
        <is>
          <t>.</t>
        </is>
      </c>
      <c r="AK308" t="inlineStr">
        <is>
          <t>.</t>
        </is>
      </c>
      <c r="AL308" t="inlineStr">
        <is>
          <t>.</t>
        </is>
      </c>
    </row>
    <row r="309">
      <c r="A309" t="inlineStr"/>
      <c r="B309">
        <f>HYPERLINK("https://genome.ucsc.edu/cgi-bin/hgTracks?db=hg19&amp;position=chr12%3A80672819%2D80672819", "chr12:80672819")</f>
        <v/>
      </c>
      <c r="C309" t="inlineStr">
        <is>
          <t>chr12</t>
        </is>
      </c>
      <c r="D309" t="n">
        <v>80672819</v>
      </c>
      <c r="E309" t="n">
        <v>80672819</v>
      </c>
      <c r="F309" t="inlineStr">
        <is>
          <t>G</t>
        </is>
      </c>
      <c r="G309" t="inlineStr">
        <is>
          <t>T</t>
        </is>
      </c>
      <c r="H309" t="inlineStr">
        <is>
          <t>262.64</t>
        </is>
      </c>
      <c r="I309" t="inlineStr">
        <is>
          <t>56</t>
        </is>
      </c>
      <c r="J309" t="inlineStr">
        <is>
          <t>43,13</t>
        </is>
      </c>
      <c r="K309" t="inlineStr">
        <is>
          <t>.</t>
        </is>
      </c>
      <c r="L309">
        <f>HYPERLINK("https://www.ncbi.nlm.nih.gov/snp/rs779558696", "rs779558696")</f>
        <v/>
      </c>
      <c r="M309">
        <f>HYPERLINK("https://www.genecards.org/Search/Keyword?queryString=%5Baliases%5D(%20OTOGL%20)&amp;keywords=OTOGL", "OTOGL")</f>
        <v/>
      </c>
      <c r="N309" t="inlineStr">
        <is>
          <t>exonic</t>
        </is>
      </c>
      <c r="O309" t="inlineStr">
        <is>
          <t>nonsynonymous SNV</t>
        </is>
      </c>
      <c r="P309" t="inlineStr">
        <is>
          <t>OTOGL:NM_001378609:exon26:c.G2774T:p.R925L,OTOGL:NM_173591:exon26:c.G2774T:p.R925L,OTOGL:NM_001378610:exon29:c.G2774T:p.R925L,OTOGL:NM_001368062:exon31:c.G2774T:p.R925L;OTOGL:uc001szd.3:exon25:c.G2774T:p.R925L;OTOGL:ENST00000547103.7_10:exon26:c.G2801T:p.R934L,OTOGL:ENST00000646859.1_6:exon31:c.G2801T:p.R934L</t>
        </is>
      </c>
      <c r="Q309" t="n">
        <v>-1</v>
      </c>
      <c r="R309" t="n">
        <v>-1</v>
      </c>
      <c r="S309" t="n">
        <v>-1</v>
      </c>
      <c r="T309" t="n">
        <v>-1</v>
      </c>
      <c r="U309" t="n">
        <v>-1</v>
      </c>
      <c r="V309" t="inlineStr">
        <is>
          <t>7/11</t>
        </is>
      </c>
      <c r="W309" t="inlineStr">
        <is>
          <t>.</t>
        </is>
      </c>
      <c r="X309" t="inlineStr">
        <is>
          <t>.</t>
        </is>
      </c>
      <c r="Y309" t="inlineStr">
        <is>
          <t>.</t>
        </is>
      </c>
      <c r="Z309" t="inlineStr">
        <is>
          <t>4/7</t>
        </is>
      </c>
      <c r="AA309" t="inlineStr">
        <is>
          <t>Uncertain significance</t>
        </is>
      </c>
      <c r="AB309" t="inlineStr">
        <is>
          <t>.</t>
        </is>
      </c>
      <c r="AC309" t="inlineStr">
        <is>
          <t>0/1</t>
        </is>
      </c>
      <c r="AD309" t="inlineStr">
        <is>
          <t>2</t>
        </is>
      </c>
      <c r="AE309" t="inlineStr">
        <is>
          <t>3.7282457621613e-31</t>
        </is>
      </c>
      <c r="AF309" t="inlineStr">
        <is>
          <t>otogelin like</t>
        </is>
      </c>
      <c r="AG309" t="inlineStr">
        <is>
          <t>.</t>
        </is>
      </c>
      <c r="AH309" t="inlineStr">
        <is>
          <t>.</t>
        </is>
      </c>
      <c r="AI309" t="inlineStr">
        <is>
          <t>.</t>
        </is>
      </c>
      <c r="AJ309" t="inlineStr">
        <is>
          <t>.</t>
        </is>
      </c>
      <c r="AK309" t="inlineStr">
        <is>
          <t>.</t>
        </is>
      </c>
      <c r="AL309" t="inlineStr">
        <is>
          <t>.</t>
        </is>
      </c>
    </row>
    <row r="310">
      <c r="A310" t="inlineStr"/>
      <c r="B310">
        <f>HYPERLINK("https://genome.ucsc.edu/cgi-bin/hgTracks?db=hg19&amp;position=chr12%3A83290161%2D83290161", "chr12:83290161")</f>
        <v/>
      </c>
      <c r="C310" t="inlineStr">
        <is>
          <t>chr12</t>
        </is>
      </c>
      <c r="D310" t="n">
        <v>83290161</v>
      </c>
      <c r="E310" t="n">
        <v>83290161</v>
      </c>
      <c r="F310" t="inlineStr">
        <is>
          <t>C</t>
        </is>
      </c>
      <c r="G310" t="inlineStr">
        <is>
          <t>A</t>
        </is>
      </c>
      <c r="H310" t="inlineStr">
        <is>
          <t>258.64</t>
        </is>
      </c>
      <c r="I310" t="inlineStr">
        <is>
          <t>74</t>
        </is>
      </c>
      <c r="J310" t="inlineStr">
        <is>
          <t>57,17</t>
        </is>
      </c>
      <c r="K310" t="inlineStr">
        <is>
          <t>.</t>
        </is>
      </c>
      <c r="L310" t="inlineStr">
        <is>
          <t>.</t>
        </is>
      </c>
      <c r="M310">
        <f>HYPERLINK("https://www.genecards.org/Search/Keyword?queryString=%5Baliases%5D(%20TMTC2%20)&amp;keywords=TMTC2", "TMTC2")</f>
        <v/>
      </c>
      <c r="N310" t="inlineStr">
        <is>
          <t>exonic</t>
        </is>
      </c>
      <c r="O310" t="inlineStr">
        <is>
          <t>nonsynonymous SNV</t>
        </is>
      </c>
      <c r="P310" t="inlineStr">
        <is>
          <t>TMTC2:NM_001320321:exon2:c.C484A:p.P162T,TMTC2:NM_001320322:exon3:c.C1219A:p.P407T,TMTC2:NM_152588:exon3:c.C1219A:p.P407T;TMTC2:uc010suk.2:exon2:c.C484A:p.P162T,TMTC2:uc001szr.1:exon3:c.C1219A:p.P407T,TMTC2:uc001szs.1:exon3:c.C1219A:p.P407T,TMTC2:uc001szt.3:exon3:c.C1219A:p.P407T;TMTC2:ENST00000321196.8_3:exon3:c.C1219A:p.P407T,TMTC2:ENST00000548305.5_2:exon3:c.C1219A:p.P407T,TMTC2:ENST00000549919.1_1:exon4:c.C1201A:p.P401T</t>
        </is>
      </c>
      <c r="Q310" t="n">
        <v>-1</v>
      </c>
      <c r="R310" t="n">
        <v>-1</v>
      </c>
      <c r="S310" t="n">
        <v>-1</v>
      </c>
      <c r="T310" t="n">
        <v>-1</v>
      </c>
      <c r="U310" t="n">
        <v>-1</v>
      </c>
      <c r="V310" t="inlineStr">
        <is>
          <t>7/12</t>
        </is>
      </c>
      <c r="W310" t="inlineStr">
        <is>
          <t>.</t>
        </is>
      </c>
      <c r="X310" t="inlineStr">
        <is>
          <t>.</t>
        </is>
      </c>
      <c r="Y310" t="inlineStr">
        <is>
          <t>.</t>
        </is>
      </c>
      <c r="Z310" t="inlineStr">
        <is>
          <t>5/7</t>
        </is>
      </c>
      <c r="AA310" t="inlineStr">
        <is>
          <t>Uncertain significance</t>
        </is>
      </c>
      <c r="AB310" t="inlineStr">
        <is>
          <t>.</t>
        </is>
      </c>
      <c r="AC310" t="inlineStr">
        <is>
          <t>0/1</t>
        </is>
      </c>
      <c r="AD310" t="inlineStr">
        <is>
          <t>1</t>
        </is>
      </c>
      <c r="AE310" t="inlineStr">
        <is>
          <t>0.863100805982337</t>
        </is>
      </c>
      <c r="AF310" t="inlineStr">
        <is>
          <t>transmembrane and tetratricopeptide repeat containing 2</t>
        </is>
      </c>
      <c r="AG310" t="inlineStr">
        <is>
          <t>.</t>
        </is>
      </c>
      <c r="AH310" t="inlineStr">
        <is>
          <t>.</t>
        </is>
      </c>
      <c r="AI310" t="inlineStr">
        <is>
          <t>.</t>
        </is>
      </c>
      <c r="AJ310" t="inlineStr">
        <is>
          <t>.</t>
        </is>
      </c>
      <c r="AK310" t="inlineStr">
        <is>
          <t>.</t>
        </is>
      </c>
      <c r="AL310" t="inlineStr">
        <is>
          <t>.</t>
        </is>
      </c>
    </row>
    <row r="311">
      <c r="A311" t="inlineStr"/>
      <c r="B311">
        <f>HYPERLINK("https://genome.ucsc.edu/cgi-bin/hgTracks?db=hg19&amp;position=chr12%3A88500799%2D88500799", "chr12:88500799")</f>
        <v/>
      </c>
      <c r="C311" t="inlineStr">
        <is>
          <t>chr12</t>
        </is>
      </c>
      <c r="D311" t="n">
        <v>88500799</v>
      </c>
      <c r="E311" t="n">
        <v>88500799</v>
      </c>
      <c r="F311" t="inlineStr">
        <is>
          <t>C</t>
        </is>
      </c>
      <c r="G311" t="inlineStr">
        <is>
          <t>G</t>
        </is>
      </c>
      <c r="H311" t="inlineStr">
        <is>
          <t>219.64</t>
        </is>
      </c>
      <c r="I311" t="inlineStr">
        <is>
          <t>63</t>
        </is>
      </c>
      <c r="J311" t="inlineStr">
        <is>
          <t>48,15</t>
        </is>
      </c>
      <c r="K311" t="inlineStr">
        <is>
          <t>.</t>
        </is>
      </c>
      <c r="L311" t="inlineStr">
        <is>
          <t>.</t>
        </is>
      </c>
      <c r="M311">
        <f>HYPERLINK("https://www.genecards.org/Search/Keyword?queryString=%5Baliases%5D(%20CEP290%20)&amp;keywords=CEP290", "CEP290")</f>
        <v/>
      </c>
      <c r="N311" t="inlineStr">
        <is>
          <t>exonic</t>
        </is>
      </c>
      <c r="O311" t="inlineStr">
        <is>
          <t>nonsynonymous SNV</t>
        </is>
      </c>
      <c r="P311" t="inlineStr">
        <is>
          <t>CEP290:NM_025114:exon24:c.G2560C:p.D854H;CEP290:uc001tat.3:exon16:c.G1939C:p.D647H,CEP290:uc001tar.3:exon24:c.G2560C:p.D854H;CEP290:ENST00000675230.1_3:exon23:c.G2539C:p.D847H,CEP290:ENST00000309041.12_5:exon24:c.G2560C:p.D854H,CEP290:ENST00000552810.6_6:exon24:c.G2560C:p.D854H,CEP290:ENST00000673058.2_5:exon24:c.G2560C:p.D854H,CEP290:ENST00000675408.1_3:exon24:c.G2560C:p.D854H,CEP290:ENST00000675833.1_3:exon25:c.G3328C:p.D1110H,CEP290:ENST00000675476.1_3:exon26:c.G3421C:p.D1141H</t>
        </is>
      </c>
      <c r="Q311" t="n">
        <v>-1</v>
      </c>
      <c r="R311" t="n">
        <v>-1</v>
      </c>
      <c r="S311" t="n">
        <v>-1</v>
      </c>
      <c r="T311" t="n">
        <v>-1</v>
      </c>
      <c r="U311" t="n">
        <v>-1</v>
      </c>
      <c r="V311" t="inlineStr">
        <is>
          <t>7/12</t>
        </is>
      </c>
      <c r="W311" t="inlineStr">
        <is>
          <t>.</t>
        </is>
      </c>
      <c r="X311" t="inlineStr">
        <is>
          <t>.</t>
        </is>
      </c>
      <c r="Y311" t="inlineStr">
        <is>
          <t>.</t>
        </is>
      </c>
      <c r="Z311" t="inlineStr">
        <is>
          <t>2/7</t>
        </is>
      </c>
      <c r="AA311" t="inlineStr">
        <is>
          <t>Uncertain significance</t>
        </is>
      </c>
      <c r="AB311" t="inlineStr">
        <is>
          <t>.</t>
        </is>
      </c>
      <c r="AC311" t="inlineStr">
        <is>
          <t>0/1</t>
        </is>
      </c>
      <c r="AD311" t="inlineStr">
        <is>
          <t>1</t>
        </is>
      </c>
      <c r="AE311" t="inlineStr">
        <is>
          <t>1.03912081117924e-34</t>
        </is>
      </c>
      <c r="AF311" t="inlineStr">
        <is>
          <t>centrosomal protein 290kDa</t>
        </is>
      </c>
      <c r="AG311" t="inlineStr">
        <is>
          <t xml:space="preserve">FUNCTION: Part of the tectonic-like complex which is required for tissue-specific ciliogenesis and may regulate ciliary membrane composition (By similarity). Activates ATF4-mediated transcription. Required for the correct localization of ciliary and phototransduction proteins in retinal photoreceptor cells; may play a role in ciliary transport processes. {ECO:0000250|UniProtKB:Q6A078, ECO:0000269|PubMed:16682973}.; </t>
        </is>
      </c>
      <c r="AH311" t="inlineStr">
        <is>
          <t xml:space="preserve">DISEASE: Joubert syndrome 5 (JBTS5) [MIM:610188]: A disorder presenting with cerebellar ataxia, oculomotor apraxia, hypotonia, neonatal breathing abnormalities and psychomotor delay. Neuroradiologically, it is characterized by cerebellar vermian hypoplasia/aplasia, thickened and reoriented superior cerebellar peduncles, and an abnormally large interpeduncular fossa, giving the appearance of a molar tooth on transaxial slices (molar tooth sign). Additional variable features include retinal dystrophy and renal disease. Joubert syndrome type 5 shares the neurologic and neuroradiologic features of Joubert syndrome together with severe retinal dystrophy and/or progressive renal failure characterized by nephronophthisis. {ECO:0000269|PubMed:16682970, ECO:0000269|PubMed:16682973, ECO:0000269|PubMed:22425360}. Note=The disease is caused by mutations affecting the gene represented in this entry.; DISEASE: Senior-Loken syndrome 6 (SLSN6) [MIM:610189]: A renal- retinal disorder characterized by progressive wasting of the filtering unit of the kidney (nephronophthisis), with or without medullary cystic renal disease, and progressive eye disease. Typically this disorder becomes apparent during the first year of life. {ECO:0000269|PubMed:20683928}. Note=The disease is caused by mutations affecting the gene represented in this entry.; DISEASE: Leber congenital amaurosis 10 (LCA10) [MIM:611755]: A severe dystrophy of the retina, typically becoming evident in the first years of life. Visual function is usually poor and often accompanied by nystagmus, sluggish or near-absent pupillary responses, photophobia, high hyperopia and keratoconus. {ECO:0000269|PubMed:16909394}. Note=The disease is caused by mutations affecting the gene represented in this entry.; DISEASE: Meckel syndrome 4 (MKS4) [MIM:611134]: A disorder characterized by a combination of renal cysts and variably associated features including developmental anomalies of the central nervous system (typically encephalocele), hepatic ductal dysplasia and cysts, and polydactyly. {ECO:0000269|PubMed:17564974}. Note=The disease is caused by mutations affecting the gene represented in this entry.; DISEASE: Note=Antibodies against CEP290 are present in sera from patients with cutaneous T-cell lymphomas, but not in the healthy control population. {ECO:0000269|PubMed:11149944}.; DISEASE: Bardet-Biedl syndrome 14 (BBS14) [MIM:615991]: A syndrome characterized by usually severe pigmentary retinopathy, early- onset obesity, polydactyly, hypogenitalism, renal malformation and mental retardation. Secondary features include diabetes mellitus, hypertension and congenital heart disease. Bardet-Biedl syndrome inheritance is autosomal recessive, but three mutated alleles (two at one locus, and a third at a second locus) may be required for clinical manifestation of some forms of the disease. {ECO:0000269|PubMed:18327255}. Note=The disease is caused by mutations affecting the gene represented in this entry.; </t>
        </is>
      </c>
      <c r="AI311" t="inlineStr">
        <is>
          <t>.</t>
        </is>
      </c>
      <c r="AJ311" t="inlineStr">
        <is>
          <t>.</t>
        </is>
      </c>
      <c r="AK311" t="inlineStr">
        <is>
          <t>.</t>
        </is>
      </c>
      <c r="AL311" t="inlineStr">
        <is>
          <t>.</t>
        </is>
      </c>
    </row>
    <row r="312">
      <c r="A312" t="inlineStr"/>
      <c r="B312">
        <f>HYPERLINK("https://genome.ucsc.edu/cgi-bin/hgTracks?db=hg19&amp;position=chr12%3A91449519%2D91449519", "chr12:91449519")</f>
        <v/>
      </c>
      <c r="C312" t="inlineStr">
        <is>
          <t>chr12</t>
        </is>
      </c>
      <c r="D312" t="n">
        <v>91449519</v>
      </c>
      <c r="E312" t="n">
        <v>91449519</v>
      </c>
      <c r="F312" t="inlineStr">
        <is>
          <t>G</t>
        </is>
      </c>
      <c r="G312" t="inlineStr">
        <is>
          <t>T</t>
        </is>
      </c>
      <c r="H312" t="inlineStr">
        <is>
          <t>891.64</t>
        </is>
      </c>
      <c r="I312" t="inlineStr">
        <is>
          <t>177</t>
        </is>
      </c>
      <c r="J312" t="inlineStr">
        <is>
          <t>130,47</t>
        </is>
      </c>
      <c r="K312" t="inlineStr">
        <is>
          <t>.</t>
        </is>
      </c>
      <c r="L312" t="inlineStr">
        <is>
          <t>.</t>
        </is>
      </c>
      <c r="M312">
        <f>HYPERLINK("https://www.genecards.org/Search/Keyword?queryString=%5Baliases%5D(%20KERA%20)&amp;keywords=KERA", "KERA")</f>
        <v/>
      </c>
      <c r="N312" t="inlineStr">
        <is>
          <t>exonic</t>
        </is>
      </c>
      <c r="O312" t="inlineStr">
        <is>
          <t>nonsynonymous SNV</t>
        </is>
      </c>
      <c r="P312" t="inlineStr">
        <is>
          <t>KERA:NM_007035:exon2:c.C540A:p.D180E;KERA:uc001tbl.3:exon2:c.C540A:p.D180E;KERA:ENST00000266719.4_4:exon2:c.C540A:p.D180E</t>
        </is>
      </c>
      <c r="Q312" t="n">
        <v>-1</v>
      </c>
      <c r="R312" t="n">
        <v>-1</v>
      </c>
      <c r="S312" t="n">
        <v>-1</v>
      </c>
      <c r="T312" t="n">
        <v>-1</v>
      </c>
      <c r="U312" t="n">
        <v>-1</v>
      </c>
      <c r="V312" t="inlineStr">
        <is>
          <t>4/12</t>
        </is>
      </c>
      <c r="W312" t="inlineStr">
        <is>
          <t>.</t>
        </is>
      </c>
      <c r="X312" t="inlineStr">
        <is>
          <t>.</t>
        </is>
      </c>
      <c r="Y312" t="inlineStr">
        <is>
          <t>.</t>
        </is>
      </c>
      <c r="Z312" t="inlineStr">
        <is>
          <t>3/7</t>
        </is>
      </c>
      <c r="AA312" t="inlineStr">
        <is>
          <t>Uncertain significance</t>
        </is>
      </c>
      <c r="AB312" t="inlineStr">
        <is>
          <t>.</t>
        </is>
      </c>
      <c r="AC312" t="inlineStr">
        <is>
          <t>0/1</t>
        </is>
      </c>
      <c r="AD312" t="inlineStr">
        <is>
          <t>1</t>
        </is>
      </c>
      <c r="AE312" t="inlineStr">
        <is>
          <t>0.000414369553245371</t>
        </is>
      </c>
      <c r="AF312" t="inlineStr">
        <is>
          <t>keratocan</t>
        </is>
      </c>
      <c r="AG312" t="inlineStr">
        <is>
          <t xml:space="preserve">FUNCTION: May be important in developing and maintaining corneal transparency and for the structure of the stromal matrix.; </t>
        </is>
      </c>
      <c r="AH312" t="inlineStr">
        <is>
          <t xml:space="preserve">DISEASE: The autosomal recessive cornea plana 2 (CNA2) [MIM:217300]: In CNA2, the forward convex curvature is flattened, leading to a decrease in refraction, reduced visual activity, extreme hyperopia (usually plus 10 d or more), hazy corneal limbus, opacities in the corneal parenchyma, and marked arcus senilis (often detected at an early age). CNA2 is a rare disorder with a worldwide distribution, but a high prevalence in the Finnish population. {ECO:0000269|PubMed:10802664, ECO:0000269|PubMed:11726611}. Note=The disease is caused by mutations affecting the gene represented in this entry.; </t>
        </is>
      </c>
      <c r="AI312" t="inlineStr">
        <is>
          <t>.</t>
        </is>
      </c>
      <c r="AJ312" t="inlineStr">
        <is>
          <t>.</t>
        </is>
      </c>
      <c r="AK312" t="inlineStr">
        <is>
          <t>.</t>
        </is>
      </c>
      <c r="AL312" t="inlineStr">
        <is>
          <t>.</t>
        </is>
      </c>
    </row>
    <row r="313">
      <c r="A313" t="inlineStr"/>
      <c r="B313">
        <f>HYPERLINK("https://genome.ucsc.edu/cgi-bin/hgTracks?db=hg19&amp;position=chr12%3A102190255%2D102190258", "chr12:102190255")</f>
        <v/>
      </c>
      <c r="C313" t="inlineStr">
        <is>
          <t>chr12</t>
        </is>
      </c>
      <c r="D313" t="n">
        <v>102190255</v>
      </c>
      <c r="E313" t="n">
        <v>102190258</v>
      </c>
      <c r="F313" t="inlineStr">
        <is>
          <t>TCTG</t>
        </is>
      </c>
      <c r="G313" t="inlineStr">
        <is>
          <t>-</t>
        </is>
      </c>
      <c r="H313" t="inlineStr">
        <is>
          <t>199.60</t>
        </is>
      </c>
      <c r="I313" t="inlineStr">
        <is>
          <t>6</t>
        </is>
      </c>
      <c r="J313" t="inlineStr">
        <is>
          <t>1,5</t>
        </is>
      </c>
      <c r="K313" t="inlineStr">
        <is>
          <t>.</t>
        </is>
      </c>
      <c r="L313">
        <f>HYPERLINK("https://www.ncbi.nlm.nih.gov/snp/rs66520841", "rs66520841")</f>
        <v/>
      </c>
      <c r="M313">
        <f>HYPERLINK("https://www.genecards.org/Search/Keyword?queryString=%5Baliases%5D(%20GNPTAB%20)&amp;keywords=GNPTAB", "GNPTAB")</f>
        <v/>
      </c>
      <c r="N313" t="inlineStr">
        <is>
          <t>intronic;ncRNA_exonic</t>
        </is>
      </c>
      <c r="O313" t="inlineStr">
        <is>
          <t>.</t>
        </is>
      </c>
      <c r="P313" t="inlineStr">
        <is>
          <t>.</t>
        </is>
      </c>
      <c r="Q313" t="n">
        <v>0.0229</v>
      </c>
      <c r="R313" t="n">
        <v>0.0174</v>
      </c>
      <c r="S313" t="n">
        <v>0.0171</v>
      </c>
      <c r="T313" t="n">
        <v>-1</v>
      </c>
      <c r="U313" t="n">
        <v>0.0178</v>
      </c>
      <c r="V313" t="inlineStr">
        <is>
          <t>.</t>
        </is>
      </c>
      <c r="W313" t="inlineStr">
        <is>
          <t>.</t>
        </is>
      </c>
      <c r="X313" t="inlineStr">
        <is>
          <t>.</t>
        </is>
      </c>
      <c r="Y313" t="inlineStr">
        <is>
          <t>.</t>
        </is>
      </c>
      <c r="Z313" t="inlineStr">
        <is>
          <t>.</t>
        </is>
      </c>
      <c r="AA313" t="inlineStr">
        <is>
          <t>.</t>
        </is>
      </c>
      <c r="AB313" t="inlineStr">
        <is>
          <t>.</t>
        </is>
      </c>
      <c r="AC313" t="inlineStr">
        <is>
          <t>0/1</t>
        </is>
      </c>
      <c r="AD313" t="inlineStr">
        <is>
          <t>1</t>
        </is>
      </c>
      <c r="AE313" t="inlineStr">
        <is>
          <t>4.22557947344879e-06</t>
        </is>
      </c>
      <c r="AF313" t="inlineStr">
        <is>
          <t>N-acetylglucosamine-1-phosphate transferase alpha and beta subunits</t>
        </is>
      </c>
      <c r="AG313" t="inlineStr">
        <is>
          <t xml:space="preserve">FUNCTION: Catalyzes the formation of mannose 6-phosphate (M6P) markers on high mannose type oligosaccharides in the Golgi apparatus. M6P residues are required to bind to the M6P receptors (MPR), which mediate the vesicular transport of lysosomal enzymes to the endosomal/prelysosomal compartment. {ECO:0000269|PubMed:19955174, ECO:0000269|PubMed:23733939}.; </t>
        </is>
      </c>
      <c r="AH313" t="inlineStr">
        <is>
          <t xml:space="preserve">DISEASE: Mucolipidosis type II (MLII) [MIM:252500]: Fatal, autosomal recessive, lysosomal storage disorder characterized by severe clinical and radiologic features, peculiar fibroblast inclusions, and no excessive mucopolysacchariduria. Congenital dislocation of the hip, thoracic deformities, hernia, and hyperplastic gums are evident soon after birth. {ECO:0000269|PubMed:16200072, ECO:0000269|PubMed:16835905, ECO:0000269|PubMed:19197337, ECO:0000269|PubMed:19617216, ECO:0000269|PubMed:19634183, ECO:0000269|PubMed:19938078, ECO:0000269|PubMed:22495880, ECO:0000269|PubMed:23566849, ECO:0000269|PubMed:23733939, ECO:0000269|PubMed:23773965, ECO:0000269|PubMed:24375680, ECO:0000269|PubMed:24798265, ECO:0000269|PubMed:25505245, ECO:0000269|PubMed:25788519}. Note=The disease is caused by mutations affecting the gene represented in this entry.; DISEASE: Mucolipidosis type III complementation group A (MLIIIA) [MIM:252600]: Autosomal recessive disease of lysosomal enzyme targeting. Clinically MLIII is characterized by restricted joint mobility, skeletal dysplasia, and short stature. Mildly coarsened facial features and thickening of the skin have been described. Cardiac valvular disease and corneal clouding may also occur. Half of the reported patients show learning disabilities or mental retardation. {ECO:0000269|PubMed:16094673, ECO:0000269|PubMed:16465621, ECO:0000269|PubMed:16630736, ECO:0000269|PubMed:17034777, ECO:0000269|PubMed:19197337, ECO:0000269|PubMed:19617216, ECO:0000269|PubMed:19634183, ECO:0000269|PubMed:19938078, ECO:0000269|PubMed:23566849, ECO:0000269|PubMed:24045841, ECO:0000269|PubMed:24375680, ECO:0000269|PubMed:24550498, ECO:0000269|PubMed:25505245, ECO:0000269|PubMed:25788519}. Note=The disease is caused by mutations affecting the gene represented in this entry.; DISEASE: Note=Defects in GNPTAB have been suggested to play a role in susceptibility to persistent stuttering. Stuttering is a common speech disorder characterized by repetitions, prolongations, and interruptions in the flow of speech. {ECO:0000269|PubMed:20147709}.; </t>
        </is>
      </c>
      <c r="AI313" t="inlineStr">
        <is>
          <t>.</t>
        </is>
      </c>
      <c r="AJ313" t="inlineStr">
        <is>
          <t>.</t>
        </is>
      </c>
      <c r="AK313" t="inlineStr">
        <is>
          <t>.</t>
        </is>
      </c>
      <c r="AL313" t="inlineStr">
        <is>
          <t>.</t>
        </is>
      </c>
    </row>
    <row r="314">
      <c r="A314" t="inlineStr"/>
      <c r="B314">
        <f>HYPERLINK("https://genome.ucsc.edu/cgi-bin/hgTracks?db=hg19&amp;position=chr12%3A102790988%2D102790988", "chr12:102790988")</f>
        <v/>
      </c>
      <c r="C314" t="inlineStr">
        <is>
          <t>chr12</t>
        </is>
      </c>
      <c r="D314" t="n">
        <v>102790988</v>
      </c>
      <c r="E314" t="n">
        <v>102790988</v>
      </c>
      <c r="F314" t="inlineStr">
        <is>
          <t>-</t>
        </is>
      </c>
      <c r="G314" t="inlineStr">
        <is>
          <t>A</t>
        </is>
      </c>
      <c r="H314" t="inlineStr">
        <is>
          <t>52.60</t>
        </is>
      </c>
      <c r="I314" t="inlineStr">
        <is>
          <t>16</t>
        </is>
      </c>
      <c r="J314" t="inlineStr">
        <is>
          <t>12,4</t>
        </is>
      </c>
      <c r="K314" t="inlineStr">
        <is>
          <t>.</t>
        </is>
      </c>
      <c r="L314" t="inlineStr">
        <is>
          <t>.</t>
        </is>
      </c>
      <c r="M314">
        <f>HYPERLINK("https://www.genecards.org/Search/Keyword?queryString=%5Baliases%5D(%20IGF1%20)%20OR%20%5Baliases%5D(%20JX088243%20)&amp;keywords=IGF1,JX088243", "IGF1;JX088243")</f>
        <v/>
      </c>
      <c r="N314" t="inlineStr">
        <is>
          <t>UTR3;ncRNA_exonic</t>
        </is>
      </c>
      <c r="O314" t="inlineStr">
        <is>
          <t>.</t>
        </is>
      </c>
      <c r="P314" t="inlineStr">
        <is>
          <t>NM_001111284:c.*5296_*5297insT;NM_001111283:c.*5330_*5331insT;NM_000618:c.*5296_*5297insT</t>
        </is>
      </c>
      <c r="Q314" t="n">
        <v>0.0073</v>
      </c>
      <c r="R314" t="n">
        <v>0.0054</v>
      </c>
      <c r="S314" t="n">
        <v>0.004</v>
      </c>
      <c r="T314" t="n">
        <v>-1</v>
      </c>
      <c r="U314" t="n">
        <v>0.0046</v>
      </c>
      <c r="V314" t="inlineStr">
        <is>
          <t>.</t>
        </is>
      </c>
      <c r="W314" t="inlineStr">
        <is>
          <t>.</t>
        </is>
      </c>
      <c r="X314" t="inlineStr">
        <is>
          <t>.</t>
        </is>
      </c>
      <c r="Y314" t="inlineStr">
        <is>
          <t>.</t>
        </is>
      </c>
      <c r="Z314" t="inlineStr">
        <is>
          <t>.</t>
        </is>
      </c>
      <c r="AA314" t="inlineStr">
        <is>
          <t>.</t>
        </is>
      </c>
      <c r="AB314" t="inlineStr">
        <is>
          <t>.</t>
        </is>
      </c>
      <c r="AC314" t="inlineStr">
        <is>
          <t>0/1</t>
        </is>
      </c>
      <c r="AD314" t="inlineStr">
        <is>
          <t>3;3</t>
        </is>
      </c>
      <c r="AE314" t="inlineStr">
        <is>
          <t>0.469523496452965</t>
        </is>
      </c>
      <c r="AF314" t="inlineStr">
        <is>
          <t>insulin like growth factor 1</t>
        </is>
      </c>
      <c r="AG314" t="inlineStr">
        <is>
          <t xml:space="preserve">FUNCTION: The insulin-like growth factors, isolated from plasma, are structurally and functionally related to insulin but have a much higher growth-promoting activity. May be a physiological regulator of [1-14C]-2-deoxy-D-glucose (2DG) transport and glycogen synthesis in osteoblasts. Stimulates glucose transport in rat bone-derived osteoblastic (PyMS) cells and is effective at much lower concentrations than insulin, not only regarding glycogen and DNA synthesis but also with regard to enhancing glucose uptake. May play a role in synapse maturation. {ECO:0000269|PubMed:21076856, ECO:0000269|PubMed:24132240}.; </t>
        </is>
      </c>
      <c r="AH314" t="inlineStr">
        <is>
          <t xml:space="preserve">DISEASE: Insulin-like growth factor I deficiency (IGF1 deficiency) [MIM:608747]: Autosomal recessive disorder characterized by growth retardation, sensorineural deafness and mental retardation. {ECO:0000269|PubMed:8857020}. Note=The disease is caused by mutations affecting the gene represented in this entry.; </t>
        </is>
      </c>
      <c r="AI314" t="inlineStr">
        <is>
          <t>.</t>
        </is>
      </c>
      <c r="AJ314" t="inlineStr">
        <is>
          <t>.</t>
        </is>
      </c>
      <c r="AK314" t="inlineStr">
        <is>
          <t>.</t>
        </is>
      </c>
      <c r="AL314" t="inlineStr">
        <is>
          <t>.</t>
        </is>
      </c>
    </row>
    <row r="315">
      <c r="A315" t="inlineStr"/>
      <c r="B315">
        <f>HYPERLINK("https://genome.ucsc.edu/cgi-bin/hgTracks?db=hg19&amp;position=chr12%3A102793910%2D102793911", "chr12:102793910")</f>
        <v/>
      </c>
      <c r="C315" t="inlineStr">
        <is>
          <t>chr12</t>
        </is>
      </c>
      <c r="D315" t="n">
        <v>102793910</v>
      </c>
      <c r="E315" t="n">
        <v>102793911</v>
      </c>
      <c r="F315" t="inlineStr">
        <is>
          <t>TT</t>
        </is>
      </c>
      <c r="G315" t="inlineStr">
        <is>
          <t>-</t>
        </is>
      </c>
      <c r="H315" t="inlineStr">
        <is>
          <t>1034.02</t>
        </is>
      </c>
      <c r="I315" t="inlineStr">
        <is>
          <t>65</t>
        </is>
      </c>
      <c r="J315" t="inlineStr">
        <is>
          <t>12,15,38</t>
        </is>
      </c>
      <c r="K315" t="inlineStr">
        <is>
          <t>.</t>
        </is>
      </c>
      <c r="L315" t="inlineStr">
        <is>
          <t>.</t>
        </is>
      </c>
      <c r="M315">
        <f>HYPERLINK("https://www.genecards.org/Search/Keyword?queryString=%5Baliases%5D(%20IGF1%20)%20OR%20%5Baliases%5D(%20JX088243%20)&amp;keywords=IGF1,JX088243", "IGF1;JX088243")</f>
        <v/>
      </c>
      <c r="N315" t="inlineStr">
        <is>
          <t>UTR3;ncRNA_exonic</t>
        </is>
      </c>
      <c r="O315" t="inlineStr">
        <is>
          <t>.</t>
        </is>
      </c>
      <c r="P315" t="inlineStr">
        <is>
          <t>NM_001111284:c.*2375_*2374delAA;NM_001111283:c.*2409_*2408delAA;NM_000618:c.*2375_*2374delAA</t>
        </is>
      </c>
      <c r="Q315" t="n">
        <v>0.0035</v>
      </c>
      <c r="R315" t="n">
        <v>0.0038</v>
      </c>
      <c r="S315" t="n">
        <v>0.0047</v>
      </c>
      <c r="T315" t="n">
        <v>-1</v>
      </c>
      <c r="U315" t="n">
        <v>0.0156</v>
      </c>
      <c r="V315" t="inlineStr">
        <is>
          <t>.</t>
        </is>
      </c>
      <c r="W315" t="inlineStr">
        <is>
          <t>.</t>
        </is>
      </c>
      <c r="X315" t="inlineStr">
        <is>
          <t>.</t>
        </is>
      </c>
      <c r="Y315" t="inlineStr">
        <is>
          <t>.</t>
        </is>
      </c>
      <c r="Z315" t="inlineStr">
        <is>
          <t>.</t>
        </is>
      </c>
      <c r="AA315" t="inlineStr">
        <is>
          <t>.</t>
        </is>
      </c>
      <c r="AB315" t="inlineStr">
        <is>
          <t>.</t>
        </is>
      </c>
      <c r="AC315" t="inlineStr">
        <is>
          <t>1/2</t>
        </is>
      </c>
      <c r="AD315" t="inlineStr">
        <is>
          <t>3;3</t>
        </is>
      </c>
      <c r="AE315" t="inlineStr">
        <is>
          <t>0.469523496452965</t>
        </is>
      </c>
      <c r="AF315" t="inlineStr">
        <is>
          <t>insulin like growth factor 1</t>
        </is>
      </c>
      <c r="AG315" t="inlineStr">
        <is>
          <t xml:space="preserve">FUNCTION: The insulin-like growth factors, isolated from plasma, are structurally and functionally related to insulin but have a much higher growth-promoting activity. May be a physiological regulator of [1-14C]-2-deoxy-D-glucose (2DG) transport and glycogen synthesis in osteoblasts. Stimulates glucose transport in rat bone-derived osteoblastic (PyMS) cells and is effective at much lower concentrations than insulin, not only regarding glycogen and DNA synthesis but also with regard to enhancing glucose uptake. May play a role in synapse maturation. {ECO:0000269|PubMed:21076856, ECO:0000269|PubMed:24132240}.; </t>
        </is>
      </c>
      <c r="AH315" t="inlineStr">
        <is>
          <t xml:space="preserve">DISEASE: Insulin-like growth factor I deficiency (IGF1 deficiency) [MIM:608747]: Autosomal recessive disorder characterized by growth retardation, sensorineural deafness and mental retardation. {ECO:0000269|PubMed:8857020}. Note=The disease is caused by mutations affecting the gene represented in this entry.; </t>
        </is>
      </c>
      <c r="AI315" t="inlineStr">
        <is>
          <t>.</t>
        </is>
      </c>
      <c r="AJ315" t="inlineStr">
        <is>
          <t>.</t>
        </is>
      </c>
      <c r="AK315" t="inlineStr">
        <is>
          <t>.</t>
        </is>
      </c>
      <c r="AL315" t="inlineStr">
        <is>
          <t>.</t>
        </is>
      </c>
    </row>
    <row r="316">
      <c r="A316" t="inlineStr"/>
      <c r="B316">
        <f>HYPERLINK("https://genome.ucsc.edu/cgi-bin/hgTracks?db=hg19&amp;position=chr12%3A102793911%2D102793911", "chr12:102793911")</f>
        <v/>
      </c>
      <c r="C316" t="inlineStr">
        <is>
          <t>chr12</t>
        </is>
      </c>
      <c r="D316" t="n">
        <v>102793911</v>
      </c>
      <c r="E316" t="n">
        <v>102793911</v>
      </c>
      <c r="F316" t="inlineStr">
        <is>
          <t>T</t>
        </is>
      </c>
      <c r="G316" t="inlineStr">
        <is>
          <t>-</t>
        </is>
      </c>
      <c r="H316" t="inlineStr">
        <is>
          <t>1034.02</t>
        </is>
      </c>
      <c r="I316" t="inlineStr">
        <is>
          <t>65</t>
        </is>
      </c>
      <c r="J316" t="inlineStr">
        <is>
          <t>12,15,38</t>
        </is>
      </c>
      <c r="K316" t="inlineStr">
        <is>
          <t>.</t>
        </is>
      </c>
      <c r="L316" t="inlineStr">
        <is>
          <t>.</t>
        </is>
      </c>
      <c r="M316">
        <f>HYPERLINK("https://www.genecards.org/Search/Keyword?queryString=%5Baliases%5D(%20IGF1%20)%20OR%20%5Baliases%5D(%20JX088243%20)&amp;keywords=IGF1,JX088243", "IGF1;JX088243")</f>
        <v/>
      </c>
      <c r="N316" t="inlineStr">
        <is>
          <t>UTR3;ncRNA_exonic</t>
        </is>
      </c>
      <c r="O316" t="inlineStr">
        <is>
          <t>.</t>
        </is>
      </c>
      <c r="P316" t="inlineStr">
        <is>
          <t>NM_001111284:c.*2374delA;NM_001111283:c.*2408delA;NM_000618:c.*2374delA</t>
        </is>
      </c>
      <c r="Q316" t="n">
        <v>-1</v>
      </c>
      <c r="R316" t="n">
        <v>-1</v>
      </c>
      <c r="S316" t="n">
        <v>-1</v>
      </c>
      <c r="T316" t="n">
        <v>-1</v>
      </c>
      <c r="U316" t="n">
        <v>-1</v>
      </c>
      <c r="V316" t="inlineStr">
        <is>
          <t>.</t>
        </is>
      </c>
      <c r="W316" t="inlineStr">
        <is>
          <t>.</t>
        </is>
      </c>
      <c r="X316" t="inlineStr">
        <is>
          <t>.</t>
        </is>
      </c>
      <c r="Y316" t="inlineStr">
        <is>
          <t>.</t>
        </is>
      </c>
      <c r="Z316" t="inlineStr">
        <is>
          <t>.</t>
        </is>
      </c>
      <c r="AA316" t="inlineStr">
        <is>
          <t>.</t>
        </is>
      </c>
      <c r="AB316" t="inlineStr">
        <is>
          <t>.</t>
        </is>
      </c>
      <c r="AC316" t="inlineStr">
        <is>
          <t>1/2</t>
        </is>
      </c>
      <c r="AD316" t="inlineStr">
        <is>
          <t>3;3</t>
        </is>
      </c>
      <c r="AE316" t="inlineStr">
        <is>
          <t>0.469523496452965</t>
        </is>
      </c>
      <c r="AF316" t="inlineStr">
        <is>
          <t>insulin like growth factor 1</t>
        </is>
      </c>
      <c r="AG316" t="inlineStr">
        <is>
          <t xml:space="preserve">FUNCTION: The insulin-like growth factors, isolated from plasma, are structurally and functionally related to insulin but have a much higher growth-promoting activity. May be a physiological regulator of [1-14C]-2-deoxy-D-glucose (2DG) transport and glycogen synthesis in osteoblasts. Stimulates glucose transport in rat bone-derived osteoblastic (PyMS) cells and is effective at much lower concentrations than insulin, not only regarding glycogen and DNA synthesis but also with regard to enhancing glucose uptake. May play a role in synapse maturation. {ECO:0000269|PubMed:21076856, ECO:0000269|PubMed:24132240}.; </t>
        </is>
      </c>
      <c r="AH316" t="inlineStr">
        <is>
          <t xml:space="preserve">DISEASE: Insulin-like growth factor I deficiency (IGF1 deficiency) [MIM:608747]: Autosomal recessive disorder characterized by growth retardation, sensorineural deafness and mental retardation. {ECO:0000269|PubMed:8857020}. Note=The disease is caused by mutations affecting the gene represented in this entry.; </t>
        </is>
      </c>
      <c r="AI316" t="inlineStr">
        <is>
          <t>.</t>
        </is>
      </c>
      <c r="AJ316" t="inlineStr">
        <is>
          <t>.</t>
        </is>
      </c>
      <c r="AK316" t="inlineStr">
        <is>
          <t>.</t>
        </is>
      </c>
      <c r="AL316" t="inlineStr">
        <is>
          <t>.</t>
        </is>
      </c>
    </row>
    <row r="317">
      <c r="A317" t="inlineStr"/>
      <c r="B317">
        <f>HYPERLINK("https://genome.ucsc.edu/cgi-bin/hgTracks?db=hg19&amp;position=chr12%3A104142915%2D104142915", "chr12:104142915")</f>
        <v/>
      </c>
      <c r="C317" t="inlineStr">
        <is>
          <t>chr12</t>
        </is>
      </c>
      <c r="D317" t="n">
        <v>104142915</v>
      </c>
      <c r="E317" t="n">
        <v>104142915</v>
      </c>
      <c r="F317" t="inlineStr">
        <is>
          <t>C</t>
        </is>
      </c>
      <c r="G317" t="inlineStr">
        <is>
          <t>T</t>
        </is>
      </c>
      <c r="H317" t="inlineStr">
        <is>
          <t>273.64</t>
        </is>
      </c>
      <c r="I317" t="inlineStr">
        <is>
          <t>58</t>
        </is>
      </c>
      <c r="J317" t="inlineStr">
        <is>
          <t>45,13</t>
        </is>
      </c>
      <c r="K317" t="inlineStr">
        <is>
          <t>.</t>
        </is>
      </c>
      <c r="L317" t="inlineStr">
        <is>
          <t>.</t>
        </is>
      </c>
      <c r="M317">
        <f>HYPERLINK("https://www.genecards.org/Search/Keyword?queryString=%5Baliases%5D(%20STAB2%20)&amp;keywords=STAB2", "STAB2")</f>
        <v/>
      </c>
      <c r="N317" t="inlineStr">
        <is>
          <t>exonic</t>
        </is>
      </c>
      <c r="O317" t="inlineStr">
        <is>
          <t>nonsynonymous SNV</t>
        </is>
      </c>
      <c r="P317" t="inlineStr">
        <is>
          <t>STAB2:NM_017564:exon59:c.C6419T:p.T2140I;STAB2:uc001tjw.3:exon59:c.C6419T:p.T2140I;STAB2:ENST00000388887.7_3:exon59:c.C6419T:p.T2140I</t>
        </is>
      </c>
      <c r="Q317" t="n">
        <v>-1</v>
      </c>
      <c r="R317" t="n">
        <v>-1</v>
      </c>
      <c r="S317" t="n">
        <v>-1</v>
      </c>
      <c r="T317" t="n">
        <v>-1</v>
      </c>
      <c r="U317" t="n">
        <v>-1</v>
      </c>
      <c r="V317" t="inlineStr">
        <is>
          <t>5/12</t>
        </is>
      </c>
      <c r="W317" t="inlineStr">
        <is>
          <t>.</t>
        </is>
      </c>
      <c r="X317" t="inlineStr">
        <is>
          <t>.</t>
        </is>
      </c>
      <c r="Y317" t="inlineStr">
        <is>
          <t>.</t>
        </is>
      </c>
      <c r="Z317" t="inlineStr">
        <is>
          <t>0/7</t>
        </is>
      </c>
      <c r="AA317" t="inlineStr">
        <is>
          <t>Uncertain significance</t>
        </is>
      </c>
      <c r="AB317" t="inlineStr">
        <is>
          <t>.</t>
        </is>
      </c>
      <c r="AC317" t="inlineStr">
        <is>
          <t>0/1</t>
        </is>
      </c>
      <c r="AD317" t="inlineStr">
        <is>
          <t>1</t>
        </is>
      </c>
      <c r="AE317" t="inlineStr">
        <is>
          <t>4.17567584164662e-28</t>
        </is>
      </c>
      <c r="AF317" t="inlineStr">
        <is>
          <t>stabilin 2</t>
        </is>
      </c>
      <c r="AG317" t="inlineStr">
        <is>
          <t xml:space="preserve">FUNCTION: Phosphatidylserine receptor that enhances the engulfment of apoptotic cells. Hyaluronan receptor that binds to and mediates endocytosis of hyaluronic acid (HA). Acts also, in different species, as a primary systemic scavenger receptor for heparin (Hep), chondroitin sulfate (CS), dermatan sulfate (DS), nonglycosaminoglycan (GAG), acetylated low-density lipoprotein (AcLDL), pro-collagen propeptides and advanced glycation end products (AGE). May serve to maintain tissue integrity by supporting extracellular matrix turnover or it may contribute to maintaining fluidity of bodily liquids by resorption of hyaluronan. Counter receptor which plays an important role in lymphocyte recruitment in the hepatic vasculature. Binds to both Gram-positive and Gram-negative bacteria and may play a role in defense against bacterial infection. The proteolytically processed 190 kDa form also functions as an endocytosis receptor for heparin internalisation as well as HA and CS. {ECO:0000269|PubMed:12077138, ECO:0000269|PubMed:12473645, ECO:0000269|PubMed:15208308, ECO:0000269|PubMed:15572036, ECO:0000269|PubMed:17145755, ECO:0000269|PubMed:17675564, ECO:0000269|PubMed:17962816, ECO:0000269|PubMed:18230608, ECO:0000269|PubMed:18434317, ECO:0000269|PubMed:18573870, ECO:0000269|PubMed:19359419}.; </t>
        </is>
      </c>
      <c r="AH317" t="inlineStr">
        <is>
          <t>.</t>
        </is>
      </c>
      <c r="AI317" t="inlineStr">
        <is>
          <t>.</t>
        </is>
      </c>
      <c r="AJ317" t="inlineStr">
        <is>
          <t>.</t>
        </is>
      </c>
      <c r="AK317" t="inlineStr">
        <is>
          <t>.</t>
        </is>
      </c>
      <c r="AL317" t="inlineStr">
        <is>
          <t>.</t>
        </is>
      </c>
    </row>
    <row r="318">
      <c r="A318" t="inlineStr"/>
      <c r="B318">
        <f>HYPERLINK("https://genome.ucsc.edu/cgi-bin/hgTracks?db=hg19&amp;position=chr12%3A113728029%2D113728029", "chr12:113728029")</f>
        <v/>
      </c>
      <c r="C318" t="inlineStr">
        <is>
          <t>chr12</t>
        </is>
      </c>
      <c r="D318" t="n">
        <v>113728029</v>
      </c>
      <c r="E318" t="n">
        <v>113728029</v>
      </c>
      <c r="F318" t="inlineStr">
        <is>
          <t>C</t>
        </is>
      </c>
      <c r="G318" t="inlineStr">
        <is>
          <t>A</t>
        </is>
      </c>
      <c r="H318" t="inlineStr">
        <is>
          <t>527.64</t>
        </is>
      </c>
      <c r="I318" t="inlineStr">
        <is>
          <t>84</t>
        </is>
      </c>
      <c r="J318" t="inlineStr">
        <is>
          <t>57,27</t>
        </is>
      </c>
      <c r="K318" t="inlineStr">
        <is>
          <t>.</t>
        </is>
      </c>
      <c r="L318" t="inlineStr">
        <is>
          <t>.</t>
        </is>
      </c>
      <c r="M318">
        <f>HYPERLINK("https://www.genecards.org/Search/Keyword?queryString=%5Baliases%5D(%20TPCN1%20)&amp;keywords=TPCN1", "TPCN1")</f>
        <v/>
      </c>
      <c r="N318" t="inlineStr">
        <is>
          <t>exonic</t>
        </is>
      </c>
      <c r="O318" t="inlineStr">
        <is>
          <t>nonsynonymous SNV</t>
        </is>
      </c>
      <c r="P318" t="inlineStr">
        <is>
          <t>TPCN1:NM_001301214:exon21:c.C1689A:p.D563E,TPCN1:NM_001351347:exon21:c.C1689A:p.D563E,TPCN1:NM_017901:exon22:c.C1893A:p.D631E,TPCN1:NM_001143819:exon23:c.C2109A:p.D703E,TPCN1:NM_001351346:exon23:c.C1689A:p.D563E;TPCN1:uc001tuw.3:exon22:c.C1893A:p.D631E,TPCN1:uc001tux.3:exon23:c.C2109A:p.D703E;TPCN1:ENST00000392569.8_3:exon21:c.C1689A:p.D563E,TPCN1:ENST00000335509.11_5:exon22:c.C1893A:p.D631E,TPCN1:ENST00000541517.5_1:exon22:c.C2109A:p.D703E,TPCN1:ENST00000550785.5_1:exon23:c.C2109A:p.D703E</t>
        </is>
      </c>
      <c r="Q318" t="n">
        <v>-1</v>
      </c>
      <c r="R318" t="n">
        <v>-1</v>
      </c>
      <c r="S318" t="n">
        <v>-1</v>
      </c>
      <c r="T318" t="n">
        <v>-1</v>
      </c>
      <c r="U318" t="n">
        <v>-1</v>
      </c>
      <c r="V318" t="inlineStr">
        <is>
          <t>8/12</t>
        </is>
      </c>
      <c r="W318" t="inlineStr">
        <is>
          <t>.</t>
        </is>
      </c>
      <c r="X318" t="inlineStr">
        <is>
          <t>.</t>
        </is>
      </c>
      <c r="Y318" t="inlineStr">
        <is>
          <t>.</t>
        </is>
      </c>
      <c r="Z318" t="inlineStr">
        <is>
          <t>3/7</t>
        </is>
      </c>
      <c r="AA318" t="inlineStr">
        <is>
          <t>Uncertain significance</t>
        </is>
      </c>
      <c r="AB318" t="inlineStr">
        <is>
          <t>.</t>
        </is>
      </c>
      <c r="AC318" t="inlineStr">
        <is>
          <t>0/1</t>
        </is>
      </c>
      <c r="AD318" t="inlineStr">
        <is>
          <t>1</t>
        </is>
      </c>
      <c r="AE318" t="inlineStr">
        <is>
          <t>0.00385891575421665</t>
        </is>
      </c>
      <c r="AF318" t="inlineStr">
        <is>
          <t>two pore segment channel 1</t>
        </is>
      </c>
      <c r="AG318" t="inlineStr">
        <is>
          <t xml:space="preserve">FUNCTION: Nicotinic acid adenine dinucleotide phosphate (NAADP) receptor that may function as one of the major voltage-gated Ca(2+) channels (VDCC) across the lysosomal and endosomal membrane. {ECO:0000269|PubMed:19620632}.; </t>
        </is>
      </c>
      <c r="AH318" t="inlineStr">
        <is>
          <t>.</t>
        </is>
      </c>
      <c r="AI318" t="inlineStr">
        <is>
          <t>.</t>
        </is>
      </c>
      <c r="AJ318" t="inlineStr">
        <is>
          <t>.</t>
        </is>
      </c>
      <c r="AK318" t="inlineStr">
        <is>
          <t>.</t>
        </is>
      </c>
      <c r="AL318" t="inlineStr">
        <is>
          <t>.</t>
        </is>
      </c>
    </row>
    <row r="319">
      <c r="A319" t="inlineStr"/>
      <c r="B319">
        <f>HYPERLINK("https://genome.ucsc.edu/cgi-bin/hgTracks?db=hg19&amp;position=chr12%3A113758871%2D113758871", "chr12:113758871")</f>
        <v/>
      </c>
      <c r="C319" t="inlineStr">
        <is>
          <t>chr12</t>
        </is>
      </c>
      <c r="D319" t="n">
        <v>113758871</v>
      </c>
      <c r="E319" t="n">
        <v>113758871</v>
      </c>
      <c r="F319" t="inlineStr">
        <is>
          <t>C</t>
        </is>
      </c>
      <c r="G319" t="inlineStr">
        <is>
          <t>T</t>
        </is>
      </c>
      <c r="H319" t="inlineStr">
        <is>
          <t>361.64</t>
        </is>
      </c>
      <c r="I319" t="inlineStr">
        <is>
          <t>47</t>
        </is>
      </c>
      <c r="J319" t="inlineStr">
        <is>
          <t>32,15</t>
        </is>
      </c>
      <c r="K319" t="inlineStr">
        <is>
          <t>.</t>
        </is>
      </c>
      <c r="L319">
        <f>HYPERLINK("https://www.ncbi.nlm.nih.gov/snp/rs369418228", "rs369418228")</f>
        <v/>
      </c>
      <c r="M319">
        <f>HYPERLINK("https://www.genecards.org/Search/Keyword?queryString=%5Baliases%5D(%20SLC24A6%20)%20OR%20%5Baliases%5D(%20SLC8B1%20)&amp;keywords=SLC24A6,SLC8B1", "SLC24A6;SLC8B1")</f>
        <v/>
      </c>
      <c r="N319" t="inlineStr">
        <is>
          <t>exonic</t>
        </is>
      </c>
      <c r="O319" t="inlineStr">
        <is>
          <t>nonsynonymous SNV</t>
        </is>
      </c>
      <c r="P319" t="inlineStr">
        <is>
          <t>SLC8B1:NM_001330466:exon4:c.G352A:p.A118T,SLC8B1:NM_001358345:exon4:c.G352A:p.A118T,SLC8B1:NM_024959:exon4:c.G352A:p.A118T;SLC24A6:uc001tvc.3:exon4:c.G352A:p.A118T,SLC24A6:uc001tvd.1:exon5:c.G352A:p.A118T;SLC8B1:ENST00000546737.5_9:exon3:c.G352A:p.A118T,SLC8B1:ENST00000202831.7_3:exon4:c.G352A:p.A118T,SLC8B1:ENST00000680972.1_2:exon4:c.G352A:p.A118T,SLC8B1:ENST00000552014.5_3:exon5:c.G352A:p.A118T</t>
        </is>
      </c>
      <c r="Q319" t="n">
        <v>0.0012</v>
      </c>
      <c r="R319" t="n">
        <v>0.0012</v>
      </c>
      <c r="S319" t="n">
        <v>0.0018</v>
      </c>
      <c r="T319" t="n">
        <v>-1</v>
      </c>
      <c r="U319" t="n">
        <v>-1</v>
      </c>
      <c r="V319" t="inlineStr">
        <is>
          <t>9/11</t>
        </is>
      </c>
      <c r="W319" t="inlineStr">
        <is>
          <t>.</t>
        </is>
      </c>
      <c r="X319" t="inlineStr">
        <is>
          <t>.</t>
        </is>
      </c>
      <c r="Y319" t="inlineStr">
        <is>
          <t>.</t>
        </is>
      </c>
      <c r="Z319" t="inlineStr">
        <is>
          <t>3/7</t>
        </is>
      </c>
      <c r="AA319" t="inlineStr">
        <is>
          <t>Uncertain significance</t>
        </is>
      </c>
      <c r="AB319" t="inlineStr">
        <is>
          <t>.</t>
        </is>
      </c>
      <c r="AC319" t="inlineStr">
        <is>
          <t>0/1</t>
        </is>
      </c>
      <c r="AD319" t="inlineStr">
        <is>
          <t>1;1</t>
        </is>
      </c>
      <c r="AE319" t="inlineStr">
        <is>
          <t>5.47604607149263e-10</t>
        </is>
      </c>
      <c r="AF319" t="inlineStr">
        <is>
          <t>solute carrier family 8 member B1</t>
        </is>
      </c>
      <c r="AG319" t="inlineStr">
        <is>
          <t xml:space="preserve">FUNCTION: Mitochondrial sodium/calcium antiporter that mediates sodium-dependent calcium efflux from mitochondrion, thereby acting as a key regulator of mitochondrion calcium homeostasis. Regulates rates of glucose-dependent insulin secretion in pancreatic beta- cells during the first phase of insulin secretion: acts by mediating efflux of calcium from mitochondrion, thereby affecting cytoplasmic calcium responses. Able to transport Ca(2+) in exchange of either Li(+) or Na(+), explaining how Li(+) catalyzes Ca(2+) exchange. In contrast to other members of the family its function is independent of K(+). {ECO:0000269|PubMed:15060069, ECO:0000269|PubMed:20018762, ECO:0000269|PubMed:22829870, ECO:0000269|PubMed:23056385}.; </t>
        </is>
      </c>
      <c r="AH319" t="inlineStr">
        <is>
          <t>.</t>
        </is>
      </c>
      <c r="AI319" t="inlineStr">
        <is>
          <t>.</t>
        </is>
      </c>
      <c r="AJ319" t="inlineStr">
        <is>
          <t>.</t>
        </is>
      </c>
      <c r="AK319" t="inlineStr">
        <is>
          <t>.</t>
        </is>
      </c>
      <c r="AL319" t="inlineStr">
        <is>
          <t>.</t>
        </is>
      </c>
    </row>
    <row r="320">
      <c r="A320" t="inlineStr"/>
      <c r="B320">
        <f>HYPERLINK("https://genome.ucsc.edu/cgi-bin/hgTracks?db=hg19&amp;position=chr12%3A120221852%2D120221852", "chr12:120221852")</f>
        <v/>
      </c>
      <c r="C320" t="inlineStr">
        <is>
          <t>chr12</t>
        </is>
      </c>
      <c r="D320" t="n">
        <v>120221852</v>
      </c>
      <c r="E320" t="n">
        <v>120221852</v>
      </c>
      <c r="F320" t="inlineStr">
        <is>
          <t>C</t>
        </is>
      </c>
      <c r="G320" t="inlineStr">
        <is>
          <t>G</t>
        </is>
      </c>
      <c r="H320" t="inlineStr">
        <is>
          <t>286.64</t>
        </is>
      </c>
      <c r="I320" t="inlineStr">
        <is>
          <t>96</t>
        </is>
      </c>
      <c r="J320" t="inlineStr">
        <is>
          <t>80,16</t>
        </is>
      </c>
      <c r="K320" t="inlineStr">
        <is>
          <t>.</t>
        </is>
      </c>
      <c r="L320" t="inlineStr">
        <is>
          <t>.</t>
        </is>
      </c>
      <c r="M320">
        <f>HYPERLINK("https://www.genecards.org/Search/Keyword?queryString=%5Baliases%5D(%20CIT%20)&amp;keywords=CIT", "CIT")</f>
        <v/>
      </c>
      <c r="N320" t="inlineStr">
        <is>
          <t>exonic</t>
        </is>
      </c>
      <c r="O320" t="inlineStr">
        <is>
          <t>nonsynonymous SNV</t>
        </is>
      </c>
      <c r="P320" t="inlineStr">
        <is>
          <t>CIT:NM_001206999:exon12:c.G1405C:p.E469Q,CIT:NM_007174:exon12:c.G1405C:p.E469Q;CIT:uc001txh.2:exon4:c.G7C:p.E3Q,CIT:uc001txi.2:exon12:c.G1405C:p.E469Q,CIT:uc001txj.2:exon12:c.G1405C:p.E469Q;CIT:ENST00000676849.1_1:exon3:c.G67C:p.E23Q,CIT:ENST00000678677.1_1:exon3:c.G67C:p.E23Q,CIT:ENST00000679249.1_1:exon3:c.G67C:p.E23Q,CIT:ENST00000677993.1_1:exon4:c.G67C:p.E23Q,CIT:ENST00000678087.1_1:exon4:c.G67C:p.E23Q,CIT:ENST00000678494.1_1:exon4:c.G67C:p.E23Q,CIT:ENST00000678652.1_1:exon4:c.G67C:p.E23Q,CIT:ENST00000261833.11_4:exon12:c.G1405C:p.E469Q,CIT:ENST00000392521.7_6:exon12:c.G1405C:p.E469Q,CIT:ENST00000612548.4_3:exon12:c.G1405C:p.E469Q</t>
        </is>
      </c>
      <c r="Q320" t="n">
        <v>-1</v>
      </c>
      <c r="R320" t="n">
        <v>-1</v>
      </c>
      <c r="S320" t="n">
        <v>-1</v>
      </c>
      <c r="T320" t="n">
        <v>-1</v>
      </c>
      <c r="U320" t="n">
        <v>-1</v>
      </c>
      <c r="V320" t="inlineStr">
        <is>
          <t>4/12</t>
        </is>
      </c>
      <c r="W320" t="inlineStr">
        <is>
          <t>.</t>
        </is>
      </c>
      <c r="X320" t="inlineStr">
        <is>
          <t>.</t>
        </is>
      </c>
      <c r="Y320" t="inlineStr">
        <is>
          <t>.</t>
        </is>
      </c>
      <c r="Z320" t="inlineStr">
        <is>
          <t>6/7</t>
        </is>
      </c>
      <c r="AA320" t="inlineStr">
        <is>
          <t>Uncertain significance</t>
        </is>
      </c>
      <c r="AB320" t="inlineStr">
        <is>
          <t>.</t>
        </is>
      </c>
      <c r="AC320" t="inlineStr">
        <is>
          <t>0/1</t>
        </is>
      </c>
      <c r="AD320" t="inlineStr">
        <is>
          <t>1</t>
        </is>
      </c>
      <c r="AE320" t="inlineStr">
        <is>
          <t>0.999998739281467</t>
        </is>
      </c>
      <c r="AF320" t="inlineStr">
        <is>
          <t>citron rho-interacting serine/threonine kinase</t>
        </is>
      </c>
      <c r="AG320" t="inlineStr">
        <is>
          <t xml:space="preserve">FUNCTION: Plays a role in cytokinesis. Required for KIF14 localization to the central spindle and midbody. Putative RHO/RAC effector that binds to the GTP-bound forms of RHO and RAC1. It probably binds p21 with a tighter specificity in vivo. Displays serine/threonine protein kinase activity. Plays an important role in the regulation of cytokinesis and the development of the central nervous system. Phosphorylates MYL9/MLC2. {ECO:0000269|PubMed:16236794, ECO:0000269|PubMed:16431929, ECO:0000269|PubMed:21457715}.; </t>
        </is>
      </c>
      <c r="AH320" t="inlineStr">
        <is>
          <t>.</t>
        </is>
      </c>
      <c r="AI320" t="inlineStr">
        <is>
          <t>.</t>
        </is>
      </c>
      <c r="AJ320" t="inlineStr">
        <is>
          <t>.</t>
        </is>
      </c>
      <c r="AK320" t="inlineStr">
        <is>
          <t>.</t>
        </is>
      </c>
      <c r="AL320" t="inlineStr">
        <is>
          <t>.</t>
        </is>
      </c>
    </row>
    <row r="321">
      <c r="A321" t="inlineStr"/>
      <c r="B321">
        <f>HYPERLINK("https://genome.ucsc.edu/cgi-bin/hgTracks?db=hg19&amp;position=chr12%3A122261234%2D122261234", "chr12:122261234")</f>
        <v/>
      </c>
      <c r="C321" t="inlineStr">
        <is>
          <t>chr12</t>
        </is>
      </c>
      <c r="D321" t="n">
        <v>122261234</v>
      </c>
      <c r="E321" t="n">
        <v>122261234</v>
      </c>
      <c r="F321" t="inlineStr">
        <is>
          <t>-</t>
        </is>
      </c>
      <c r="G321" t="inlineStr">
        <is>
          <t>C</t>
        </is>
      </c>
      <c r="H321" t="inlineStr">
        <is>
          <t>111.60</t>
        </is>
      </c>
      <c r="I321" t="inlineStr">
        <is>
          <t>46</t>
        </is>
      </c>
      <c r="J321" t="inlineStr">
        <is>
          <t>37,9</t>
        </is>
      </c>
      <c r="K321" t="inlineStr">
        <is>
          <t>.</t>
        </is>
      </c>
      <c r="L321" t="inlineStr">
        <is>
          <t>.</t>
        </is>
      </c>
      <c r="M321">
        <f>HYPERLINK("https://www.genecards.org/Search/Keyword?queryString=%5Baliases%5D(%20SETD1B%20)&amp;keywords=SETD1B", "SETD1B")</f>
        <v/>
      </c>
      <c r="N321" t="inlineStr">
        <is>
          <t>exonic</t>
        </is>
      </c>
      <c r="O321" t="inlineStr">
        <is>
          <t>frameshift insertion</t>
        </is>
      </c>
      <c r="P321" t="inlineStr">
        <is>
          <t>SETD1B:NM_001353345:exon12:c.4750dupC:p.P1585Tfs*23;SETD1B:uc021rfg.1:exon11:c.4750dupC:p.P1585Tfs*23,SETD1B:uc001ubi.3:exon12:c.4621dupC:p.P1542Tfs*23;SETD1B:ENST00000619791.1_5:exon11:c.4750dupC:p.P1585Tfs*23,SETD1B:ENST00000604567.6_6:exon12:c.4750dupC:p.P1585Tfs*23,SETD1B:ENST00000542440.5_2:exon13:c.4621dupC:p.P1542Tfs*23</t>
        </is>
      </c>
      <c r="Q321" t="n">
        <v>0.0002</v>
      </c>
      <c r="R321" t="n">
        <v>-1</v>
      </c>
      <c r="S321" t="n">
        <v>-1</v>
      </c>
      <c r="T321" t="n">
        <v>-1</v>
      </c>
      <c r="U321" t="n">
        <v>-1</v>
      </c>
      <c r="V321" t="inlineStr">
        <is>
          <t>.</t>
        </is>
      </c>
      <c r="W321" t="inlineStr">
        <is>
          <t>.</t>
        </is>
      </c>
      <c r="X321" t="inlineStr">
        <is>
          <t>.</t>
        </is>
      </c>
      <c r="Y321" t="inlineStr">
        <is>
          <t>.</t>
        </is>
      </c>
      <c r="Z321" t="inlineStr">
        <is>
          <t>.</t>
        </is>
      </c>
      <c r="AA321" t="inlineStr">
        <is>
          <t>.</t>
        </is>
      </c>
      <c r="AB321" t="inlineStr">
        <is>
          <t>.</t>
        </is>
      </c>
      <c r="AC321" t="inlineStr">
        <is>
          <t>.</t>
        </is>
      </c>
      <c r="AD321" t="inlineStr">
        <is>
          <t>1</t>
        </is>
      </c>
      <c r="AE321" t="inlineStr">
        <is>
          <t>0.0224563158915498</t>
        </is>
      </c>
      <c r="AF321" t="inlineStr">
        <is>
          <t>SET domain containing 1B</t>
        </is>
      </c>
      <c r="AG321" t="inlineStr">
        <is>
          <t xml:space="preserve">FUNCTION: Histone methyltransferase that specifically methylates 'Lys-4' of histone H3, when part of the SET1 histone methyltransferase (HMT) complex, but not if the neighboring 'Lys- 9' residue is already methylated. H3 'Lys-4' methylation represents a specific tag for epigenetic transcriptional activation. The non-overalpping localization with SETD1A suggests that SETD1A and SETD1B make non-redundant contributions to the epigenetic control of chromatin structure and gene expression. Specifically tri-methylates 'Lys-4' of histone H3 in vitro.; </t>
        </is>
      </c>
      <c r="AH321" t="inlineStr">
        <is>
          <t>.</t>
        </is>
      </c>
      <c r="AI321" t="inlineStr">
        <is>
          <t>.</t>
        </is>
      </c>
      <c r="AJ321" t="inlineStr">
        <is>
          <t>.</t>
        </is>
      </c>
      <c r="AK321" t="inlineStr">
        <is>
          <t>.</t>
        </is>
      </c>
      <c r="AL321" t="inlineStr">
        <is>
          <t>.</t>
        </is>
      </c>
    </row>
    <row r="322">
      <c r="A322" t="inlineStr"/>
      <c r="B322">
        <f>HYPERLINK("https://genome.ucsc.edu/cgi-bin/hgTracks?db=hg19&amp;position=chr12%3A123879666%2D123879666", "chr12:123879666")</f>
        <v/>
      </c>
      <c r="C322" t="inlineStr">
        <is>
          <t>chr12</t>
        </is>
      </c>
      <c r="D322" t="n">
        <v>123879666</v>
      </c>
      <c r="E322" t="n">
        <v>123879666</v>
      </c>
      <c r="F322" t="inlineStr">
        <is>
          <t>A</t>
        </is>
      </c>
      <c r="G322" t="inlineStr">
        <is>
          <t>G</t>
        </is>
      </c>
      <c r="H322" t="inlineStr">
        <is>
          <t>878.64</t>
        </is>
      </c>
      <c r="I322" t="inlineStr">
        <is>
          <t>132</t>
        </is>
      </c>
      <c r="J322" t="inlineStr">
        <is>
          <t>103,29</t>
        </is>
      </c>
      <c r="K322" t="inlineStr">
        <is>
          <t>.</t>
        </is>
      </c>
      <c r="L322">
        <f>HYPERLINK("https://www.ncbi.nlm.nih.gov/snp/rs61955119", "rs61955119")</f>
        <v/>
      </c>
      <c r="M322">
        <f>HYPERLINK("https://www.genecards.org/Search/Keyword?queryString=%5Baliases%5D(%20KMT5A%20)%20OR%20%5Baliases%5D(%20SETD8%20)&amp;keywords=KMT5A,SETD8", "KMT5A;SETD8")</f>
        <v/>
      </c>
      <c r="N322" t="inlineStr">
        <is>
          <t>exonic</t>
        </is>
      </c>
      <c r="O322" t="inlineStr">
        <is>
          <t>nonsynonymous SNV</t>
        </is>
      </c>
      <c r="P322" t="inlineStr">
        <is>
          <t>KMT5A:NM_001324506:exon2:c.A38G:p.K13R,KMT5A:NM_001324505:exon3:c.A191G:p.K64R,KMT5A:NM_001367388:exon3:c.A251G:p.K84R,KMT5A:NM_001367389:exon3:c.A38G:p.K13R,KMT5A:NM_001367386:exon4:c.A344G:p.K115R,KMT5A:NM_020382:exon4:c.A362G:p.K121R,KMT5A:NM_001324504:exon5:c.A272G:p.K91R;SETD8:uc001uew.3:exon4:c.A362G:p.K121R;KMT5A:ENST00000402868.8_5:exon4:c.A362G:p.K121R</t>
        </is>
      </c>
      <c r="Q322" t="n">
        <v>0.0005821</v>
      </c>
      <c r="R322" t="n">
        <v>-1</v>
      </c>
      <c r="S322" t="n">
        <v>-1</v>
      </c>
      <c r="T322" t="n">
        <v>-1</v>
      </c>
      <c r="U322" t="n">
        <v>-1</v>
      </c>
      <c r="V322" t="inlineStr">
        <is>
          <t>4/11</t>
        </is>
      </c>
      <c r="W322" t="inlineStr">
        <is>
          <t>.</t>
        </is>
      </c>
      <c r="X322" t="inlineStr">
        <is>
          <t>.</t>
        </is>
      </c>
      <c r="Y322" t="inlineStr">
        <is>
          <t>.</t>
        </is>
      </c>
      <c r="Z322" t="inlineStr">
        <is>
          <t>3/7</t>
        </is>
      </c>
      <c r="AA322" t="inlineStr">
        <is>
          <t>Uncertain significance</t>
        </is>
      </c>
      <c r="AB322" t="inlineStr">
        <is>
          <t>.</t>
        </is>
      </c>
      <c r="AC322" t="inlineStr">
        <is>
          <t>.</t>
        </is>
      </c>
      <c r="AD322" t="inlineStr">
        <is>
          <t>4;4</t>
        </is>
      </c>
      <c r="AE322" t="inlineStr">
        <is>
          <t>.</t>
        </is>
      </c>
      <c r="AF322" t="inlineStr">
        <is>
          <t>lysine methyltransferase 5A</t>
        </is>
      </c>
      <c r="AG322" t="inlineStr">
        <is>
          <t xml:space="preserve">FUNCTION: Protein-lysine N-methyltransferase that monomethylates both histones and non-histone proteins. Specifically monomethylates 'Lys-20' of histone H4 (H4K20me1). H4K20me1 is enriched during mitosis and represents a specific tag for epigenetic transcriptional repression. Mainly functions in euchromatin regions, thereby playing a central role in the silencing of euchromatic genes. Required for cell proliferation, probably by contributing to the maintenance of proper higher-order structure of DNA during mitosis. Involved in chromosome condensation and proper cytokinesis. Nucleosomes are preferred as substrate compared to free histones. Mediates monomethylation of p53/TP53 at 'Lys-382', leading to repress p53/TP53-target genes. Plays a negative role in TGF-beta response regulation and a positive role in cell migration. {ECO:0000269|PubMed:12086618, ECO:0000269|PubMed:12121615, ECO:0000269|PubMed:15200950, ECO:0000269|PubMed:15933069, ECO:0000269|PubMed:15933070, ECO:0000269|PubMed:16517599, ECO:0000269|PubMed:17707234, ECO:0000269|PubMed:23478445}.; </t>
        </is>
      </c>
      <c r="AH322" t="inlineStr">
        <is>
          <t>.</t>
        </is>
      </c>
      <c r="AI322" t="inlineStr">
        <is>
          <t>.</t>
        </is>
      </c>
      <c r="AJ322" t="inlineStr">
        <is>
          <t>.</t>
        </is>
      </c>
      <c r="AK322" t="inlineStr">
        <is>
          <t>.</t>
        </is>
      </c>
      <c r="AL322" t="inlineStr">
        <is>
          <t>.</t>
        </is>
      </c>
    </row>
    <row r="323">
      <c r="A323" t="inlineStr"/>
      <c r="B323">
        <f>HYPERLINK("https://genome.ucsc.edu/cgi-bin/hgTracks?db=hg19&amp;position=chr12%3A123879668%2D123879668", "chr12:123879668")</f>
        <v/>
      </c>
      <c r="C323" t="inlineStr">
        <is>
          <t>chr12</t>
        </is>
      </c>
      <c r="D323" t="n">
        <v>123879668</v>
      </c>
      <c r="E323" t="n">
        <v>123879668</v>
      </c>
      <c r="F323" t="inlineStr">
        <is>
          <t>G</t>
        </is>
      </c>
      <c r="G323" t="inlineStr">
        <is>
          <t>C</t>
        </is>
      </c>
      <c r="H323" t="inlineStr">
        <is>
          <t>878.64</t>
        </is>
      </c>
      <c r="I323" t="inlineStr">
        <is>
          <t>132</t>
        </is>
      </c>
      <c r="J323" t="inlineStr">
        <is>
          <t>103,29</t>
        </is>
      </c>
      <c r="K323" t="inlineStr">
        <is>
          <t>.</t>
        </is>
      </c>
      <c r="L323">
        <f>HYPERLINK("https://www.ncbi.nlm.nih.gov/snp/rs61955120", "rs61955120")</f>
        <v/>
      </c>
      <c r="M323">
        <f>HYPERLINK("https://www.genecards.org/Search/Keyword?queryString=%5Baliases%5D(%20KMT5A%20)%20OR%20%5Baliases%5D(%20SETD8%20)&amp;keywords=KMT5A,SETD8", "KMT5A;SETD8")</f>
        <v/>
      </c>
      <c r="N323" t="inlineStr">
        <is>
          <t>exonic</t>
        </is>
      </c>
      <c r="O323" t="inlineStr">
        <is>
          <t>nonsynonymous SNV</t>
        </is>
      </c>
      <c r="P323" t="inlineStr">
        <is>
          <t>KMT5A:NM_001324506:exon2:c.G40C:p.G14R,KMT5A:NM_001324505:exon3:c.G193C:p.G65R,KMT5A:NM_001367388:exon3:c.G253C:p.G85R,KMT5A:NM_001367389:exon3:c.G40C:p.G14R,KMT5A:NM_001367386:exon4:c.G346C:p.G116R,KMT5A:NM_020382:exon4:c.G364C:p.G122R,KMT5A:NM_001324504:exon5:c.G274C:p.G92R;SETD8:uc001uew.3:exon4:c.G364C:p.G122R;KMT5A:ENST00000402868.8_5:exon4:c.G364C:p.G122R</t>
        </is>
      </c>
      <c r="Q323" t="n">
        <v>0.0006339</v>
      </c>
      <c r="R323" t="n">
        <v>-1</v>
      </c>
      <c r="S323" t="n">
        <v>-1</v>
      </c>
      <c r="T323" t="n">
        <v>-1</v>
      </c>
      <c r="U323" t="n">
        <v>-1</v>
      </c>
      <c r="V323" t="inlineStr">
        <is>
          <t>7/11</t>
        </is>
      </c>
      <c r="W323" t="inlineStr">
        <is>
          <t>.</t>
        </is>
      </c>
      <c r="X323" t="inlineStr">
        <is>
          <t>.</t>
        </is>
      </c>
      <c r="Y323" t="inlineStr">
        <is>
          <t>.</t>
        </is>
      </c>
      <c r="Z323" t="inlineStr">
        <is>
          <t>4/7</t>
        </is>
      </c>
      <c r="AA323" t="inlineStr">
        <is>
          <t>Uncertain significance</t>
        </is>
      </c>
      <c r="AB323" t="inlineStr">
        <is>
          <t>.</t>
        </is>
      </c>
      <c r="AC323" t="inlineStr">
        <is>
          <t>.</t>
        </is>
      </c>
      <c r="AD323" t="inlineStr">
        <is>
          <t>4;4</t>
        </is>
      </c>
      <c r="AE323" t="inlineStr">
        <is>
          <t>.</t>
        </is>
      </c>
      <c r="AF323" t="inlineStr">
        <is>
          <t>lysine methyltransferase 5A</t>
        </is>
      </c>
      <c r="AG323" t="inlineStr">
        <is>
          <t xml:space="preserve">FUNCTION: Protein-lysine N-methyltransferase that monomethylates both histones and non-histone proteins. Specifically monomethylates 'Lys-20' of histone H4 (H4K20me1). H4K20me1 is enriched during mitosis and represents a specific tag for epigenetic transcriptional repression. Mainly functions in euchromatin regions, thereby playing a central role in the silencing of euchromatic genes. Required for cell proliferation, probably by contributing to the maintenance of proper higher-order structure of DNA during mitosis. Involved in chromosome condensation and proper cytokinesis. Nucleosomes are preferred as substrate compared to free histones. Mediates monomethylation of p53/TP53 at 'Lys-382', leading to repress p53/TP53-target genes. Plays a negative role in TGF-beta response regulation and a positive role in cell migration. {ECO:0000269|PubMed:12086618, ECO:0000269|PubMed:12121615, ECO:0000269|PubMed:15200950, ECO:0000269|PubMed:15933069, ECO:0000269|PubMed:15933070, ECO:0000269|PubMed:16517599, ECO:0000269|PubMed:17707234, ECO:0000269|PubMed:23478445}.; </t>
        </is>
      </c>
      <c r="AH323" t="inlineStr">
        <is>
          <t>.</t>
        </is>
      </c>
      <c r="AI323" t="inlineStr">
        <is>
          <t>.</t>
        </is>
      </c>
      <c r="AJ323" t="inlineStr">
        <is>
          <t>.</t>
        </is>
      </c>
      <c r="AK323" t="inlineStr">
        <is>
          <t>.</t>
        </is>
      </c>
      <c r="AL323" t="inlineStr">
        <is>
          <t>.</t>
        </is>
      </c>
    </row>
    <row r="324">
      <c r="A324" t="inlineStr"/>
      <c r="B324">
        <f>HYPERLINK("https://genome.ucsc.edu/cgi-bin/hgTracks?db=hg19&amp;position=chr12%3A123892095%2D123892095", "chr12:123892095")</f>
        <v/>
      </c>
      <c r="C324" t="inlineStr">
        <is>
          <t>chr12</t>
        </is>
      </c>
      <c r="D324" t="n">
        <v>123892095</v>
      </c>
      <c r="E324" t="n">
        <v>123892095</v>
      </c>
      <c r="F324" t="inlineStr">
        <is>
          <t>T</t>
        </is>
      </c>
      <c r="G324" t="inlineStr">
        <is>
          <t>C</t>
        </is>
      </c>
      <c r="H324" t="inlineStr">
        <is>
          <t>1153.64</t>
        </is>
      </c>
      <c r="I324" t="inlineStr">
        <is>
          <t>126</t>
        </is>
      </c>
      <c r="J324" t="inlineStr">
        <is>
          <t>76,50</t>
        </is>
      </c>
      <c r="K324" t="inlineStr">
        <is>
          <t>.</t>
        </is>
      </c>
      <c r="L324">
        <f>HYPERLINK("https://www.ncbi.nlm.nih.gov/snp/rs61955126", "rs61955126")</f>
        <v/>
      </c>
      <c r="M324">
        <f>HYPERLINK("https://www.genecards.org/Search/Keyword?queryString=%5Baliases%5D(%20KMT5A%20)%20OR%20%5Baliases%5D(%20SETD8%20)&amp;keywords=KMT5A,SETD8", "KMT5A;SETD8")</f>
        <v/>
      </c>
      <c r="N324" t="inlineStr">
        <is>
          <t>exonic</t>
        </is>
      </c>
      <c r="O324" t="inlineStr">
        <is>
          <t>nonsynonymous SNV</t>
        </is>
      </c>
      <c r="P324" t="inlineStr">
        <is>
          <t>KMT5A:NM_001324506:exon6:c.T580C:p.C194R,KMT5A:NM_001324505:exon7:c.T733C:p.C245R,KMT5A:NM_001367388:exon7:c.T793C:p.C265R,KMT5A:NM_001367389:exon7:c.T580C:p.C194R,KMT5A:NM_001367386:exon8:c.T886C:p.C296R,KMT5A:NM_020382:exon8:c.T904C:p.C302R,KMT5A:NM_001324504:exon9:c.T814C:p.C272R;SETD8:uc001uew.3:exon8:c.T904C:p.C302R;KMT5A:ENST00000402868.8_5:exon8:c.T904C:p.C302R</t>
        </is>
      </c>
      <c r="Q324" t="n">
        <v>0.0116816</v>
      </c>
      <c r="R324" t="n">
        <v>-1</v>
      </c>
      <c r="S324" t="n">
        <v>-1</v>
      </c>
      <c r="T324" t="n">
        <v>-1</v>
      </c>
      <c r="U324" t="n">
        <v>-1</v>
      </c>
      <c r="V324" t="inlineStr">
        <is>
          <t>5/11</t>
        </is>
      </c>
      <c r="W324" t="inlineStr">
        <is>
          <t>.</t>
        </is>
      </c>
      <c r="X324" t="inlineStr">
        <is>
          <t>.</t>
        </is>
      </c>
      <c r="Y324" t="inlineStr">
        <is>
          <t>.</t>
        </is>
      </c>
      <c r="Z324" t="inlineStr">
        <is>
          <t>5/7</t>
        </is>
      </c>
      <c r="AA324" t="inlineStr">
        <is>
          <t>Uncertain significance</t>
        </is>
      </c>
      <c r="AB324" t="inlineStr">
        <is>
          <t>.</t>
        </is>
      </c>
      <c r="AC324" t="inlineStr">
        <is>
          <t>0/1</t>
        </is>
      </c>
      <c r="AD324" t="inlineStr">
        <is>
          <t>4;4</t>
        </is>
      </c>
      <c r="AE324" t="inlineStr">
        <is>
          <t>.</t>
        </is>
      </c>
      <c r="AF324" t="inlineStr">
        <is>
          <t>lysine methyltransferase 5A</t>
        </is>
      </c>
      <c r="AG324" t="inlineStr">
        <is>
          <t xml:space="preserve">FUNCTION: Protein-lysine N-methyltransferase that monomethylates both histones and non-histone proteins. Specifically monomethylates 'Lys-20' of histone H4 (H4K20me1). H4K20me1 is enriched during mitosis and represents a specific tag for epigenetic transcriptional repression. Mainly functions in euchromatin regions, thereby playing a central role in the silencing of euchromatic genes. Required for cell proliferation, probably by contributing to the maintenance of proper higher-order structure of DNA during mitosis. Involved in chromosome condensation and proper cytokinesis. Nucleosomes are preferred as substrate compared to free histones. Mediates monomethylation of p53/TP53 at 'Lys-382', leading to repress p53/TP53-target genes. Plays a negative role in TGF-beta response regulation and a positive role in cell migration. {ECO:0000269|PubMed:12086618, ECO:0000269|PubMed:12121615, ECO:0000269|PubMed:15200950, ECO:0000269|PubMed:15933069, ECO:0000269|PubMed:15933070, ECO:0000269|PubMed:16517599, ECO:0000269|PubMed:17707234, ECO:0000269|PubMed:23478445}.; </t>
        </is>
      </c>
      <c r="AH324" t="inlineStr">
        <is>
          <t>.</t>
        </is>
      </c>
      <c r="AI324" t="inlineStr">
        <is>
          <t>.</t>
        </is>
      </c>
      <c r="AJ324" t="inlineStr">
        <is>
          <t>.</t>
        </is>
      </c>
      <c r="AK324" t="inlineStr">
        <is>
          <t>.</t>
        </is>
      </c>
      <c r="AL324" t="inlineStr">
        <is>
          <t>NGS_HighStringency</t>
        </is>
      </c>
    </row>
    <row r="325">
      <c r="A325" t="inlineStr"/>
      <c r="B325">
        <f>HYPERLINK("https://genome.ucsc.edu/cgi-bin/hgTracks?db=hg19&amp;position=chr12%3A123892186%2D123892186", "chr12:123892186")</f>
        <v/>
      </c>
      <c r="C325" t="inlineStr">
        <is>
          <t>chr12</t>
        </is>
      </c>
      <c r="D325" t="n">
        <v>123892186</v>
      </c>
      <c r="E325" t="n">
        <v>123892186</v>
      </c>
      <c r="F325" t="inlineStr">
        <is>
          <t>T</t>
        </is>
      </c>
      <c r="G325" t="inlineStr">
        <is>
          <t>C</t>
        </is>
      </c>
      <c r="H325" t="inlineStr">
        <is>
          <t>1264.64</t>
        </is>
      </c>
      <c r="I325" t="inlineStr">
        <is>
          <t>154</t>
        </is>
      </c>
      <c r="J325" t="inlineStr">
        <is>
          <t>88,66</t>
        </is>
      </c>
      <c r="K325" t="inlineStr">
        <is>
          <t>.</t>
        </is>
      </c>
      <c r="L325">
        <f>HYPERLINK("https://www.ncbi.nlm.nih.gov/snp/rs61955127", "rs61955127")</f>
        <v/>
      </c>
      <c r="M325">
        <f>HYPERLINK("https://www.genecards.org/Search/Keyword?queryString=%5Baliases%5D(%20KMT5A%20)%20OR%20%5Baliases%5D(%20SETD8%20)&amp;keywords=KMT5A,SETD8", "KMT5A;SETD8")</f>
        <v/>
      </c>
      <c r="N325" t="inlineStr">
        <is>
          <t>exonic</t>
        </is>
      </c>
      <c r="O325" t="inlineStr">
        <is>
          <t>nonsynonymous SNV</t>
        </is>
      </c>
      <c r="P325" t="inlineStr">
        <is>
          <t>KMT5A:NM_001324506:exon6:c.T671C:p.L224P,KMT5A:NM_001324505:exon7:c.T824C:p.L275P,KMT5A:NM_001367388:exon7:c.T884C:p.L295P,KMT5A:NM_001367389:exon7:c.T671C:p.L224P,KMT5A:NM_001367386:exon8:c.T977C:p.L326P,KMT5A:NM_020382:exon8:c.T995C:p.L332P,KMT5A:NM_001324504:exon9:c.T905C:p.L302P;SETD8:uc001uew.3:exon8:c.T995C:p.L332P;KMT5A:ENST00000402868.8_5:exon8:c.T995C:p.L332P</t>
        </is>
      </c>
      <c r="Q325" t="n">
        <v>0.0112676</v>
      </c>
      <c r="R325" t="n">
        <v>-1</v>
      </c>
      <c r="S325" t="n">
        <v>-1</v>
      </c>
      <c r="T325" t="n">
        <v>-1</v>
      </c>
      <c r="U325" t="n">
        <v>-1</v>
      </c>
      <c r="V325" t="inlineStr">
        <is>
          <t>10/11</t>
        </is>
      </c>
      <c r="W325" t="inlineStr">
        <is>
          <t>.</t>
        </is>
      </c>
      <c r="X325" t="inlineStr">
        <is>
          <t>.</t>
        </is>
      </c>
      <c r="Y325" t="inlineStr">
        <is>
          <t>.</t>
        </is>
      </c>
      <c r="Z325" t="inlineStr">
        <is>
          <t>5/7</t>
        </is>
      </c>
      <c r="AA325" t="inlineStr">
        <is>
          <t>Uncertain significance</t>
        </is>
      </c>
      <c r="AB325" t="inlineStr">
        <is>
          <t>.</t>
        </is>
      </c>
      <c r="AC325" t="inlineStr">
        <is>
          <t>0/1</t>
        </is>
      </c>
      <c r="AD325" t="inlineStr">
        <is>
          <t>4;4</t>
        </is>
      </c>
      <c r="AE325" t="inlineStr">
        <is>
          <t>.</t>
        </is>
      </c>
      <c r="AF325" t="inlineStr">
        <is>
          <t>lysine methyltransferase 5A</t>
        </is>
      </c>
      <c r="AG325" t="inlineStr">
        <is>
          <t xml:space="preserve">FUNCTION: Protein-lysine N-methyltransferase that monomethylates both histones and non-histone proteins. Specifically monomethylates 'Lys-20' of histone H4 (H4K20me1). H4K20me1 is enriched during mitosis and represents a specific tag for epigenetic transcriptional repression. Mainly functions in euchromatin regions, thereby playing a central role in the silencing of euchromatic genes. Required for cell proliferation, probably by contributing to the maintenance of proper higher-order structure of DNA during mitosis. Involved in chromosome condensation and proper cytokinesis. Nucleosomes are preferred as substrate compared to free histones. Mediates monomethylation of p53/TP53 at 'Lys-382', leading to repress p53/TP53-target genes. Plays a negative role in TGF-beta response regulation and a positive role in cell migration. {ECO:0000269|PubMed:12086618, ECO:0000269|PubMed:12121615, ECO:0000269|PubMed:15200950, ECO:0000269|PubMed:15933069, ECO:0000269|PubMed:15933070, ECO:0000269|PubMed:16517599, ECO:0000269|PubMed:17707234, ECO:0000269|PubMed:23478445}.; </t>
        </is>
      </c>
      <c r="AH325" t="inlineStr">
        <is>
          <t>.</t>
        </is>
      </c>
      <c r="AI325" t="inlineStr">
        <is>
          <t>.</t>
        </is>
      </c>
      <c r="AJ325" t="inlineStr">
        <is>
          <t>.</t>
        </is>
      </c>
      <c r="AK325" t="inlineStr">
        <is>
          <t>.</t>
        </is>
      </c>
      <c r="AL325" t="inlineStr">
        <is>
          <t>NGS_HighStringency</t>
        </is>
      </c>
    </row>
    <row r="326">
      <c r="A326" t="inlineStr"/>
      <c r="B326">
        <f>HYPERLINK("https://genome.ucsc.edu/cgi-bin/hgTracks?db=hg19&amp;position=chr12%3A132262815%2D132262815", "chr12:132262815")</f>
        <v/>
      </c>
      <c r="C326" t="inlineStr">
        <is>
          <t>chr12</t>
        </is>
      </c>
      <c r="D326" t="n">
        <v>132262815</v>
      </c>
      <c r="E326" t="n">
        <v>132262815</v>
      </c>
      <c r="F326" t="inlineStr">
        <is>
          <t>G</t>
        </is>
      </c>
      <c r="G326" t="inlineStr">
        <is>
          <t>A</t>
        </is>
      </c>
      <c r="H326" t="inlineStr">
        <is>
          <t>868.64</t>
        </is>
      </c>
      <c r="I326" t="inlineStr">
        <is>
          <t>152</t>
        </is>
      </c>
      <c r="J326" t="inlineStr">
        <is>
          <t>106,46</t>
        </is>
      </c>
      <c r="K326" t="inlineStr">
        <is>
          <t>.</t>
        </is>
      </c>
      <c r="L326" t="inlineStr">
        <is>
          <t>.</t>
        </is>
      </c>
      <c r="M326">
        <f>HYPERLINK("https://www.genecards.org/Search/Keyword?queryString=%5Baliases%5D(%20SFSWAP%20)&amp;keywords=SFSWAP", "SFSWAP")</f>
        <v/>
      </c>
      <c r="N326" t="inlineStr">
        <is>
          <t>exonic</t>
        </is>
      </c>
      <c r="O326" t="inlineStr">
        <is>
          <t>nonsynonymous SNV</t>
        </is>
      </c>
      <c r="P326" t="inlineStr">
        <is>
          <t>SFSWAP:NM_001261411:exon14:c.G2348A:p.R783K,SFSWAP:NM_004592:exon14:c.G2348A:p.R783K;SFSWAP:uc001ujb.1:exon12:c.G1727A:p.R576K,SFSWAP:uc001uja.2:exon14:c.G2348A:p.R783K,SFSWAP:uc010tbn.2:exon14:c.G2348A:p.R783K;SFSWAP:ENST00000261674.9_7:exon14:c.G2348A:p.R783K,SFSWAP:ENST00000541286.5_5:exon14:c.G2348A:p.R783K</t>
        </is>
      </c>
      <c r="Q326" t="n">
        <v>-1</v>
      </c>
      <c r="R326" t="n">
        <v>-1</v>
      </c>
      <c r="S326" t="n">
        <v>-1</v>
      </c>
      <c r="T326" t="n">
        <v>-1</v>
      </c>
      <c r="U326" t="n">
        <v>-1</v>
      </c>
      <c r="V326" t="inlineStr">
        <is>
          <t>6/12</t>
        </is>
      </c>
      <c r="W326" t="inlineStr">
        <is>
          <t>.</t>
        </is>
      </c>
      <c r="X326" t="inlineStr">
        <is>
          <t>.</t>
        </is>
      </c>
      <c r="Y326" t="inlineStr">
        <is>
          <t>.</t>
        </is>
      </c>
      <c r="Z326" t="inlineStr">
        <is>
          <t>4/7</t>
        </is>
      </c>
      <c r="AA326" t="inlineStr">
        <is>
          <t>Uncertain significance</t>
        </is>
      </c>
      <c r="AB326" t="inlineStr">
        <is>
          <t>.</t>
        </is>
      </c>
      <c r="AC326" t="inlineStr">
        <is>
          <t>0/1</t>
        </is>
      </c>
      <c r="AD326" t="inlineStr">
        <is>
          <t>1</t>
        </is>
      </c>
      <c r="AE326" t="inlineStr">
        <is>
          <t>0.999425434016638</t>
        </is>
      </c>
      <c r="AF326" t="inlineStr">
        <is>
          <t>splicing factor, suppressor of white-apricot homolog</t>
        </is>
      </c>
      <c r="AG326" t="inlineStr">
        <is>
          <t xml:space="preserve">FUNCTION: Plays a role as an alternative splicing regulator. Regulate its own expression at the level of RNA processing. Also regulates the splicing of fibronectin and CD45 genes. May act, at least in part, by interaction with other R/S-containing splicing factors. Represses the splicing of MAPT/Tau exon 10. {ECO:0000269|PubMed:8940107}.; </t>
        </is>
      </c>
      <c r="AH326" t="inlineStr">
        <is>
          <t>.</t>
        </is>
      </c>
      <c r="AI326" t="inlineStr">
        <is>
          <t>.</t>
        </is>
      </c>
      <c r="AJ326" t="inlineStr">
        <is>
          <t>.</t>
        </is>
      </c>
      <c r="AK326" t="inlineStr">
        <is>
          <t>.</t>
        </is>
      </c>
      <c r="AL326" t="inlineStr">
        <is>
          <t>.</t>
        </is>
      </c>
    </row>
    <row r="327">
      <c r="A327" t="inlineStr"/>
      <c r="B327">
        <f>HYPERLINK("https://genome.ucsc.edu/cgi-bin/hgTracks?db=hg19&amp;position=chr12%3A132635892%2D132635892", "chr12:132635892")</f>
        <v/>
      </c>
      <c r="C327" t="inlineStr">
        <is>
          <t>chr12</t>
        </is>
      </c>
      <c r="D327" t="n">
        <v>132635892</v>
      </c>
      <c r="E327" t="n">
        <v>132635892</v>
      </c>
      <c r="F327" t="inlineStr">
        <is>
          <t>C</t>
        </is>
      </c>
      <c r="G327" t="inlineStr">
        <is>
          <t>A</t>
        </is>
      </c>
      <c r="H327" t="inlineStr">
        <is>
          <t>433.64</t>
        </is>
      </c>
      <c r="I327" t="inlineStr">
        <is>
          <t>104</t>
        </is>
      </c>
      <c r="J327" t="inlineStr">
        <is>
          <t>79,25</t>
        </is>
      </c>
      <c r="K327" t="inlineStr">
        <is>
          <t>.</t>
        </is>
      </c>
      <c r="L327">
        <f>HYPERLINK("https://www.ncbi.nlm.nih.gov/snp/rs1132100", "rs1132100")</f>
        <v/>
      </c>
      <c r="M327">
        <f>HYPERLINK("https://www.genecards.org/Search/Keyword?queryString=%5Baliases%5D(%20NOC4L%20)&amp;keywords=NOC4L", "NOC4L")</f>
        <v/>
      </c>
      <c r="N327" t="inlineStr">
        <is>
          <t>exonic</t>
        </is>
      </c>
      <c r="O327" t="inlineStr">
        <is>
          <t>nonsynonymous SNV</t>
        </is>
      </c>
      <c r="P327" t="inlineStr">
        <is>
          <t>NOC4L:NM_024078:exon11:c.C1052A:p.A351D;NOC4L:uc001ujz.1:exon11:c.C1052A:p.A351D;NOC4L:ENST00000330579.6_3:exon11:c.C1052A:p.A351D</t>
        </is>
      </c>
      <c r="Q327" t="n">
        <v>6.5e-06</v>
      </c>
      <c r="R327" t="n">
        <v>-1</v>
      </c>
      <c r="S327" t="n">
        <v>-1</v>
      </c>
      <c r="T327" t="n">
        <v>-1</v>
      </c>
      <c r="U327" t="n">
        <v>-1</v>
      </c>
      <c r="V327" t="inlineStr">
        <is>
          <t>9/12</t>
        </is>
      </c>
      <c r="W327" t="inlineStr">
        <is>
          <t>.</t>
        </is>
      </c>
      <c r="X327" t="inlineStr">
        <is>
          <t>.</t>
        </is>
      </c>
      <c r="Y327" t="inlineStr">
        <is>
          <t>.</t>
        </is>
      </c>
      <c r="Z327" t="inlineStr">
        <is>
          <t>1/7</t>
        </is>
      </c>
      <c r="AA327" t="inlineStr">
        <is>
          <t>Uncertain significance</t>
        </is>
      </c>
      <c r="AB327" t="inlineStr">
        <is>
          <t>.</t>
        </is>
      </c>
      <c r="AC327" t="inlineStr">
        <is>
          <t>0/1</t>
        </is>
      </c>
      <c r="AD327" t="inlineStr">
        <is>
          <t>1</t>
        </is>
      </c>
      <c r="AE327" t="inlineStr">
        <is>
          <t>.</t>
        </is>
      </c>
      <c r="AF327" t="inlineStr">
        <is>
          <t>nucleolar complex associated 4 homolog</t>
        </is>
      </c>
      <c r="AG327" t="inlineStr">
        <is>
          <t>.</t>
        </is>
      </c>
      <c r="AH327" t="inlineStr">
        <is>
          <t>.</t>
        </is>
      </c>
      <c r="AI327" t="inlineStr">
        <is>
          <t>.</t>
        </is>
      </c>
      <c r="AJ327" t="inlineStr">
        <is>
          <t>.</t>
        </is>
      </c>
      <c r="AK327" t="inlineStr">
        <is>
          <t>.</t>
        </is>
      </c>
      <c r="AL327" t="inlineStr">
        <is>
          <t>.</t>
        </is>
      </c>
    </row>
    <row r="328">
      <c r="A328" t="inlineStr"/>
      <c r="B328">
        <f>HYPERLINK("https://genome.ucsc.edu/cgi-bin/hgTracks?db=hg19&amp;position=chr12%3A133453948%2D133453948", "chr12:133453948")</f>
        <v/>
      </c>
      <c r="C328" t="inlineStr">
        <is>
          <t>chr12</t>
        </is>
      </c>
      <c r="D328" t="n">
        <v>133453948</v>
      </c>
      <c r="E328" t="n">
        <v>133453948</v>
      </c>
      <c r="F328" t="inlineStr">
        <is>
          <t>T</t>
        </is>
      </c>
      <c r="G328" t="inlineStr">
        <is>
          <t>C</t>
        </is>
      </c>
      <c r="H328" t="inlineStr">
        <is>
          <t>75.64</t>
        </is>
      </c>
      <c r="I328" t="inlineStr">
        <is>
          <t>8</t>
        </is>
      </c>
      <c r="J328" t="inlineStr">
        <is>
          <t>5,3</t>
        </is>
      </c>
      <c r="K328" t="inlineStr">
        <is>
          <t>.</t>
        </is>
      </c>
      <c r="L328">
        <f>HYPERLINK("https://www.ncbi.nlm.nih.gov/snp/rs112903909", "rs112903909")</f>
        <v/>
      </c>
      <c r="M328">
        <f>HYPERLINK("https://www.genecards.org/Search/Keyword?queryString=%5Baliases%5D(%20CHFR%20)&amp;keywords=CHFR", "CHFR")</f>
        <v/>
      </c>
      <c r="N328" t="inlineStr">
        <is>
          <t>intronic</t>
        </is>
      </c>
      <c r="O328" t="inlineStr">
        <is>
          <t>.</t>
        </is>
      </c>
      <c r="P328" t="inlineStr">
        <is>
          <t>.</t>
        </is>
      </c>
      <c r="Q328" t="n">
        <v>0.027</v>
      </c>
      <c r="R328" t="n">
        <v>0.0272</v>
      </c>
      <c r="S328" t="n">
        <v>0.0268</v>
      </c>
      <c r="T328" t="n">
        <v>-1</v>
      </c>
      <c r="U328" t="n">
        <v>0.0263</v>
      </c>
      <c r="V328" t="inlineStr">
        <is>
          <t>.</t>
        </is>
      </c>
      <c r="W328" t="inlineStr">
        <is>
          <t>.</t>
        </is>
      </c>
      <c r="X328" t="inlineStr">
        <is>
          <t>PD</t>
        </is>
      </c>
      <c r="Y328" t="inlineStr">
        <is>
          <t>off</t>
        </is>
      </c>
      <c r="Z328" t="inlineStr">
        <is>
          <t>.</t>
        </is>
      </c>
      <c r="AA328" t="inlineStr">
        <is>
          <t>.</t>
        </is>
      </c>
      <c r="AB328" t="inlineStr">
        <is>
          <t>.</t>
        </is>
      </c>
      <c r="AC328" t="inlineStr">
        <is>
          <t>0/1</t>
        </is>
      </c>
      <c r="AD328" t="inlineStr">
        <is>
          <t>1</t>
        </is>
      </c>
      <c r="AE328" t="inlineStr">
        <is>
          <t>0.636712516541035</t>
        </is>
      </c>
      <c r="AF328" t="inlineStr">
        <is>
          <t>checkpoint with forkhead and ring finger domains, E3 ubiquitin protein ligase</t>
        </is>
      </c>
      <c r="AG328" t="inlineStr">
        <is>
          <t xml:space="preserve">FUNCTION: E3 ubiquitin-protein ligase that functions in the antephase checkpoint by actively delaying passage into mitosis in response to microtubule poisons. Acts in early prophase before chromosome condensation, when the centrosome move apart from each other along the periphery of the nucleus. Probably involved in signaling the presence of mitotic stress caused by microtubule poisons by mediating the 'Lys-48'-linked ubiquitination of target proteins, leading to their degradation by the proteasome. Promotes the ubiquitination and subsequent degradation of AURKA and PLK1. Probably acts as a tumor suppressor, possibly by mediating the polyubiquitination of HDAC1, leading to its degradation. May also promote the formation of 'Lys-63'-linked polyubiquitin chains and functions with the specific ubiquitin-conjugating UBC13-MMS2 (UBE2N-UBE2V2) heterodimer. Substrates that are polyubiquitinated at 'Lys-63' are usually not targeted for degradation, but are rather involved in signaling cellular stress. {ECO:0000269|PubMed:10935642, ECO:0000269|PubMed:11807090, ECO:0000269|PubMed:11912157, ECO:0000269|PubMed:14562038, ECO:0000269|PubMed:14694445, ECO:0000269|PubMed:18172500, ECO:0000269|PubMed:19182791}.; </t>
        </is>
      </c>
      <c r="AH328" t="inlineStr">
        <is>
          <t>.</t>
        </is>
      </c>
      <c r="AI328" t="inlineStr">
        <is>
          <t>.</t>
        </is>
      </c>
      <c r="AJ328" t="inlineStr">
        <is>
          <t>.</t>
        </is>
      </c>
      <c r="AK328" t="inlineStr">
        <is>
          <t>.</t>
        </is>
      </c>
      <c r="AL328" t="inlineStr">
        <is>
          <t>.</t>
        </is>
      </c>
    </row>
    <row r="329">
      <c r="A329" t="inlineStr"/>
      <c r="B329">
        <f>HYPERLINK("https://genome.ucsc.edu/cgi-bin/hgTracks?db=hg19&amp;position=chr12%3A133804514%2D133804514", "chr12:133804514")</f>
        <v/>
      </c>
      <c r="C329" t="inlineStr">
        <is>
          <t>chr12</t>
        </is>
      </c>
      <c r="D329" t="n">
        <v>133804514</v>
      </c>
      <c r="E329" t="n">
        <v>133804514</v>
      </c>
      <c r="F329" t="inlineStr">
        <is>
          <t>G</t>
        </is>
      </c>
      <c r="G329" t="inlineStr">
        <is>
          <t>T</t>
        </is>
      </c>
      <c r="H329" t="inlineStr">
        <is>
          <t>622.64</t>
        </is>
      </c>
      <c r="I329" t="inlineStr">
        <is>
          <t>85</t>
        </is>
      </c>
      <c r="J329" t="inlineStr">
        <is>
          <t>56,29</t>
        </is>
      </c>
      <c r="K329" t="inlineStr">
        <is>
          <t>.</t>
        </is>
      </c>
      <c r="L329" t="inlineStr">
        <is>
          <t>.</t>
        </is>
      </c>
      <c r="M329">
        <f>HYPERLINK("https://www.genecards.org/Search/Keyword?queryString=%5Baliases%5D(%20ANHX%20)&amp;keywords=ANHX", "ANHX")</f>
        <v/>
      </c>
      <c r="N329" t="inlineStr">
        <is>
          <t>exonic</t>
        </is>
      </c>
      <c r="O329" t="inlineStr">
        <is>
          <t>nonsynonymous SNV</t>
        </is>
      </c>
      <c r="P329" t="inlineStr">
        <is>
          <t>ANHX:NM_001191054:exon4:c.C397A:p.L133I,ANHX:NM_001372060:exon4:c.C397A:p.L133I;ANHX:uc010tci.2:exon4:c.C397A:p.L133I;ANHX:ENST00000419717.3_7:exon4:c.C397A:p.L133I,ANHX:ENST00000545940.6_9:exon4:c.C397A:p.L133I</t>
        </is>
      </c>
      <c r="Q329" t="n">
        <v>-1</v>
      </c>
      <c r="R329" t="n">
        <v>-1</v>
      </c>
      <c r="S329" t="n">
        <v>-1</v>
      </c>
      <c r="T329" t="n">
        <v>-1</v>
      </c>
      <c r="U329" t="n">
        <v>-1</v>
      </c>
      <c r="V329" t="inlineStr">
        <is>
          <t>5/11</t>
        </is>
      </c>
      <c r="W329" t="inlineStr">
        <is>
          <t>.</t>
        </is>
      </c>
      <c r="X329" t="inlineStr">
        <is>
          <t>.</t>
        </is>
      </c>
      <c r="Y329" t="inlineStr">
        <is>
          <t>.</t>
        </is>
      </c>
      <c r="Z329" t="inlineStr">
        <is>
          <t>1/7</t>
        </is>
      </c>
      <c r="AA329" t="inlineStr">
        <is>
          <t>Uncertain significance</t>
        </is>
      </c>
      <c r="AB329" t="inlineStr">
        <is>
          <t>.</t>
        </is>
      </c>
      <c r="AC329" t="inlineStr">
        <is>
          <t>0/1</t>
        </is>
      </c>
      <c r="AD329" t="inlineStr">
        <is>
          <t>1</t>
        </is>
      </c>
      <c r="AE329" t="inlineStr">
        <is>
          <t>.</t>
        </is>
      </c>
      <c r="AF329" t="inlineStr">
        <is>
          <t>anomalous homeobox</t>
        </is>
      </c>
      <c r="AG329" t="inlineStr">
        <is>
          <t>.</t>
        </is>
      </c>
      <c r="AH329" t="inlineStr">
        <is>
          <t>.</t>
        </is>
      </c>
      <c r="AI329" t="inlineStr">
        <is>
          <t>.</t>
        </is>
      </c>
      <c r="AJ329" t="inlineStr">
        <is>
          <t>.</t>
        </is>
      </c>
      <c r="AK329" t="inlineStr">
        <is>
          <t>.</t>
        </is>
      </c>
      <c r="AL329" t="inlineStr">
        <is>
          <t>.</t>
        </is>
      </c>
    </row>
    <row r="330">
      <c r="A330" t="inlineStr"/>
      <c r="B330">
        <f>HYPERLINK("https://genome.ucsc.edu/cgi-bin/hgTracks?db=hg19&amp;position=chr13%3A26151235%2D26151235", "chr13:26151235")</f>
        <v/>
      </c>
      <c r="C330" t="inlineStr">
        <is>
          <t>chr13</t>
        </is>
      </c>
      <c r="D330" t="n">
        <v>26151235</v>
      </c>
      <c r="E330" t="n">
        <v>26151235</v>
      </c>
      <c r="F330" t="inlineStr">
        <is>
          <t>C</t>
        </is>
      </c>
      <c r="G330" t="inlineStr">
        <is>
          <t>G</t>
        </is>
      </c>
      <c r="H330" t="inlineStr">
        <is>
          <t>950.64</t>
        </is>
      </c>
      <c r="I330" t="inlineStr">
        <is>
          <t>108</t>
        </is>
      </c>
      <c r="J330" t="inlineStr">
        <is>
          <t>62,46</t>
        </is>
      </c>
      <c r="K330" t="inlineStr">
        <is>
          <t>.</t>
        </is>
      </c>
      <c r="L330" t="inlineStr">
        <is>
          <t>.</t>
        </is>
      </c>
      <c r="M330">
        <f>HYPERLINK("https://www.genecards.org/Search/Keyword?queryString=%5Baliases%5D(%20ATP8A2%20)&amp;keywords=ATP8A2", "ATP8A2")</f>
        <v/>
      </c>
      <c r="N330" t="inlineStr">
        <is>
          <t>exonic</t>
        </is>
      </c>
      <c r="O330" t="inlineStr">
        <is>
          <t>nonsynonymous SNV</t>
        </is>
      </c>
      <c r="P330" t="inlineStr">
        <is>
          <t>ATP8A2:NM_001313741:exon20:c.C1621G:p.R541G,ATP8A2:NM_016529:exon20:c.C1741G:p.R581G;ATP8A2:uc010aaj.1:exon5:c.C271G:p.R91G,ATP8A2:uc001uqk.3:exon20:c.C1741G:p.R581G,ATP8A2:uc010tdi.2:exon20:c.C1621G:p.R541G;ATP8A2:ENST00000684424.1_3:exon19:c.C1621G:p.R541G,ATP8A2:ENST00000381655.7_5:exon20:c.C1741G:p.R581G,ATP8A2:ENST00000682472.1_1:exon20:c.C1741G:p.R581G</t>
        </is>
      </c>
      <c r="Q330" t="n">
        <v>-1</v>
      </c>
      <c r="R330" t="n">
        <v>-1</v>
      </c>
      <c r="S330" t="n">
        <v>-1</v>
      </c>
      <c r="T330" t="n">
        <v>-1</v>
      </c>
      <c r="U330" t="n">
        <v>-1</v>
      </c>
      <c r="V330" t="inlineStr">
        <is>
          <t>9/11</t>
        </is>
      </c>
      <c r="W330" t="inlineStr">
        <is>
          <t>.</t>
        </is>
      </c>
      <c r="X330" t="inlineStr">
        <is>
          <t>.</t>
        </is>
      </c>
      <c r="Y330" t="inlineStr">
        <is>
          <t>.</t>
        </is>
      </c>
      <c r="Z330" t="inlineStr">
        <is>
          <t>2/7</t>
        </is>
      </c>
      <c r="AA330" t="inlineStr">
        <is>
          <t>Uncertain significance</t>
        </is>
      </c>
      <c r="AB330" t="inlineStr">
        <is>
          <t>.</t>
        </is>
      </c>
      <c r="AC330" t="inlineStr">
        <is>
          <t>0/1</t>
        </is>
      </c>
      <c r="AD330" t="inlineStr">
        <is>
          <t>1</t>
        </is>
      </c>
      <c r="AE330" t="inlineStr">
        <is>
          <t>0.418077899724509</t>
        </is>
      </c>
      <c r="AF330" t="inlineStr">
        <is>
          <t>ATPase phospholipid transporting 8A2</t>
        </is>
      </c>
      <c r="AG330" t="inlineStr">
        <is>
          <t xml:space="preserve">FUNCTION: Catalytic component of a P4-ATPase flippase complex which catalyzes the hydrolysis of ATP coupled to the transport of aminophospholipids from the outer to the inner leaflet of various membranes and ensures the maintenance of asymmetric distribution of phospholipids. Phospholipid translocation seems also to be implicated in vesicle formation and in uptake of lipid signaling molecules. Reconstituted to liposomes, the ATP8A2:TMEM30A flippase complex predomiminantly transports phosphatidylserine (PS) and to a lesser extent phosphatidylethanolamine (PE). Proposed to function in the generation and maintenance of phospholipid asymmetry in photoreceptor disk membranes and neuronal axon membranes. May be involved in vesicle trafficking in neuronal cells. Involved in regulation of neurite outgrowth; acting in synergy with TMEM30A. Required for normal visual and auditory function; involved in photoreceptor and inner ear spiral ganglion cell survival.; </t>
        </is>
      </c>
      <c r="AH330" t="inlineStr">
        <is>
          <t xml:space="preserve">DISEASE: Note=A chromosomal aberration disrupting ATP8A2 has been found in a patient with severe mental retardation and major hypotonia. Translocation t(10;13)(p12.1;q12.13) (PubMed:20683487). {ECO:0000269|PubMed:20683487}.; </t>
        </is>
      </c>
      <c r="AI330" t="inlineStr">
        <is>
          <t>.</t>
        </is>
      </c>
      <c r="AJ330" t="inlineStr">
        <is>
          <t>.</t>
        </is>
      </c>
      <c r="AK330" t="inlineStr">
        <is>
          <t>.</t>
        </is>
      </c>
      <c r="AL330" t="inlineStr">
        <is>
          <t>.</t>
        </is>
      </c>
    </row>
    <row r="331">
      <c r="A331" t="inlineStr"/>
      <c r="B331">
        <f>HYPERLINK("https://genome.ucsc.edu/cgi-bin/hgTracks?db=hg19&amp;position=chr13%3A31495178%2D31495178", "chr13:31495178")</f>
        <v/>
      </c>
      <c r="C331" t="inlineStr">
        <is>
          <t>chr13</t>
        </is>
      </c>
      <c r="D331" t="n">
        <v>31495178</v>
      </c>
      <c r="E331" t="n">
        <v>31495178</v>
      </c>
      <c r="F331" t="inlineStr">
        <is>
          <t>C</t>
        </is>
      </c>
      <c r="G331" t="inlineStr">
        <is>
          <t>T</t>
        </is>
      </c>
      <c r="H331" t="inlineStr">
        <is>
          <t>2447.06</t>
        </is>
      </c>
      <c r="I331" t="inlineStr">
        <is>
          <t>76</t>
        </is>
      </c>
      <c r="J331" t="inlineStr">
        <is>
          <t>0,76</t>
        </is>
      </c>
      <c r="K331" t="inlineStr">
        <is>
          <t>.</t>
        </is>
      </c>
      <c r="L331">
        <f>HYPERLINK("https://www.ncbi.nlm.nih.gov/snp/rs189649245", "rs189649245")</f>
        <v/>
      </c>
      <c r="M331">
        <f>HYPERLINK("https://www.genecards.org/Search/Keyword?queryString=%5Baliases%5D(%20MEDAG%20)&amp;keywords=MEDAG", "MEDAG")</f>
        <v/>
      </c>
      <c r="N331" t="inlineStr">
        <is>
          <t>exonic</t>
        </is>
      </c>
      <c r="O331" t="inlineStr">
        <is>
          <t>nonsynonymous SNV</t>
        </is>
      </c>
      <c r="P331" t="inlineStr">
        <is>
          <t>MEDAG:NM_032849:exon3:c.C416T:p.T139M;MEDAG:uc001uth.4:exon3:c.C416T:p.T139M;MEDAG:ENST00000380482.9_3:exon3:c.C416T:p.T139M</t>
        </is>
      </c>
      <c r="Q331" t="n">
        <v>0.005</v>
      </c>
      <c r="R331" t="n">
        <v>0.0007</v>
      </c>
      <c r="S331" t="n">
        <v>0.0005999999999999999</v>
      </c>
      <c r="T331" t="n">
        <v>-1</v>
      </c>
      <c r="U331" t="n">
        <v>0.0011</v>
      </c>
      <c r="V331" t="inlineStr">
        <is>
          <t>5/11</t>
        </is>
      </c>
      <c r="W331" t="inlineStr">
        <is>
          <t>.</t>
        </is>
      </c>
      <c r="X331" t="inlineStr">
        <is>
          <t>.</t>
        </is>
      </c>
      <c r="Y331" t="inlineStr">
        <is>
          <t>.</t>
        </is>
      </c>
      <c r="Z331" t="inlineStr">
        <is>
          <t>4/7</t>
        </is>
      </c>
      <c r="AA331" t="inlineStr">
        <is>
          <t>Uncertain significance</t>
        </is>
      </c>
      <c r="AB331" t="inlineStr">
        <is>
          <t>.</t>
        </is>
      </c>
      <c r="AC331" t="inlineStr">
        <is>
          <t>HOMO</t>
        </is>
      </c>
      <c r="AD331" t="inlineStr">
        <is>
          <t>1</t>
        </is>
      </c>
      <c r="AE331" t="inlineStr">
        <is>
          <t>0.000667054100444806</t>
        </is>
      </c>
      <c r="AF331" t="inlineStr">
        <is>
          <t>mesenteric estrogen-dependent adipogenesis</t>
        </is>
      </c>
      <c r="AG331" t="inlineStr">
        <is>
          <t xml:space="preserve">FUNCTION: Involved in processes that promote adipocyte differentiation, lipid accumulation, and glucose uptake in mature adipocytes. {ECO:0000250}.; </t>
        </is>
      </c>
      <c r="AH331" t="inlineStr">
        <is>
          <t>.</t>
        </is>
      </c>
      <c r="AI331" t="inlineStr">
        <is>
          <t>.</t>
        </is>
      </c>
      <c r="AJ331" t="inlineStr">
        <is>
          <t>.</t>
        </is>
      </c>
      <c r="AK331" t="inlineStr">
        <is>
          <t>.</t>
        </is>
      </c>
      <c r="AL331" t="inlineStr">
        <is>
          <t>.</t>
        </is>
      </c>
    </row>
    <row r="332">
      <c r="A332" t="inlineStr"/>
      <c r="B332">
        <f>HYPERLINK("https://genome.ucsc.edu/cgi-bin/hgTracks?db=hg19&amp;position=chr13%3A33629273%2D33629273", "chr13:33629273")</f>
        <v/>
      </c>
      <c r="C332" t="inlineStr">
        <is>
          <t>chr13</t>
        </is>
      </c>
      <c r="D332" t="n">
        <v>33629273</v>
      </c>
      <c r="E332" t="n">
        <v>33629273</v>
      </c>
      <c r="F332" t="inlineStr">
        <is>
          <t>C</t>
        </is>
      </c>
      <c r="G332" t="inlineStr">
        <is>
          <t>A</t>
        </is>
      </c>
      <c r="H332" t="inlineStr">
        <is>
          <t>757.64</t>
        </is>
      </c>
      <c r="I332" t="inlineStr">
        <is>
          <t>82</t>
        </is>
      </c>
      <c r="J332" t="inlineStr">
        <is>
          <t>50,32</t>
        </is>
      </c>
      <c r="K332" t="inlineStr">
        <is>
          <t>.</t>
        </is>
      </c>
      <c r="L332">
        <f>HYPERLINK("https://www.ncbi.nlm.nih.gov/snp/rs758701481", "rs758701481")</f>
        <v/>
      </c>
      <c r="M332">
        <f>HYPERLINK("https://www.genecards.org/Search/Keyword?queryString=%5Baliases%5D(%20KL%20)&amp;keywords=KL", "KL")</f>
        <v/>
      </c>
      <c r="N332" t="inlineStr">
        <is>
          <t>exonic</t>
        </is>
      </c>
      <c r="O332" t="inlineStr">
        <is>
          <t>nonsynonymous SNV</t>
        </is>
      </c>
      <c r="P332" t="inlineStr">
        <is>
          <t>KL:NM_004795:exon3:c.C1420A:p.R474S;KL:uc001uur.1:exon3:c.C499A:p.R167S,KL:uc001uus.3:exon3:c.C1420A:p.R474S;KL:ENST00000380099.4_3:exon3:c.C1420A:p.R474S</t>
        </is>
      </c>
      <c r="Q332" t="n">
        <v>6.5e-06</v>
      </c>
      <c r="R332" t="n">
        <v>-1</v>
      </c>
      <c r="S332" t="n">
        <v>-1</v>
      </c>
      <c r="T332" t="n">
        <v>-1</v>
      </c>
      <c r="U332" t="n">
        <v>-1</v>
      </c>
      <c r="V332" t="inlineStr">
        <is>
          <t>5/12</t>
        </is>
      </c>
      <c r="W332" t="inlineStr">
        <is>
          <t>.</t>
        </is>
      </c>
      <c r="X332" t="inlineStr">
        <is>
          <t>.</t>
        </is>
      </c>
      <c r="Y332" t="inlineStr">
        <is>
          <t>.</t>
        </is>
      </c>
      <c r="Z332" t="inlineStr">
        <is>
          <t>3/7</t>
        </is>
      </c>
      <c r="AA332" t="inlineStr">
        <is>
          <t>Uncertain significance</t>
        </is>
      </c>
      <c r="AB332" t="inlineStr">
        <is>
          <t>.</t>
        </is>
      </c>
      <c r="AC332" t="inlineStr">
        <is>
          <t>0/1</t>
        </is>
      </c>
      <c r="AD332" t="inlineStr">
        <is>
          <t>1</t>
        </is>
      </c>
      <c r="AE332" t="inlineStr">
        <is>
          <t>1.95267033273788e-05</t>
        </is>
      </c>
      <c r="AF332" t="inlineStr">
        <is>
          <t>klotho</t>
        </is>
      </c>
      <c r="AG332" t="inlineStr">
        <is>
          <t xml:space="preserve">FUNCTION: May have weak glycosidase activity towards glucuronylated steroids. However, it lacks essential active site Glu residues at positions 239 and 872, suggesting it may be inactive as a glycosidase in vivo. May be involved in the regulation of calcium and phosphorus homeostasis by inhibiting the synthesis of active vitamin D (By similarity). Essential factor for the specific interaction between FGF23 and FGFR1 (By similarity). {ECO:0000250}.; </t>
        </is>
      </c>
      <c r="AH332" t="inlineStr">
        <is>
          <t xml:space="preserve">DISEASE: Tumoral calcinosis, hyperphosphatemic, familial (HFTC) [MIM:211900]: A severe metabolic disorder that manifests with hyperphosphatemia and massive calcium deposits in the skin and subcutaneous tissues. Some patients manifest recurrent, transient, painful swellings of the long bones associated with the radiographic findings of periosteal reaction and cortical hyperostosis and absence of skin involvement. {ECO:0000269|PubMed:17710231}. Note=The disease is caused by mutations affecting the gene represented in this entry.; </t>
        </is>
      </c>
      <c r="AI332" t="inlineStr">
        <is>
          <t>.</t>
        </is>
      </c>
      <c r="AJ332" t="inlineStr">
        <is>
          <t>.</t>
        </is>
      </c>
      <c r="AK332" t="inlineStr">
        <is>
          <t>.</t>
        </is>
      </c>
      <c r="AL332" t="inlineStr">
        <is>
          <t>.</t>
        </is>
      </c>
    </row>
    <row r="333">
      <c r="A333" t="inlineStr"/>
      <c r="B333">
        <f>HYPERLINK("https://genome.ucsc.edu/cgi-bin/hgTracks?db=hg19&amp;position=chr13%3A35516972%2D35516972", "chr13:35516972")</f>
        <v/>
      </c>
      <c r="C333" t="inlineStr">
        <is>
          <t>chr13</t>
        </is>
      </c>
      <c r="D333" t="n">
        <v>35516972</v>
      </c>
      <c r="E333" t="n">
        <v>35516972</v>
      </c>
      <c r="F333" t="inlineStr">
        <is>
          <t>G</t>
        </is>
      </c>
      <c r="G333" t="inlineStr">
        <is>
          <t>T</t>
        </is>
      </c>
      <c r="H333" t="inlineStr">
        <is>
          <t>365.64</t>
        </is>
      </c>
      <c r="I333" t="inlineStr">
        <is>
          <t>34</t>
        </is>
      </c>
      <c r="J333" t="inlineStr">
        <is>
          <t>19,15</t>
        </is>
      </c>
      <c r="K333" t="inlineStr">
        <is>
          <t>.</t>
        </is>
      </c>
      <c r="L333" t="inlineStr">
        <is>
          <t>.</t>
        </is>
      </c>
      <c r="M333">
        <f>HYPERLINK("https://www.genecards.org/Search/Keyword?queryString=%5Baliases%5D(%20NBEA%20)&amp;keywords=NBEA", "NBEA")</f>
        <v/>
      </c>
      <c r="N333" t="inlineStr">
        <is>
          <t>exonic</t>
        </is>
      </c>
      <c r="O333" t="inlineStr">
        <is>
          <t>nonsynonymous SNV</t>
        </is>
      </c>
      <c r="P333" t="inlineStr">
        <is>
          <t>NBEA:NM_001379245:exon1:c.G15T:p.K5N,NBEA:NM_001385012:exon1:c.G15T:p.K5N,NBEA:NM_015678:exon1:c.G15T:p.K5N;NBEA:uc021ric.1:exon1:c.G15T:p.K5N,NBEA:uc021rid.1:exon1:c.G15T:p.K5N;NBEA:ENST00000379939.7_4:exon1:c.G15T:p.K5N,NBEA:ENST00000400445.8_4:exon1:c.G15T:p.K5N,NBEA:ENST00000686320.1_1:exon1:c.G15T:p.K5N,NBEA:ENST00000692464.1_1:exon1:c.G15T:p.K5N</t>
        </is>
      </c>
      <c r="Q333" t="n">
        <v>-1</v>
      </c>
      <c r="R333" t="n">
        <v>-1</v>
      </c>
      <c r="S333" t="n">
        <v>-1</v>
      </c>
      <c r="T333" t="n">
        <v>-1</v>
      </c>
      <c r="U333" t="n">
        <v>-1</v>
      </c>
      <c r="V333" t="inlineStr">
        <is>
          <t>3/11</t>
        </is>
      </c>
      <c r="W333" t="inlineStr">
        <is>
          <t>.</t>
        </is>
      </c>
      <c r="X333" t="inlineStr">
        <is>
          <t>.</t>
        </is>
      </c>
      <c r="Y333" t="inlineStr">
        <is>
          <t>.</t>
        </is>
      </c>
      <c r="Z333" t="inlineStr">
        <is>
          <t>1/7</t>
        </is>
      </c>
      <c r="AA333" t="inlineStr">
        <is>
          <t>Uncertain significance</t>
        </is>
      </c>
      <c r="AB333" t="inlineStr">
        <is>
          <t>.</t>
        </is>
      </c>
      <c r="AC333" t="inlineStr">
        <is>
          <t>.</t>
        </is>
      </c>
      <c r="AD333" t="inlineStr">
        <is>
          <t>1</t>
        </is>
      </c>
      <c r="AE333" t="inlineStr">
        <is>
          <t>0.999999999999975</t>
        </is>
      </c>
      <c r="AF333" t="inlineStr">
        <is>
          <t>neurobeachin</t>
        </is>
      </c>
      <c r="AG333" t="inlineStr">
        <is>
          <t xml:space="preserve">FUNCTION: Binds to type II regulatory subunits of protein kinase A and anchors/targets them to the membrane. May anchor the kinase to cytoskeletal and/or organelle-associated proteins (By similarity). {ECO:0000250}.; </t>
        </is>
      </c>
      <c r="AH333" t="inlineStr">
        <is>
          <t>.</t>
        </is>
      </c>
      <c r="AI333" t="inlineStr">
        <is>
          <t>.</t>
        </is>
      </c>
      <c r="AJ333" t="inlineStr">
        <is>
          <t>.</t>
        </is>
      </c>
      <c r="AK333" t="inlineStr">
        <is>
          <t>.</t>
        </is>
      </c>
      <c r="AL333" t="inlineStr">
        <is>
          <t>.</t>
        </is>
      </c>
    </row>
    <row r="334">
      <c r="A334" t="inlineStr"/>
      <c r="B334">
        <f>HYPERLINK("https://genome.ucsc.edu/cgi-bin/hgTracks?db=hg19&amp;position=chr13%3A42793387%2D42793387", "chr13:42793387")</f>
        <v/>
      </c>
      <c r="C334" t="inlineStr">
        <is>
          <t>chr13</t>
        </is>
      </c>
      <c r="D334" t="n">
        <v>42793387</v>
      </c>
      <c r="E334" t="n">
        <v>42793387</v>
      </c>
      <c r="F334" t="inlineStr">
        <is>
          <t>G</t>
        </is>
      </c>
      <c r="G334" t="inlineStr">
        <is>
          <t>T</t>
        </is>
      </c>
      <c r="H334" t="inlineStr">
        <is>
          <t>706.64</t>
        </is>
      </c>
      <c r="I334" t="inlineStr">
        <is>
          <t>56</t>
        </is>
      </c>
      <c r="J334" t="inlineStr">
        <is>
          <t>29,27</t>
        </is>
      </c>
      <c r="K334" t="inlineStr">
        <is>
          <t>.</t>
        </is>
      </c>
      <c r="L334" t="inlineStr">
        <is>
          <t>.</t>
        </is>
      </c>
      <c r="M334">
        <f>HYPERLINK("https://www.genecards.org/Search/Keyword?queryString=%5Baliases%5D(%20DGKH%20)&amp;keywords=DGKH", "DGKH")</f>
        <v/>
      </c>
      <c r="N334" t="inlineStr">
        <is>
          <t>exonic</t>
        </is>
      </c>
      <c r="O334" t="inlineStr">
        <is>
          <t>stopgain</t>
        </is>
      </c>
      <c r="P334" t="inlineStr">
        <is>
          <t>DGKH:NM_001297429:exon23:c.G2500T:p.E834X,DGKH:NM_001204505:exon25:c.G2827T:p.E943X,DGKH:NM_001204506:exon25:c.G2827T:p.E943X,DGKH:NM_152910:exon27:c.G3235T:p.E1079X,DGKH:NM_178009:exon27:c.G3235T:p.E1079X,DGKH:NM_001204504:exon28:c.G3235T:p.E1079X;DGKH:uc010tfi.2:exon23:c.G2500T:p.E834X,DGKH:uc001uyo.2:exon25:c.G2827T:p.E943X,DGKH:uc010tfj.2:exon25:c.G2827T:p.E943X,DGKH:uc001uyl.2:exon27:c.G3235T:p.E1079X,DGKH:uc001uym.2:exon27:c.G3235T:p.E1079X,DGKH:uc010tfh.2:exon28:c.G3235T:p.E1079X;DGKH:ENST00000536612.3_1:exon25:c.G2827T:p.E943X,DGKH:ENST00000628433.2_1:exon25:c.G2827T:p.E943X,DGKH:ENST00000261491.9_1:exon27:c.G3235T:p.E1079X,DGKH:ENST00000337343.9_3:exon27:c.G3235T:p.E1079X,DGKH:ENST00000379274.6_1:exon28:c.G3235T:p.E1079X</t>
        </is>
      </c>
      <c r="Q334" t="n">
        <v>-1</v>
      </c>
      <c r="R334" t="n">
        <v>-1</v>
      </c>
      <c r="S334" t="n">
        <v>-1</v>
      </c>
      <c r="T334" t="n">
        <v>-1</v>
      </c>
      <c r="U334" t="n">
        <v>-1</v>
      </c>
      <c r="V334" t="inlineStr">
        <is>
          <t>3/3</t>
        </is>
      </c>
      <c r="W334" t="inlineStr">
        <is>
          <t>.</t>
        </is>
      </c>
      <c r="X334" t="inlineStr">
        <is>
          <t>.</t>
        </is>
      </c>
      <c r="Y334" t="inlineStr">
        <is>
          <t>.</t>
        </is>
      </c>
      <c r="Z334" t="inlineStr">
        <is>
          <t>4/7</t>
        </is>
      </c>
      <c r="AA334" t="inlineStr">
        <is>
          <t>Uncertain significance</t>
        </is>
      </c>
      <c r="AB334" t="inlineStr">
        <is>
          <t>.</t>
        </is>
      </c>
      <c r="AC334" t="inlineStr">
        <is>
          <t>0/1</t>
        </is>
      </c>
      <c r="AD334" t="inlineStr">
        <is>
          <t>1</t>
        </is>
      </c>
      <c r="AE334" t="inlineStr">
        <is>
          <t>0.818123800274802</t>
        </is>
      </c>
      <c r="AF334" t="inlineStr">
        <is>
          <t>diacylglycerol kinase eta</t>
        </is>
      </c>
      <c r="AG334" t="inlineStr">
        <is>
          <t xml:space="preserve">FUNCTION: Phosphorylates diacylglycerol (DAG) to generate phosphatidic acid (PA). Plays a key role in promoting cell growth. Activates the Ras/B-Raf/C-Raf/MEK/ERK signaling pathway induced by EGF. Regulates the recruitment of RAF1 and BRAF from cytoplasm to membranes and their heterodimerization. {ECO:0000269|PubMed:12810723, ECO:0000269|PubMed:19710016}.; </t>
        </is>
      </c>
      <c r="AH334" t="inlineStr">
        <is>
          <t>.</t>
        </is>
      </c>
      <c r="AI334" t="inlineStr">
        <is>
          <t>.</t>
        </is>
      </c>
      <c r="AJ334" t="inlineStr">
        <is>
          <t>.</t>
        </is>
      </c>
      <c r="AK334" t="inlineStr">
        <is>
          <t>.</t>
        </is>
      </c>
      <c r="AL334" t="inlineStr">
        <is>
          <t>.</t>
        </is>
      </c>
    </row>
    <row r="335">
      <c r="A335" t="inlineStr"/>
      <c r="B335">
        <f>HYPERLINK("https://genome.ucsc.edu/cgi-bin/hgTracks?db=hg19&amp;position=chr14%3A21552058%2D21552058", "chr14:21552058")</f>
        <v/>
      </c>
      <c r="C335" t="inlineStr">
        <is>
          <t>chr14</t>
        </is>
      </c>
      <c r="D335" t="n">
        <v>21552058</v>
      </c>
      <c r="E335" t="n">
        <v>21552058</v>
      </c>
      <c r="F335" t="inlineStr">
        <is>
          <t>G</t>
        </is>
      </c>
      <c r="G335" t="inlineStr">
        <is>
          <t>T</t>
        </is>
      </c>
      <c r="H335" t="inlineStr">
        <is>
          <t>77.64</t>
        </is>
      </c>
      <c r="I335" t="inlineStr">
        <is>
          <t>76</t>
        </is>
      </c>
      <c r="J335" t="inlineStr">
        <is>
          <t>67,9</t>
        </is>
      </c>
      <c r="K335" t="inlineStr">
        <is>
          <t>.</t>
        </is>
      </c>
      <c r="L335" t="inlineStr">
        <is>
          <t>.</t>
        </is>
      </c>
      <c r="M335">
        <f>HYPERLINK("https://www.genecards.org/Search/Keyword?queryString=%5Baliases%5D(%20ARHGEF40%20)&amp;keywords=ARHGEF40", "ARHGEF40")</f>
        <v/>
      </c>
      <c r="N335" t="inlineStr">
        <is>
          <t>exonic</t>
        </is>
      </c>
      <c r="O335" t="inlineStr">
        <is>
          <t>nonsynonymous SNV</t>
        </is>
      </c>
      <c r="P335" t="inlineStr">
        <is>
          <t>ARHGEF40:NM_001278529:exon17:c.G1496T:p.R499L,ARHGEF40:NM_001278530:exon17:c.G1496T:p.R499L,ARHGEF40:NM_018071:exon17:c.G3638T:p.R1213L;ARHGEF40:uc001vzo.1:exon12:c.G875T:p.R292L,ARHGEF40:uc001vzp.3:exon17:c.G3638T:p.R1213L,ARHGEF40:uc010tln.2:exon17:c.G1496T:p.R499L;ARHGEF40:ENST00000298694.9_3:exon17:c.G3638T:p.R1213L</t>
        </is>
      </c>
      <c r="Q335" t="n">
        <v>-1</v>
      </c>
      <c r="R335" t="n">
        <v>-1</v>
      </c>
      <c r="S335" t="n">
        <v>-1</v>
      </c>
      <c r="T335" t="n">
        <v>-1</v>
      </c>
      <c r="U335" t="n">
        <v>-1</v>
      </c>
      <c r="V335" t="inlineStr">
        <is>
          <t>4/12</t>
        </is>
      </c>
      <c r="W335" t="inlineStr">
        <is>
          <t>.</t>
        </is>
      </c>
      <c r="X335" t="inlineStr">
        <is>
          <t>.</t>
        </is>
      </c>
      <c r="Y335" t="inlineStr">
        <is>
          <t>.</t>
        </is>
      </c>
      <c r="Z335" t="inlineStr">
        <is>
          <t>0/7</t>
        </is>
      </c>
      <c r="AA335" t="inlineStr">
        <is>
          <t>Uncertain significance</t>
        </is>
      </c>
      <c r="AB335" t="inlineStr">
        <is>
          <t>.</t>
        </is>
      </c>
      <c r="AC335" t="inlineStr">
        <is>
          <t>0/1</t>
        </is>
      </c>
      <c r="AD335" t="inlineStr">
        <is>
          <t>1</t>
        </is>
      </c>
      <c r="AE335" t="inlineStr">
        <is>
          <t>7.1856790203222e-05</t>
        </is>
      </c>
      <c r="AF335" t="inlineStr">
        <is>
          <t>Rho guanine nucleotide exchange factor 40</t>
        </is>
      </c>
      <c r="AG335" t="inlineStr">
        <is>
          <t xml:space="preserve">FUNCTION: May act as a guanine nucleotide exchange factor (GEF). {ECO:0000250}.; </t>
        </is>
      </c>
      <c r="AH335" t="inlineStr">
        <is>
          <t>.</t>
        </is>
      </c>
      <c r="AI335" t="inlineStr">
        <is>
          <t>.</t>
        </is>
      </c>
      <c r="AJ335" t="inlineStr">
        <is>
          <t>.</t>
        </is>
      </c>
      <c r="AK335" t="inlineStr">
        <is>
          <t>.</t>
        </is>
      </c>
      <c r="AL335" t="inlineStr">
        <is>
          <t>.</t>
        </is>
      </c>
    </row>
    <row r="336">
      <c r="A336" t="inlineStr"/>
      <c r="B336">
        <f>HYPERLINK("https://genome.ucsc.edu/cgi-bin/hgTracks?db=hg19&amp;position=chr14%3A21679599%2D21679599", "chr14:21679599")</f>
        <v/>
      </c>
      <c r="C336" t="inlineStr">
        <is>
          <t>chr14</t>
        </is>
      </c>
      <c r="D336" t="n">
        <v>21679599</v>
      </c>
      <c r="E336" t="n">
        <v>21679599</v>
      </c>
      <c r="F336" t="inlineStr">
        <is>
          <t>T</t>
        </is>
      </c>
      <c r="G336" t="inlineStr">
        <is>
          <t>C</t>
        </is>
      </c>
      <c r="H336" t="inlineStr">
        <is>
          <t>866.64</t>
        </is>
      </c>
      <c r="I336" t="inlineStr">
        <is>
          <t>99</t>
        </is>
      </c>
      <c r="J336" t="inlineStr">
        <is>
          <t>73,26</t>
        </is>
      </c>
      <c r="K336" t="inlineStr">
        <is>
          <t>.</t>
        </is>
      </c>
      <c r="L336">
        <f>HYPERLINK("https://www.ncbi.nlm.nih.gov/snp/rs200983943", "rs200983943")</f>
        <v/>
      </c>
      <c r="M336">
        <f>HYPERLINK("https://www.genecards.org/Search/Keyword?queryString=%5Baliases%5D(%20HNRNPC%20)&amp;keywords=HNRNPC", "HNRNPC")</f>
        <v/>
      </c>
      <c r="N336" t="inlineStr">
        <is>
          <t>exonic</t>
        </is>
      </c>
      <c r="O336" t="inlineStr">
        <is>
          <t>nonsynonymous SNV</t>
        </is>
      </c>
      <c r="P336" t="inlineStr">
        <is>
          <t>HNRNPC:NM_001077442:exon7:c.A803G:p.D268G,HNRNPC:NM_001077443:exon7:c.A764G:p.D255G,HNRNPC:NM_004500:exon8:c.A764G:p.D255G,HNRNPC:NM_031314:exon8:c.A803G:p.D268G;HNRNPC:uc010tlr.2:exon4:c.A398G:p.D133G,HNRNPC:uc001vzz.3:exon7:c.A764G:p.D255G,HNRNPC:uc001waa.3:exon7:c.A803G:p.D268G,HNRNPC:uc001wac.3:exon7:c.A635G:p.D212G,HNRNPC:uc001wad.3:exon7:c.A563G:p.D188G,HNRNPC:uc001wae.3:exon7:c.A764G:p.D255G,HNRNPC:uc001vzw.3:exon8:c.A764G:p.D255G,HNRNPC:uc001vzy.3:exon8:c.A803G:p.D268G,HNRNPC:uc010ail.3:exon10:c.A803G:p.D268G;HNRNPC:ENST00000336053.10_3:exon7:c.A764G:p.D255G,HNRNPC:ENST00000430246.6_8:exon7:c.A764G:p.D255G,HNRNPC:ENST00000555883.5_3:exon7:c.A635G:p.D212G,HNRNPC:ENST00000556628.5_3:exon7:c.A563G:p.D188G,HNRNPC:ENST00000556897.5_8:exon7:c.A764G:p.D255G,HNRNPC:ENST00000557201.5_7:exon7:c.A803G:p.D268G,HNRNPC:ENST00000553300.6_10:exon8:c.A764G:p.D255G,HNRNPC:ENST00000553753.5_3:exon8:c.A764G:p.D255G,HNRNPC:ENST00000554455.5_7:exon8:c.A803G:p.D268G,HNRNPC:ENST00000555309.5_6:exon8:c.A800G:p.D267G,HNRNPC:ENST00000555914.5_3:exon8:c.A761G:p.D254G,HNRNPC:ENST00000554969.5_8:exon9:c.A764G:p.D255G,HNRNPC:ENST00000420743.6_7:exon10:c.A803G:p.D268G</t>
        </is>
      </c>
      <c r="Q336" t="n">
        <v>0.0238</v>
      </c>
      <c r="R336" t="n">
        <v>0.0059</v>
      </c>
      <c r="S336" t="n">
        <v>0.0065</v>
      </c>
      <c r="T336" t="n">
        <v>-1</v>
      </c>
      <c r="U336" t="n">
        <v>0.008999999999999999</v>
      </c>
      <c r="V336" t="inlineStr">
        <is>
          <t>5/10</t>
        </is>
      </c>
      <c r="W336" t="inlineStr">
        <is>
          <t>.</t>
        </is>
      </c>
      <c r="X336" t="inlineStr">
        <is>
          <t>.</t>
        </is>
      </c>
      <c r="Y336" t="inlineStr">
        <is>
          <t>.</t>
        </is>
      </c>
      <c r="Z336" t="inlineStr">
        <is>
          <t>5/7</t>
        </is>
      </c>
      <c r="AA336" t="inlineStr">
        <is>
          <t>Uncertain significance</t>
        </is>
      </c>
      <c r="AB336" t="inlineStr">
        <is>
          <t>.</t>
        </is>
      </c>
      <c r="AC336" t="inlineStr">
        <is>
          <t>.</t>
        </is>
      </c>
      <c r="AD336" t="inlineStr">
        <is>
          <t>9</t>
        </is>
      </c>
      <c r="AE336" t="inlineStr">
        <is>
          <t>0.985848437293407</t>
        </is>
      </c>
      <c r="AF336" t="inlineStr">
        <is>
          <t>heterogeneous nuclear ribonucleoprotein C (C1/C2)</t>
        </is>
      </c>
      <c r="AG336" t="inlineStr">
        <is>
          <t xml:space="preserve">FUNCTION: Binds pre-mRNA and nucleates the assembly of 40S hnRNP particles (PubMed:8264621). Specifically recognizes and binds N6- methyladenosine (m6A)-containing RNAs, a modification present at internal sites of mRNAs that affects mRNA splicing, processing and stability. M6A alters the local structure in mRNAs and long non- coding RNAs (lncRNAs) via a mechanism named 'm(6)A-switch' to facilitate binding of HNRNPC, leading to regulation of mRNA splicing (PubMed:25719671). Single HNRNPC tetramers bind 230-240 nucleotides. Trimers of HNRNPC tetramers bind 700 nucleotides. May play a role in the early steps of spliceosome assembly and pre- mRNA splicing. Interacts with poly-U tracts in the 3'-UTR or 5'- UTR of mRNA and modulates the stability and the level of translation of bound mRNA molecules (PubMed:12509468, PubMed:16010978, PubMed:7567451, PubMed:8264621). {ECO:0000269|PubMed:12509468, ECO:0000269|PubMed:16010978, ECO:0000269|PubMed:25719671, ECO:0000269|PubMed:7567451, ECO:0000269|PubMed:8264621}.; </t>
        </is>
      </c>
      <c r="AH336" t="inlineStr">
        <is>
          <t>.</t>
        </is>
      </c>
      <c r="AI336" t="inlineStr">
        <is>
          <t>.</t>
        </is>
      </c>
      <c r="AJ336" t="inlineStr">
        <is>
          <t>.</t>
        </is>
      </c>
      <c r="AK336" t="inlineStr">
        <is>
          <t>.</t>
        </is>
      </c>
      <c r="AL336" t="inlineStr">
        <is>
          <t>.</t>
        </is>
      </c>
    </row>
    <row r="337">
      <c r="A337" t="inlineStr"/>
      <c r="B337">
        <f>HYPERLINK("https://genome.ucsc.edu/cgi-bin/hgTracks?db=hg19&amp;position=chr14%3A21679600%2D21679600", "chr14:21679600")</f>
        <v/>
      </c>
      <c r="C337" t="inlineStr">
        <is>
          <t>chr14</t>
        </is>
      </c>
      <c r="D337" t="n">
        <v>21679600</v>
      </c>
      <c r="E337" t="n">
        <v>21679600</v>
      </c>
      <c r="F337" t="inlineStr">
        <is>
          <t>C</t>
        </is>
      </c>
      <c r="G337" t="inlineStr">
        <is>
          <t>A</t>
        </is>
      </c>
      <c r="H337" t="inlineStr">
        <is>
          <t>865.64</t>
        </is>
      </c>
      <c r="I337" t="inlineStr">
        <is>
          <t>100</t>
        </is>
      </c>
      <c r="J337" t="inlineStr">
        <is>
          <t>74,26</t>
        </is>
      </c>
      <c r="K337" t="inlineStr">
        <is>
          <t>.</t>
        </is>
      </c>
      <c r="L337">
        <f>HYPERLINK("https://www.ncbi.nlm.nih.gov/snp/rs201948669", "rs201948669")</f>
        <v/>
      </c>
      <c r="M337">
        <f>HYPERLINK("https://www.genecards.org/Search/Keyword?queryString=%5Baliases%5D(%20HNRNPC%20)&amp;keywords=HNRNPC", "HNRNPC")</f>
        <v/>
      </c>
      <c r="N337" t="inlineStr">
        <is>
          <t>exonic</t>
        </is>
      </c>
      <c r="O337" t="inlineStr">
        <is>
          <t>nonsynonymous SNV</t>
        </is>
      </c>
      <c r="P337" t="inlineStr">
        <is>
          <t>HNRNPC:NM_001077442:exon7:c.G802T:p.D268Y,HNRNPC:NM_001077443:exon7:c.G763T:p.D255Y,HNRNPC:NM_004500:exon8:c.G763T:p.D255Y,HNRNPC:NM_031314:exon8:c.G802T:p.D268Y;HNRNPC:uc010tlr.2:exon4:c.G397T:p.D133Y,HNRNPC:uc001vzz.3:exon7:c.G763T:p.D255Y,HNRNPC:uc001waa.3:exon7:c.G802T:p.D268Y,HNRNPC:uc001wac.3:exon7:c.G634T:p.D212Y,HNRNPC:uc001wad.3:exon7:c.G562T:p.D188Y,HNRNPC:uc001wae.3:exon7:c.G763T:p.D255Y,HNRNPC:uc001vzw.3:exon8:c.G763T:p.D255Y,HNRNPC:uc001vzy.3:exon8:c.G802T:p.D268Y,HNRNPC:uc010ail.3:exon10:c.G802T:p.D268Y;HNRNPC:ENST00000336053.10_3:exon7:c.G763T:p.D255Y,HNRNPC:ENST00000430246.6_8:exon7:c.G763T:p.D255Y,HNRNPC:ENST00000555883.5_3:exon7:c.G634T:p.D212Y,HNRNPC:ENST00000556628.5_3:exon7:c.G562T:p.D188Y,HNRNPC:ENST00000556897.5_8:exon7:c.G763T:p.D255Y,HNRNPC:ENST00000557201.5_7:exon7:c.G802T:p.D268Y,HNRNPC:ENST00000553300.6_10:exon8:c.G763T:p.D255Y,HNRNPC:ENST00000553753.5_3:exon8:c.G763T:p.D255Y,HNRNPC:ENST00000554455.5_7:exon8:c.G802T:p.D268Y,HNRNPC:ENST00000555309.5_6:exon8:c.G799T:p.D267Y,HNRNPC:ENST00000555914.5_3:exon8:c.G760T:p.D254Y,HNRNPC:ENST00000554969.5_8:exon9:c.G763T:p.D255Y,HNRNPC:ENST00000420743.6_7:exon10:c.G802T:p.D268Y</t>
        </is>
      </c>
      <c r="Q337" t="n">
        <v>0.0238</v>
      </c>
      <c r="R337" t="n">
        <v>0.0058</v>
      </c>
      <c r="S337" t="n">
        <v>0.0064</v>
      </c>
      <c r="T337" t="n">
        <v>-1</v>
      </c>
      <c r="U337" t="n">
        <v>0.008800000000000001</v>
      </c>
      <c r="V337" t="inlineStr">
        <is>
          <t>3/10</t>
        </is>
      </c>
      <c r="W337" t="inlineStr">
        <is>
          <t>.</t>
        </is>
      </c>
      <c r="X337" t="inlineStr">
        <is>
          <t>.</t>
        </is>
      </c>
      <c r="Y337" t="inlineStr">
        <is>
          <t>.</t>
        </is>
      </c>
      <c r="Z337" t="inlineStr">
        <is>
          <t>3/7</t>
        </is>
      </c>
      <c r="AA337" t="inlineStr">
        <is>
          <t>Uncertain significance</t>
        </is>
      </c>
      <c r="AB337" t="inlineStr">
        <is>
          <t>.</t>
        </is>
      </c>
      <c r="AC337" t="inlineStr">
        <is>
          <t>.</t>
        </is>
      </c>
      <c r="AD337" t="inlineStr">
        <is>
          <t>9</t>
        </is>
      </c>
      <c r="AE337" t="inlineStr">
        <is>
          <t>0.985848437293407</t>
        </is>
      </c>
      <c r="AF337" t="inlineStr">
        <is>
          <t>heterogeneous nuclear ribonucleoprotein C (C1/C2)</t>
        </is>
      </c>
      <c r="AG337" t="inlineStr">
        <is>
          <t xml:space="preserve">FUNCTION: Binds pre-mRNA and nucleates the assembly of 40S hnRNP particles (PubMed:8264621). Specifically recognizes and binds N6- methyladenosine (m6A)-containing RNAs, a modification present at internal sites of mRNAs that affects mRNA splicing, processing and stability. M6A alters the local structure in mRNAs and long non- coding RNAs (lncRNAs) via a mechanism named 'm(6)A-switch' to facilitate binding of HNRNPC, leading to regulation of mRNA splicing (PubMed:25719671). Single HNRNPC tetramers bind 230-240 nucleotides. Trimers of HNRNPC tetramers bind 700 nucleotides. May play a role in the early steps of spliceosome assembly and pre- mRNA splicing. Interacts with poly-U tracts in the 3'-UTR or 5'- UTR of mRNA and modulates the stability and the level of translation of bound mRNA molecules (PubMed:12509468, PubMed:16010978, PubMed:7567451, PubMed:8264621). {ECO:0000269|PubMed:12509468, ECO:0000269|PubMed:16010978, ECO:0000269|PubMed:25719671, ECO:0000269|PubMed:7567451, ECO:0000269|PubMed:8264621}.; </t>
        </is>
      </c>
      <c r="AH337" t="inlineStr">
        <is>
          <t>.</t>
        </is>
      </c>
      <c r="AI337" t="inlineStr">
        <is>
          <t>.</t>
        </is>
      </c>
      <c r="AJ337" t="inlineStr">
        <is>
          <t>.</t>
        </is>
      </c>
      <c r="AK337" t="inlineStr">
        <is>
          <t>.</t>
        </is>
      </c>
      <c r="AL337" t="inlineStr">
        <is>
          <t>.</t>
        </is>
      </c>
    </row>
    <row r="338">
      <c r="A338" t="inlineStr"/>
      <c r="B338">
        <f>HYPERLINK("https://genome.ucsc.edu/cgi-bin/hgTracks?db=hg19&amp;position=chr14%3A21679620%2D21679620", "chr14:21679620")</f>
        <v/>
      </c>
      <c r="C338" t="inlineStr">
        <is>
          <t>chr14</t>
        </is>
      </c>
      <c r="D338" t="n">
        <v>21679620</v>
      </c>
      <c r="E338" t="n">
        <v>21679620</v>
      </c>
      <c r="F338" t="inlineStr">
        <is>
          <t>G</t>
        </is>
      </c>
      <c r="G338" t="inlineStr">
        <is>
          <t>A</t>
        </is>
      </c>
      <c r="H338" t="inlineStr">
        <is>
          <t>565.64</t>
        </is>
      </c>
      <c r="I338" t="inlineStr">
        <is>
          <t>95</t>
        </is>
      </c>
      <c r="J338" t="inlineStr">
        <is>
          <t>60,35</t>
        </is>
      </c>
      <c r="K338" t="inlineStr">
        <is>
          <t>.</t>
        </is>
      </c>
      <c r="L338">
        <f>HYPERLINK("https://www.ncbi.nlm.nih.gov/snp/rs200407075", "rs200407075")</f>
        <v/>
      </c>
      <c r="M338">
        <f>HYPERLINK("https://www.genecards.org/Search/Keyword?queryString=%5Baliases%5D(%20HNRNPC%20)&amp;keywords=HNRNPC", "HNRNPC")</f>
        <v/>
      </c>
      <c r="N338" t="inlineStr">
        <is>
          <t>exonic</t>
        </is>
      </c>
      <c r="O338" t="inlineStr">
        <is>
          <t>nonsynonymous SNV</t>
        </is>
      </c>
      <c r="P338" t="inlineStr">
        <is>
          <t>HNRNPC:NM_001077442:exon7:c.C782T:p.A261V,HNRNPC:NM_001077443:exon7:c.C743T:p.A248V,HNRNPC:NM_004500:exon8:c.C743T:p.A248V,HNRNPC:NM_031314:exon8:c.C782T:p.A261V;HNRNPC:uc010tlr.2:exon4:c.C377T:p.A126V,HNRNPC:uc001vzz.3:exon7:c.C743T:p.A248V,HNRNPC:uc001waa.3:exon7:c.C782T:p.A261V,HNRNPC:uc001wac.3:exon7:c.C614T:p.A205V,HNRNPC:uc001wad.3:exon7:c.C542T:p.A181V,HNRNPC:uc001wae.3:exon7:c.C743T:p.A248V,HNRNPC:uc001vzw.3:exon8:c.C743T:p.A248V,HNRNPC:uc001vzy.3:exon8:c.C782T:p.A261V,HNRNPC:uc010ail.3:exon10:c.C782T:p.A261V;HNRNPC:ENST00000336053.10_3:exon7:c.C743T:p.A248V,HNRNPC:ENST00000430246.6_8:exon7:c.C743T:p.A248V,HNRNPC:ENST00000555883.5_3:exon7:c.C614T:p.A205V,HNRNPC:ENST00000556628.5_3:exon7:c.C542T:p.A181V,HNRNPC:ENST00000556897.5_8:exon7:c.C743T:p.A248V,HNRNPC:ENST00000557201.5_7:exon7:c.C782T:p.A261V,HNRNPC:ENST00000553300.6_10:exon8:c.C743T:p.A248V,HNRNPC:ENST00000553753.5_3:exon8:c.C743T:p.A248V,HNRNPC:ENST00000554455.5_7:exon8:c.C782T:p.A261V,HNRNPC:ENST00000555309.5_6:exon8:c.C779T:p.A260V,HNRNPC:ENST00000555914.5_3:exon8:c.C740T:p.A247V,HNRNPC:ENST00000554969.5_8:exon9:c.C743T:p.A248V,HNRNPC:ENST00000420743.6_7:exon10:c.C782T:p.A261V</t>
        </is>
      </c>
      <c r="Q338" t="n">
        <v>0.019</v>
      </c>
      <c r="R338" t="n">
        <v>0.0075</v>
      </c>
      <c r="S338" t="n">
        <v>0.008999999999999999</v>
      </c>
      <c r="T338" t="n">
        <v>-1</v>
      </c>
      <c r="U338" t="n">
        <v>0.008999999999999999</v>
      </c>
      <c r="V338" t="inlineStr">
        <is>
          <t>4/10</t>
        </is>
      </c>
      <c r="W338" t="inlineStr">
        <is>
          <t>.</t>
        </is>
      </c>
      <c r="X338" t="inlineStr">
        <is>
          <t>.</t>
        </is>
      </c>
      <c r="Y338" t="inlineStr">
        <is>
          <t>.</t>
        </is>
      </c>
      <c r="Z338" t="inlineStr">
        <is>
          <t>3/7</t>
        </is>
      </c>
      <c r="AA338" t="inlineStr">
        <is>
          <t>Uncertain significance</t>
        </is>
      </c>
      <c r="AB338" t="inlineStr">
        <is>
          <t>.</t>
        </is>
      </c>
      <c r="AC338" t="inlineStr">
        <is>
          <t>0/1</t>
        </is>
      </c>
      <c r="AD338" t="inlineStr">
        <is>
          <t>9</t>
        </is>
      </c>
      <c r="AE338" t="inlineStr">
        <is>
          <t>0.985848437293407</t>
        </is>
      </c>
      <c r="AF338" t="inlineStr">
        <is>
          <t>heterogeneous nuclear ribonucleoprotein C (C1/C2)</t>
        </is>
      </c>
      <c r="AG338" t="inlineStr">
        <is>
          <t xml:space="preserve">FUNCTION: Binds pre-mRNA and nucleates the assembly of 40S hnRNP particles (PubMed:8264621). Specifically recognizes and binds N6- methyladenosine (m6A)-containing RNAs, a modification present at internal sites of mRNAs that affects mRNA splicing, processing and stability. M6A alters the local structure in mRNAs and long non- coding RNAs (lncRNAs) via a mechanism named 'm(6)A-switch' to facilitate binding of HNRNPC, leading to regulation of mRNA splicing (PubMed:25719671). Single HNRNPC tetramers bind 230-240 nucleotides. Trimers of HNRNPC tetramers bind 700 nucleotides. May play a role in the early steps of spliceosome assembly and pre- mRNA splicing. Interacts with poly-U tracts in the 3'-UTR or 5'- UTR of mRNA and modulates the stability and the level of translation of bound mRNA molecules (PubMed:12509468, PubMed:16010978, PubMed:7567451, PubMed:8264621). {ECO:0000269|PubMed:12509468, ECO:0000269|PubMed:16010978, ECO:0000269|PubMed:25719671, ECO:0000269|PubMed:7567451, ECO:0000269|PubMed:8264621}.; </t>
        </is>
      </c>
      <c r="AH338" t="inlineStr">
        <is>
          <t>.</t>
        </is>
      </c>
      <c r="AI338" t="inlineStr">
        <is>
          <t>.</t>
        </is>
      </c>
      <c r="AJ338" t="inlineStr">
        <is>
          <t>.</t>
        </is>
      </c>
      <c r="AK338" t="inlineStr">
        <is>
          <t>.</t>
        </is>
      </c>
      <c r="AL338" t="inlineStr">
        <is>
          <t>.</t>
        </is>
      </c>
    </row>
    <row r="339">
      <c r="A339" t="inlineStr"/>
      <c r="B339">
        <f>HYPERLINK("https://genome.ucsc.edu/cgi-bin/hgTracks?db=hg19&amp;position=chr14%3A21679660%2D21679660", "chr14:21679660")</f>
        <v/>
      </c>
      <c r="C339" t="inlineStr">
        <is>
          <t>chr14</t>
        </is>
      </c>
      <c r="D339" t="n">
        <v>21679660</v>
      </c>
      <c r="E339" t="n">
        <v>21679660</v>
      </c>
      <c r="F339" t="inlineStr">
        <is>
          <t>T</t>
        </is>
      </c>
      <c r="G339" t="inlineStr">
        <is>
          <t>G</t>
        </is>
      </c>
      <c r="H339" t="inlineStr">
        <is>
          <t>1134.64</t>
        </is>
      </c>
      <c r="I339" t="inlineStr">
        <is>
          <t>99</t>
        </is>
      </c>
      <c r="J339" t="inlineStr">
        <is>
          <t>67,32</t>
        </is>
      </c>
      <c r="K339" t="inlineStr">
        <is>
          <t>.</t>
        </is>
      </c>
      <c r="L339">
        <f>HYPERLINK("https://www.ncbi.nlm.nih.gov/snp/rs199624650", "rs199624650")</f>
        <v/>
      </c>
      <c r="M339">
        <f>HYPERLINK("https://www.genecards.org/Search/Keyword?queryString=%5Baliases%5D(%20HNRNPC%20)&amp;keywords=HNRNPC", "HNRNPC")</f>
        <v/>
      </c>
      <c r="N339" t="inlineStr">
        <is>
          <t>exonic</t>
        </is>
      </c>
      <c r="O339" t="inlineStr">
        <is>
          <t>nonsynonymous SNV</t>
        </is>
      </c>
      <c r="P339" t="inlineStr">
        <is>
          <t>HNRNPC:NM_001077442:exon7:c.A742C:p.N248H,HNRNPC:NM_001077443:exon7:c.A703C:p.N235H,HNRNPC:NM_004500:exon8:c.A703C:p.N235H,HNRNPC:NM_031314:exon8:c.A742C:p.N248H;HNRNPC:uc010tlr.2:exon4:c.A337C:p.N113H,HNRNPC:uc001vzz.3:exon7:c.A703C:p.N235H,HNRNPC:uc001waa.3:exon7:c.A742C:p.N248H,HNRNPC:uc001wac.3:exon7:c.A574C:p.N192H,HNRNPC:uc001wad.3:exon7:c.A502C:p.N168H,HNRNPC:uc001wae.3:exon7:c.A703C:p.N235H,HNRNPC:uc001vzw.3:exon8:c.A703C:p.N235H,HNRNPC:uc001vzy.3:exon8:c.A742C:p.N248H,HNRNPC:uc010ail.3:exon10:c.A742C:p.N248H;HNRNPC:ENST00000336053.10_3:exon7:c.A703C:p.N235H,HNRNPC:ENST00000430246.6_8:exon7:c.A703C:p.N235H,HNRNPC:ENST00000555883.5_3:exon7:c.A574C:p.N192H,HNRNPC:ENST00000556628.5_3:exon7:c.A502C:p.N168H,HNRNPC:ENST00000556897.5_8:exon7:c.A703C:p.N235H,HNRNPC:ENST00000557201.5_7:exon7:c.A742C:p.N248H,HNRNPC:ENST00000553300.6_10:exon8:c.A703C:p.N235H,HNRNPC:ENST00000553753.5_3:exon8:c.A703C:p.N235H,HNRNPC:ENST00000554455.5_7:exon8:c.A742C:p.N248H,HNRNPC:ENST00000555309.5_6:exon8:c.A739C:p.N247H,HNRNPC:ENST00000555914.5_3:exon8:c.A700C:p.N234H,HNRNPC:ENST00000554969.5_8:exon9:c.A703C:p.N235H,HNRNPC:ENST00000420743.6_7:exon10:c.A742C:p.N248H</t>
        </is>
      </c>
      <c r="Q339" t="n">
        <v>0.0248</v>
      </c>
      <c r="R339" t="n">
        <v>0.0023</v>
      </c>
      <c r="S339" t="n">
        <v>0.0022</v>
      </c>
      <c r="T339" t="n">
        <v>-1</v>
      </c>
      <c r="U339" t="n">
        <v>0.0043</v>
      </c>
      <c r="V339" t="inlineStr">
        <is>
          <t>3/10</t>
        </is>
      </c>
      <c r="W339" t="inlineStr">
        <is>
          <t>.</t>
        </is>
      </c>
      <c r="X339" t="inlineStr">
        <is>
          <t>.</t>
        </is>
      </c>
      <c r="Y339" t="inlineStr">
        <is>
          <t>.</t>
        </is>
      </c>
      <c r="Z339" t="inlineStr">
        <is>
          <t>4/7</t>
        </is>
      </c>
      <c r="AA339" t="inlineStr">
        <is>
          <t>Uncertain significance</t>
        </is>
      </c>
      <c r="AB339" t="inlineStr">
        <is>
          <t>.</t>
        </is>
      </c>
      <c r="AC339" t="inlineStr">
        <is>
          <t>.</t>
        </is>
      </c>
      <c r="AD339" t="inlineStr">
        <is>
          <t>9</t>
        </is>
      </c>
      <c r="AE339" t="inlineStr">
        <is>
          <t>0.985848437293407</t>
        </is>
      </c>
      <c r="AF339" t="inlineStr">
        <is>
          <t>heterogeneous nuclear ribonucleoprotein C (C1/C2)</t>
        </is>
      </c>
      <c r="AG339" t="inlineStr">
        <is>
          <t xml:space="preserve">FUNCTION: Binds pre-mRNA and nucleates the assembly of 40S hnRNP particles (PubMed:8264621). Specifically recognizes and binds N6- methyladenosine (m6A)-containing RNAs, a modification present at internal sites of mRNAs that affects mRNA splicing, processing and stability. M6A alters the local structure in mRNAs and long non- coding RNAs (lncRNAs) via a mechanism named 'm(6)A-switch' to facilitate binding of HNRNPC, leading to regulation of mRNA splicing (PubMed:25719671). Single HNRNPC tetramers bind 230-240 nucleotides. Trimers of HNRNPC tetramers bind 700 nucleotides. May play a role in the early steps of spliceosome assembly and pre- mRNA splicing. Interacts with poly-U tracts in the 3'-UTR or 5'- UTR of mRNA and modulates the stability and the level of translation of bound mRNA molecules (PubMed:12509468, PubMed:16010978, PubMed:7567451, PubMed:8264621). {ECO:0000269|PubMed:12509468, ECO:0000269|PubMed:16010978, ECO:0000269|PubMed:25719671, ECO:0000269|PubMed:7567451, ECO:0000269|PubMed:8264621}.; </t>
        </is>
      </c>
      <c r="AH339" t="inlineStr">
        <is>
          <t>.</t>
        </is>
      </c>
      <c r="AI339" t="inlineStr">
        <is>
          <t>.</t>
        </is>
      </c>
      <c r="AJ339" t="inlineStr">
        <is>
          <t>.</t>
        </is>
      </c>
      <c r="AK339" t="inlineStr">
        <is>
          <t>.</t>
        </is>
      </c>
      <c r="AL339" t="inlineStr">
        <is>
          <t>.</t>
        </is>
      </c>
    </row>
    <row r="340">
      <c r="A340" t="inlineStr"/>
      <c r="B340">
        <f>HYPERLINK("https://genome.ucsc.edu/cgi-bin/hgTracks?db=hg19&amp;position=chr14%3A21679666%2D21679666", "chr14:21679666")</f>
        <v/>
      </c>
      <c r="C340" t="inlineStr">
        <is>
          <t>chr14</t>
        </is>
      </c>
      <c r="D340" t="n">
        <v>21679666</v>
      </c>
      <c r="E340" t="n">
        <v>21679666</v>
      </c>
      <c r="F340" t="inlineStr">
        <is>
          <t>C</t>
        </is>
      </c>
      <c r="G340" t="inlineStr">
        <is>
          <t>T</t>
        </is>
      </c>
      <c r="H340" t="inlineStr">
        <is>
          <t>1128.64</t>
        </is>
      </c>
      <c r="I340" t="inlineStr">
        <is>
          <t>101</t>
        </is>
      </c>
      <c r="J340" t="inlineStr">
        <is>
          <t>69,32</t>
        </is>
      </c>
      <c r="K340" t="inlineStr">
        <is>
          <t>.</t>
        </is>
      </c>
      <c r="L340">
        <f>HYPERLINK("https://www.ncbi.nlm.nih.gov/snp/rs200585285", "rs200585285")</f>
        <v/>
      </c>
      <c r="M340">
        <f>HYPERLINK("https://www.genecards.org/Search/Keyword?queryString=%5Baliases%5D(%20HNRNPC%20)&amp;keywords=HNRNPC", "HNRNPC")</f>
        <v/>
      </c>
      <c r="N340" t="inlineStr">
        <is>
          <t>exonic</t>
        </is>
      </c>
      <c r="O340" t="inlineStr">
        <is>
          <t>nonsynonymous SNV</t>
        </is>
      </c>
      <c r="P340" t="inlineStr">
        <is>
          <t>HNRNPC:NM_001077442:exon7:c.G736A:p.E246K,HNRNPC:NM_001077443:exon7:c.G697A:p.E233K,HNRNPC:NM_004500:exon8:c.G697A:p.E233K,HNRNPC:NM_031314:exon8:c.G736A:p.E246K;HNRNPC:uc010tlr.2:exon4:c.G331A:p.E111K,HNRNPC:uc001vzz.3:exon7:c.G697A:p.E233K,HNRNPC:uc001waa.3:exon7:c.G736A:p.E246K,HNRNPC:uc001wac.3:exon7:c.G568A:p.E190K,HNRNPC:uc001wad.3:exon7:c.G496A:p.E166K,HNRNPC:uc001wae.3:exon7:c.G697A:p.E233K,HNRNPC:uc001vzw.3:exon8:c.G697A:p.E233K,HNRNPC:uc001vzy.3:exon8:c.G736A:p.E246K,HNRNPC:uc010ail.3:exon10:c.G736A:p.E246K;HNRNPC:ENST00000336053.10_3:exon7:c.G697A:p.E233K,HNRNPC:ENST00000430246.6_8:exon7:c.G697A:p.E233K,HNRNPC:ENST00000555883.5_3:exon7:c.G568A:p.E190K,HNRNPC:ENST00000556628.5_3:exon7:c.G496A:p.E166K,HNRNPC:ENST00000556897.5_8:exon7:c.G697A:p.E233K,HNRNPC:ENST00000557201.5_7:exon7:c.G736A:p.E246K,HNRNPC:ENST00000553300.6_10:exon8:c.G697A:p.E233K,HNRNPC:ENST00000553753.5_3:exon8:c.G697A:p.E233K,HNRNPC:ENST00000554455.5_7:exon8:c.G736A:p.E246K,HNRNPC:ENST00000555309.5_6:exon8:c.G733A:p.E245K,HNRNPC:ENST00000555914.5_3:exon8:c.G694A:p.E232K,HNRNPC:ENST00000554969.5_8:exon9:c.G697A:p.E233K,HNRNPC:ENST00000420743.6_7:exon10:c.G736A:p.E246K</t>
        </is>
      </c>
      <c r="Q340" t="n">
        <v>0.0246</v>
      </c>
      <c r="R340" t="n">
        <v>0.0019</v>
      </c>
      <c r="S340" t="n">
        <v>0.0022</v>
      </c>
      <c r="T340" t="n">
        <v>-1</v>
      </c>
      <c r="U340" t="n">
        <v>0.0043</v>
      </c>
      <c r="V340" t="inlineStr">
        <is>
          <t>4/10</t>
        </is>
      </c>
      <c r="W340" t="inlineStr">
        <is>
          <t>.</t>
        </is>
      </c>
      <c r="X340" t="inlineStr">
        <is>
          <t>.</t>
        </is>
      </c>
      <c r="Y340" t="inlineStr">
        <is>
          <t>.</t>
        </is>
      </c>
      <c r="Z340" t="inlineStr">
        <is>
          <t>5/7</t>
        </is>
      </c>
      <c r="AA340" t="inlineStr">
        <is>
          <t>Uncertain significance</t>
        </is>
      </c>
      <c r="AB340" t="inlineStr">
        <is>
          <t>.</t>
        </is>
      </c>
      <c r="AC340" t="inlineStr">
        <is>
          <t>.</t>
        </is>
      </c>
      <c r="AD340" t="inlineStr">
        <is>
          <t>9</t>
        </is>
      </c>
      <c r="AE340" t="inlineStr">
        <is>
          <t>0.985848437293407</t>
        </is>
      </c>
      <c r="AF340" t="inlineStr">
        <is>
          <t>heterogeneous nuclear ribonucleoprotein C (C1/C2)</t>
        </is>
      </c>
      <c r="AG340" t="inlineStr">
        <is>
          <t xml:space="preserve">FUNCTION: Binds pre-mRNA and nucleates the assembly of 40S hnRNP particles (PubMed:8264621). Specifically recognizes and binds N6- methyladenosine (m6A)-containing RNAs, a modification present at internal sites of mRNAs that affects mRNA splicing, processing and stability. M6A alters the local structure in mRNAs and long non- coding RNAs (lncRNAs) via a mechanism named 'm(6)A-switch' to facilitate binding of HNRNPC, leading to regulation of mRNA splicing (PubMed:25719671). Single HNRNPC tetramers bind 230-240 nucleotides. Trimers of HNRNPC tetramers bind 700 nucleotides. May play a role in the early steps of spliceosome assembly and pre- mRNA splicing. Interacts with poly-U tracts in the 3'-UTR or 5'- UTR of mRNA and modulates the stability and the level of translation of bound mRNA molecules (PubMed:12509468, PubMed:16010978, PubMed:7567451, PubMed:8264621). {ECO:0000269|PubMed:12509468, ECO:0000269|PubMed:16010978, ECO:0000269|PubMed:25719671, ECO:0000269|PubMed:7567451, ECO:0000269|PubMed:8264621}.; </t>
        </is>
      </c>
      <c r="AH340" t="inlineStr">
        <is>
          <t>.</t>
        </is>
      </c>
      <c r="AI340" t="inlineStr">
        <is>
          <t>.</t>
        </is>
      </c>
      <c r="AJ340" t="inlineStr">
        <is>
          <t>.</t>
        </is>
      </c>
      <c r="AK340" t="inlineStr">
        <is>
          <t>.</t>
        </is>
      </c>
      <c r="AL340" t="inlineStr">
        <is>
          <t>.</t>
        </is>
      </c>
    </row>
    <row r="341">
      <c r="A341" t="inlineStr"/>
      <c r="B341">
        <f>HYPERLINK("https://genome.ucsc.edu/cgi-bin/hgTracks?db=hg19&amp;position=chr14%3A21679678%2D21679678", "chr14:21679678")</f>
        <v/>
      </c>
      <c r="C341" t="inlineStr">
        <is>
          <t>chr14</t>
        </is>
      </c>
      <c r="D341" t="n">
        <v>21679678</v>
      </c>
      <c r="E341" t="n">
        <v>21679678</v>
      </c>
      <c r="F341" t="inlineStr">
        <is>
          <t>C</t>
        </is>
      </c>
      <c r="G341" t="inlineStr">
        <is>
          <t>A</t>
        </is>
      </c>
      <c r="H341" t="inlineStr">
        <is>
          <t>1143.64</t>
        </is>
      </c>
      <c r="I341" t="inlineStr">
        <is>
          <t>96</t>
        </is>
      </c>
      <c r="J341" t="inlineStr">
        <is>
          <t>64,32</t>
        </is>
      </c>
      <c r="K341" t="inlineStr">
        <is>
          <t>.</t>
        </is>
      </c>
      <c r="L341">
        <f>HYPERLINK("https://www.ncbi.nlm.nih.gov/snp/rs200722780", "rs200722780")</f>
        <v/>
      </c>
      <c r="M341">
        <f>HYPERLINK("https://www.genecards.org/Search/Keyword?queryString=%5Baliases%5D(%20HNRNPC%20)&amp;keywords=HNRNPC", "HNRNPC")</f>
        <v/>
      </c>
      <c r="N341" t="inlineStr">
        <is>
          <t>exonic</t>
        </is>
      </c>
      <c r="O341" t="inlineStr">
        <is>
          <t>nonsynonymous SNV</t>
        </is>
      </c>
      <c r="P341" t="inlineStr">
        <is>
          <t>HNRNPC:NM_001077442:exon7:c.G724T:p.V242L,HNRNPC:NM_001077443:exon7:c.G685T:p.V229L,HNRNPC:NM_004500:exon8:c.G685T:p.V229L,HNRNPC:NM_031314:exon8:c.G724T:p.V242L;HNRNPC:uc010tlr.2:exon4:c.G319T:p.V107L,HNRNPC:uc001vzz.3:exon7:c.G685T:p.V229L,HNRNPC:uc001waa.3:exon7:c.G724T:p.V242L,HNRNPC:uc001wac.3:exon7:c.G556T:p.V186L,HNRNPC:uc001wad.3:exon7:c.G484T:p.V162L,HNRNPC:uc001wae.3:exon7:c.G685T:p.V229L,HNRNPC:uc001vzw.3:exon8:c.G685T:p.V229L,HNRNPC:uc001vzy.3:exon8:c.G724T:p.V242L,HNRNPC:uc010ail.3:exon10:c.G724T:p.V242L;HNRNPC:ENST00000336053.10_3:exon7:c.G685T:p.V229L,HNRNPC:ENST00000430246.6_8:exon7:c.G685T:p.V229L,HNRNPC:ENST00000555883.5_3:exon7:c.G556T:p.V186L,HNRNPC:ENST00000556628.5_3:exon7:c.G484T:p.V162L,HNRNPC:ENST00000556897.5_8:exon7:c.G685T:p.V229L,HNRNPC:ENST00000557201.5_7:exon7:c.G724T:p.V242L,HNRNPC:ENST00000553300.6_10:exon8:c.G685T:p.V229L,HNRNPC:ENST00000553753.5_3:exon8:c.G685T:p.V229L,HNRNPC:ENST00000554455.5_7:exon8:c.G724T:p.V242L,HNRNPC:ENST00000555309.5_6:exon8:c.G721T:p.V241L,HNRNPC:ENST00000555914.5_3:exon8:c.G682T:p.V228L,HNRNPC:ENST00000554969.5_8:exon9:c.G685T:p.V229L,HNRNPC:ENST00000420743.6_7:exon10:c.G724T:p.V242L</t>
        </is>
      </c>
      <c r="Q341" t="n">
        <v>0.0249</v>
      </c>
      <c r="R341" t="n">
        <v>0.0015</v>
      </c>
      <c r="S341" t="n">
        <v>0.0021</v>
      </c>
      <c r="T341" t="n">
        <v>-1</v>
      </c>
      <c r="U341" t="n">
        <v>0.0043</v>
      </c>
      <c r="V341" t="inlineStr">
        <is>
          <t>3/10</t>
        </is>
      </c>
      <c r="W341" t="inlineStr">
        <is>
          <t>.</t>
        </is>
      </c>
      <c r="X341" t="inlineStr">
        <is>
          <t>.</t>
        </is>
      </c>
      <c r="Y341" t="inlineStr">
        <is>
          <t>.</t>
        </is>
      </c>
      <c r="Z341" t="inlineStr">
        <is>
          <t>1/7</t>
        </is>
      </c>
      <c r="AA341" t="inlineStr">
        <is>
          <t>Uncertain significance</t>
        </is>
      </c>
      <c r="AB341" t="inlineStr">
        <is>
          <t>.</t>
        </is>
      </c>
      <c r="AC341" t="inlineStr">
        <is>
          <t>.</t>
        </is>
      </c>
      <c r="AD341" t="inlineStr">
        <is>
          <t>9</t>
        </is>
      </c>
      <c r="AE341" t="inlineStr">
        <is>
          <t>0.985848437293407</t>
        </is>
      </c>
      <c r="AF341" t="inlineStr">
        <is>
          <t>heterogeneous nuclear ribonucleoprotein C (C1/C2)</t>
        </is>
      </c>
      <c r="AG341" t="inlineStr">
        <is>
          <t xml:space="preserve">FUNCTION: Binds pre-mRNA and nucleates the assembly of 40S hnRNP particles (PubMed:8264621). Specifically recognizes and binds N6- methyladenosine (m6A)-containing RNAs, a modification present at internal sites of mRNAs that affects mRNA splicing, processing and stability. M6A alters the local structure in mRNAs and long non- coding RNAs (lncRNAs) via a mechanism named 'm(6)A-switch' to facilitate binding of HNRNPC, leading to regulation of mRNA splicing (PubMed:25719671). Single HNRNPC tetramers bind 230-240 nucleotides. Trimers of HNRNPC tetramers bind 700 nucleotides. May play a role in the early steps of spliceosome assembly and pre- mRNA splicing. Interacts with poly-U tracts in the 3'-UTR or 5'- UTR of mRNA and modulates the stability and the level of translation of bound mRNA molecules (PubMed:12509468, PubMed:16010978, PubMed:7567451, PubMed:8264621). {ECO:0000269|PubMed:12509468, ECO:0000269|PubMed:16010978, ECO:0000269|PubMed:25719671, ECO:0000269|PubMed:7567451, ECO:0000269|PubMed:8264621}.; </t>
        </is>
      </c>
      <c r="AH341" t="inlineStr">
        <is>
          <t>.</t>
        </is>
      </c>
      <c r="AI341" t="inlineStr">
        <is>
          <t>.</t>
        </is>
      </c>
      <c r="AJ341" t="inlineStr">
        <is>
          <t>.</t>
        </is>
      </c>
      <c r="AK341" t="inlineStr">
        <is>
          <t>.</t>
        </is>
      </c>
      <c r="AL341" t="inlineStr">
        <is>
          <t>.</t>
        </is>
      </c>
    </row>
    <row r="342">
      <c r="A342" t="inlineStr"/>
      <c r="B342">
        <f>HYPERLINK("https://genome.ucsc.edu/cgi-bin/hgTracks?db=hg19&amp;position=chr14%3A21679689%2D21679689", "chr14:21679689")</f>
        <v/>
      </c>
      <c r="C342" t="inlineStr">
        <is>
          <t>chr14</t>
        </is>
      </c>
      <c r="D342" t="n">
        <v>21679689</v>
      </c>
      <c r="E342" t="n">
        <v>21679689</v>
      </c>
      <c r="F342" t="inlineStr">
        <is>
          <t>C</t>
        </is>
      </c>
      <c r="G342" t="inlineStr">
        <is>
          <t>G</t>
        </is>
      </c>
      <c r="H342" t="inlineStr">
        <is>
          <t>438.64</t>
        </is>
      </c>
      <c r="I342" t="inlineStr">
        <is>
          <t>97</t>
        </is>
      </c>
      <c r="J342" t="inlineStr">
        <is>
          <t>68,29</t>
        </is>
      </c>
      <c r="K342" t="inlineStr">
        <is>
          <t>.</t>
        </is>
      </c>
      <c r="L342">
        <f>HYPERLINK("https://www.ncbi.nlm.nih.gov/snp/rs201692862", "rs201692862")</f>
        <v/>
      </c>
      <c r="M342">
        <f>HYPERLINK("https://www.genecards.org/Search/Keyword?queryString=%5Baliases%5D(%20HNRNPC%20)&amp;keywords=HNRNPC", "HNRNPC")</f>
        <v/>
      </c>
      <c r="N342" t="inlineStr">
        <is>
          <t>exonic</t>
        </is>
      </c>
      <c r="O342" t="inlineStr">
        <is>
          <t>nonsynonymous SNV</t>
        </is>
      </c>
      <c r="P342" t="inlineStr">
        <is>
          <t>HNRNPC:NM_001077442:exon7:c.G713C:p.S238T,HNRNPC:NM_001077443:exon7:c.G674C:p.S225T,HNRNPC:NM_004500:exon8:c.G674C:p.S225T,HNRNPC:NM_031314:exon8:c.G713C:p.S238T;HNRNPC:uc010tlr.2:exon4:c.G308C:p.S103T,HNRNPC:uc001vzz.3:exon7:c.G674C:p.S225T,HNRNPC:uc001waa.3:exon7:c.G713C:p.S238T,HNRNPC:uc001wac.3:exon7:c.G545C:p.S182T,HNRNPC:uc001wad.3:exon7:c.G473C:p.S158T,HNRNPC:uc001wae.3:exon7:c.G674C:p.S225T,HNRNPC:uc001vzw.3:exon8:c.G674C:p.S225T,HNRNPC:uc001vzy.3:exon8:c.G713C:p.S238T,HNRNPC:uc010ail.3:exon10:c.G713C:p.S238T;HNRNPC:ENST00000336053.10_3:exon7:c.G674C:p.S225T,HNRNPC:ENST00000430246.6_8:exon7:c.G674C:p.S225T,HNRNPC:ENST00000555883.5_3:exon7:c.G545C:p.S182T,HNRNPC:ENST00000556628.5_3:exon7:c.G473C:p.S158T,HNRNPC:ENST00000556897.5_8:exon7:c.G674C:p.S225T,HNRNPC:ENST00000557201.5_7:exon7:c.G713C:p.S238T,HNRNPC:ENST00000553300.6_10:exon8:c.G674C:p.S225T,HNRNPC:ENST00000553753.5_3:exon8:c.G674C:p.S225T,HNRNPC:ENST00000554455.5_7:exon8:c.G713C:p.S238T,HNRNPC:ENST00000555309.5_6:exon8:c.G710C:p.S237T,HNRNPC:ENST00000555914.5_3:exon8:c.G671C:p.S224T,HNRNPC:ENST00000554969.5_8:exon9:c.G674C:p.S225T,HNRNPC:ENST00000420743.6_7:exon10:c.G713C:p.S238T</t>
        </is>
      </c>
      <c r="Q342" t="n">
        <v>0.0131</v>
      </c>
      <c r="R342" t="n">
        <v>0.0013</v>
      </c>
      <c r="S342" t="n">
        <v>0.002</v>
      </c>
      <c r="T342" t="n">
        <v>-1</v>
      </c>
      <c r="U342" t="n">
        <v>0.0043</v>
      </c>
      <c r="V342" t="inlineStr">
        <is>
          <t>3/10</t>
        </is>
      </c>
      <c r="W342" t="inlineStr">
        <is>
          <t>.</t>
        </is>
      </c>
      <c r="X342" t="inlineStr">
        <is>
          <t>.</t>
        </is>
      </c>
      <c r="Y342" t="inlineStr">
        <is>
          <t>.</t>
        </is>
      </c>
      <c r="Z342" t="inlineStr">
        <is>
          <t>3/7</t>
        </is>
      </c>
      <c r="AA342" t="inlineStr">
        <is>
          <t>Uncertain significance</t>
        </is>
      </c>
      <c r="AB342" t="inlineStr">
        <is>
          <t>.</t>
        </is>
      </c>
      <c r="AC342" t="inlineStr">
        <is>
          <t>0/1</t>
        </is>
      </c>
      <c r="AD342" t="inlineStr">
        <is>
          <t>9</t>
        </is>
      </c>
      <c r="AE342" t="inlineStr">
        <is>
          <t>0.985848437293407</t>
        </is>
      </c>
      <c r="AF342" t="inlineStr">
        <is>
          <t>heterogeneous nuclear ribonucleoprotein C (C1/C2)</t>
        </is>
      </c>
      <c r="AG342" t="inlineStr">
        <is>
          <t xml:space="preserve">FUNCTION: Binds pre-mRNA and nucleates the assembly of 40S hnRNP particles (PubMed:8264621). Specifically recognizes and binds N6- methyladenosine (m6A)-containing RNAs, a modification present at internal sites of mRNAs that affects mRNA splicing, processing and stability. M6A alters the local structure in mRNAs and long non- coding RNAs (lncRNAs) via a mechanism named 'm(6)A-switch' to facilitate binding of HNRNPC, leading to regulation of mRNA splicing (PubMed:25719671). Single HNRNPC tetramers bind 230-240 nucleotides. Trimers of HNRNPC tetramers bind 700 nucleotides. May play a role in the early steps of spliceosome assembly and pre- mRNA splicing. Interacts with poly-U tracts in the 3'-UTR or 5'- UTR of mRNA and modulates the stability and the level of translation of bound mRNA molecules (PubMed:12509468, PubMed:16010978, PubMed:7567451, PubMed:8264621). {ECO:0000269|PubMed:12509468, ECO:0000269|PubMed:16010978, ECO:0000269|PubMed:25719671, ECO:0000269|PubMed:7567451, ECO:0000269|PubMed:8264621}.; </t>
        </is>
      </c>
      <c r="AH342" t="inlineStr">
        <is>
          <t>.</t>
        </is>
      </c>
      <c r="AI342" t="inlineStr">
        <is>
          <t>.</t>
        </is>
      </c>
      <c r="AJ342" t="inlineStr">
        <is>
          <t>.</t>
        </is>
      </c>
      <c r="AK342" t="inlineStr">
        <is>
          <t>.</t>
        </is>
      </c>
      <c r="AL342" t="inlineStr">
        <is>
          <t>.</t>
        </is>
      </c>
    </row>
    <row r="343">
      <c r="A343" t="inlineStr"/>
      <c r="B343">
        <f>HYPERLINK("https://genome.ucsc.edu/cgi-bin/hgTracks?db=hg19&amp;position=chr14%3A21679710%2D21679710", "chr14:21679710")</f>
        <v/>
      </c>
      <c r="C343" t="inlineStr">
        <is>
          <t>chr14</t>
        </is>
      </c>
      <c r="D343" t="n">
        <v>21679710</v>
      </c>
      <c r="E343" t="n">
        <v>21679710</v>
      </c>
      <c r="F343" t="inlineStr">
        <is>
          <t>T</t>
        </is>
      </c>
      <c r="G343" t="inlineStr">
        <is>
          <t>G</t>
        </is>
      </c>
      <c r="H343" t="inlineStr">
        <is>
          <t>886.64</t>
        </is>
      </c>
      <c r="I343" t="inlineStr">
        <is>
          <t>85</t>
        </is>
      </c>
      <c r="J343" t="inlineStr">
        <is>
          <t>59,26</t>
        </is>
      </c>
      <c r="K343" t="inlineStr">
        <is>
          <t>.</t>
        </is>
      </c>
      <c r="L343">
        <f>HYPERLINK("https://www.ncbi.nlm.nih.gov/snp/rs200789242", "rs200789242")</f>
        <v/>
      </c>
      <c r="M343">
        <f>HYPERLINK("https://www.genecards.org/Search/Keyword?queryString=%5Baliases%5D(%20HNRNPC%20)&amp;keywords=HNRNPC", "HNRNPC")</f>
        <v/>
      </c>
      <c r="N343" t="inlineStr">
        <is>
          <t>exonic</t>
        </is>
      </c>
      <c r="O343" t="inlineStr">
        <is>
          <t>nonsynonymous SNV</t>
        </is>
      </c>
      <c r="P343" t="inlineStr">
        <is>
          <t>HNRNPC:NM_001077442:exon7:c.A692C:p.D231A,HNRNPC:NM_001077443:exon7:c.A653C:p.D218A,HNRNPC:NM_004500:exon8:c.A653C:p.D218A,HNRNPC:NM_031314:exon8:c.A692C:p.D231A;HNRNPC:uc010tlr.2:exon4:c.A287C:p.D96A,HNRNPC:uc001vzz.3:exon7:c.A653C:p.D218A,HNRNPC:uc001waa.3:exon7:c.A692C:p.D231A,HNRNPC:uc001wac.3:exon7:c.A524C:p.D175A,HNRNPC:uc001wad.3:exon7:c.A452C:p.D151A,HNRNPC:uc001wae.3:exon7:c.A653C:p.D218A,HNRNPC:uc001vzw.3:exon8:c.A653C:p.D218A,HNRNPC:uc001vzy.3:exon8:c.A692C:p.D231A,HNRNPC:uc010ail.3:exon10:c.A692C:p.D231A;HNRNPC:ENST00000336053.10_3:exon7:c.A653C:p.D218A,HNRNPC:ENST00000430246.6_8:exon7:c.A653C:p.D218A,HNRNPC:ENST00000555883.5_3:exon7:c.A524C:p.D175A,HNRNPC:ENST00000556628.5_3:exon7:c.A452C:p.D151A,HNRNPC:ENST00000556897.5_8:exon7:c.A653C:p.D218A,HNRNPC:ENST00000557201.5_7:exon7:c.A692C:p.D231A,HNRNPC:ENST00000553300.6_10:exon8:c.A653C:p.D218A,HNRNPC:ENST00000553753.5_3:exon8:c.A653C:p.D218A,HNRNPC:ENST00000554455.5_7:exon8:c.A692C:p.D231A,HNRNPC:ENST00000555309.5_6:exon8:c.A689C:p.D230A,HNRNPC:ENST00000555914.5_3:exon8:c.A650C:p.D217A,HNRNPC:ENST00000554969.5_8:exon9:c.A653C:p.D218A,HNRNPC:ENST00000420743.6_7:exon10:c.A692C:p.D231A</t>
        </is>
      </c>
      <c r="Q343" t="n">
        <v>0.0121</v>
      </c>
      <c r="R343" t="n">
        <v>0.0014</v>
      </c>
      <c r="S343" t="n">
        <v>0.002</v>
      </c>
      <c r="T343" t="n">
        <v>-1</v>
      </c>
      <c r="U343" t="n">
        <v>0.0043</v>
      </c>
      <c r="V343" t="inlineStr">
        <is>
          <t>3/10</t>
        </is>
      </c>
      <c r="W343" t="inlineStr">
        <is>
          <t>.</t>
        </is>
      </c>
      <c r="X343" t="inlineStr">
        <is>
          <t>.</t>
        </is>
      </c>
      <c r="Y343" t="inlineStr">
        <is>
          <t>.</t>
        </is>
      </c>
      <c r="Z343" t="inlineStr">
        <is>
          <t>3/7</t>
        </is>
      </c>
      <c r="AA343" t="inlineStr">
        <is>
          <t>Uncertain significance</t>
        </is>
      </c>
      <c r="AB343" t="inlineStr">
        <is>
          <t>.</t>
        </is>
      </c>
      <c r="AC343" t="inlineStr">
        <is>
          <t>.</t>
        </is>
      </c>
      <c r="AD343" t="inlineStr">
        <is>
          <t>9</t>
        </is>
      </c>
      <c r="AE343" t="inlineStr">
        <is>
          <t>0.985848437293407</t>
        </is>
      </c>
      <c r="AF343" t="inlineStr">
        <is>
          <t>heterogeneous nuclear ribonucleoprotein C (C1/C2)</t>
        </is>
      </c>
      <c r="AG343" t="inlineStr">
        <is>
          <t xml:space="preserve">FUNCTION: Binds pre-mRNA and nucleates the assembly of 40S hnRNP particles (PubMed:8264621). Specifically recognizes and binds N6- methyladenosine (m6A)-containing RNAs, a modification present at internal sites of mRNAs that affects mRNA splicing, processing and stability. M6A alters the local structure in mRNAs and long non- coding RNAs (lncRNAs) via a mechanism named 'm(6)A-switch' to facilitate binding of HNRNPC, leading to regulation of mRNA splicing (PubMed:25719671). Single HNRNPC tetramers bind 230-240 nucleotides. Trimers of HNRNPC tetramers bind 700 nucleotides. May play a role in the early steps of spliceosome assembly and pre- mRNA splicing. Interacts with poly-U tracts in the 3'-UTR or 5'- UTR of mRNA and modulates the stability and the level of translation of bound mRNA molecules (PubMed:12509468, PubMed:16010978, PubMed:7567451, PubMed:8264621). {ECO:0000269|PubMed:12509468, ECO:0000269|PubMed:16010978, ECO:0000269|PubMed:25719671, ECO:0000269|PubMed:7567451, ECO:0000269|PubMed:8264621}.; </t>
        </is>
      </c>
      <c r="AH343" t="inlineStr">
        <is>
          <t>.</t>
        </is>
      </c>
      <c r="AI343" t="inlineStr">
        <is>
          <t>.</t>
        </is>
      </c>
      <c r="AJ343" t="inlineStr">
        <is>
          <t>.</t>
        </is>
      </c>
      <c r="AK343" t="inlineStr">
        <is>
          <t>.</t>
        </is>
      </c>
      <c r="AL343" t="inlineStr">
        <is>
          <t>.</t>
        </is>
      </c>
    </row>
    <row r="344">
      <c r="A344" t="inlineStr"/>
      <c r="B344">
        <f>HYPERLINK("https://genome.ucsc.edu/cgi-bin/hgTracks?db=hg19&amp;position=chr14%3A21679718%2D21679718", "chr14:21679718")</f>
        <v/>
      </c>
      <c r="C344" t="inlineStr">
        <is>
          <t>chr14</t>
        </is>
      </c>
      <c r="D344" t="n">
        <v>21679718</v>
      </c>
      <c r="E344" t="n">
        <v>21679718</v>
      </c>
      <c r="F344" t="inlineStr">
        <is>
          <t>C</t>
        </is>
      </c>
      <c r="G344" t="inlineStr">
        <is>
          <t>T</t>
        </is>
      </c>
      <c r="H344" t="inlineStr">
        <is>
          <t>828.64</t>
        </is>
      </c>
      <c r="I344" t="inlineStr">
        <is>
          <t>81</t>
        </is>
      </c>
      <c r="J344" t="inlineStr">
        <is>
          <t>57,24</t>
        </is>
      </c>
      <c r="K344" t="inlineStr">
        <is>
          <t>.</t>
        </is>
      </c>
      <c r="L344">
        <f>HYPERLINK("https://www.ncbi.nlm.nih.gov/snp/rs760530032", "rs760530032")</f>
        <v/>
      </c>
      <c r="M344">
        <f>HYPERLINK("https://www.genecards.org/Search/Keyword?queryString=%5Baliases%5D(%20HNRNPC%20)&amp;keywords=HNRNPC", "HNRNPC")</f>
        <v/>
      </c>
      <c r="N344" t="inlineStr">
        <is>
          <t>exonic</t>
        </is>
      </c>
      <c r="O344" t="inlineStr">
        <is>
          <t>nonsynonymous SNV</t>
        </is>
      </c>
      <c r="P344" t="inlineStr">
        <is>
          <t>HNRNPC:NM_001077442:exon7:c.G684A:p.M228I,HNRNPC:NM_001077443:exon7:c.G645A:p.M215I,HNRNPC:NM_004500:exon8:c.G645A:p.M215I,HNRNPC:NM_031314:exon8:c.G684A:p.M228I;HNRNPC:uc010tlr.2:exon4:c.G279A:p.M93I,HNRNPC:uc001vzz.3:exon7:c.G645A:p.M215I,HNRNPC:uc001waa.3:exon7:c.G684A:p.M228I,HNRNPC:uc001wac.3:exon7:c.G516A:p.M172I,HNRNPC:uc001wad.3:exon7:c.G444A:p.M148I,HNRNPC:uc001wae.3:exon7:c.G645A:p.M215I,HNRNPC:uc001vzw.3:exon8:c.G645A:p.M215I,HNRNPC:uc001vzy.3:exon8:c.G684A:p.M228I,HNRNPC:uc010ail.3:exon10:c.G684A:p.M228I;HNRNPC:ENST00000336053.10_3:exon7:c.G645A:p.M215I,HNRNPC:ENST00000430246.6_8:exon7:c.G645A:p.M215I,HNRNPC:ENST00000555883.5_3:exon7:c.G516A:p.M172I,HNRNPC:ENST00000556628.5_3:exon7:c.G444A:p.M148I,HNRNPC:ENST00000556897.5_8:exon7:c.G645A:p.M215I,HNRNPC:ENST00000557201.5_7:exon7:c.G684A:p.M228I,HNRNPC:ENST00000553300.6_10:exon8:c.G645A:p.M215I,HNRNPC:ENST00000553753.5_3:exon8:c.G645A:p.M215I,HNRNPC:ENST00000554455.5_7:exon8:c.G684A:p.M228I,HNRNPC:ENST00000555309.5_6:exon8:c.G681A:p.M227I,HNRNPC:ENST00000555914.5_3:exon8:c.G642A:p.M214I,HNRNPC:ENST00000554969.5_8:exon9:c.G645A:p.M215I,HNRNPC:ENST00000420743.6_7:exon10:c.G684A:p.M228I</t>
        </is>
      </c>
      <c r="Q344" t="n">
        <v>0.008800000000000001</v>
      </c>
      <c r="R344" t="n">
        <v>0.0002</v>
      </c>
      <c r="S344" t="n">
        <v>0.0002</v>
      </c>
      <c r="T344" t="n">
        <v>-1</v>
      </c>
      <c r="U344" t="n">
        <v>-1</v>
      </c>
      <c r="V344" t="inlineStr">
        <is>
          <t>3/11</t>
        </is>
      </c>
      <c r="W344" t="inlineStr">
        <is>
          <t>.</t>
        </is>
      </c>
      <c r="X344" t="inlineStr">
        <is>
          <t>.</t>
        </is>
      </c>
      <c r="Y344" t="inlineStr">
        <is>
          <t>.</t>
        </is>
      </c>
      <c r="Z344" t="inlineStr">
        <is>
          <t>4/7</t>
        </is>
      </c>
      <c r="AA344" t="inlineStr">
        <is>
          <t>Uncertain significance</t>
        </is>
      </c>
      <c r="AB344" t="inlineStr">
        <is>
          <t>.</t>
        </is>
      </c>
      <c r="AC344" t="inlineStr">
        <is>
          <t>.</t>
        </is>
      </c>
      <c r="AD344" t="inlineStr">
        <is>
          <t>9</t>
        </is>
      </c>
      <c r="AE344" t="inlineStr">
        <is>
          <t>0.985848437293407</t>
        </is>
      </c>
      <c r="AF344" t="inlineStr">
        <is>
          <t>heterogeneous nuclear ribonucleoprotein C (C1/C2)</t>
        </is>
      </c>
      <c r="AG344" t="inlineStr">
        <is>
          <t xml:space="preserve">FUNCTION: Binds pre-mRNA and nucleates the assembly of 40S hnRNP particles (PubMed:8264621). Specifically recognizes and binds N6- methyladenosine (m6A)-containing RNAs, a modification present at internal sites of mRNAs that affects mRNA splicing, processing and stability. M6A alters the local structure in mRNAs and long non- coding RNAs (lncRNAs) via a mechanism named 'm(6)A-switch' to facilitate binding of HNRNPC, leading to regulation of mRNA splicing (PubMed:25719671). Single HNRNPC tetramers bind 230-240 nucleotides. Trimers of HNRNPC tetramers bind 700 nucleotides. May play a role in the early steps of spliceosome assembly and pre- mRNA splicing. Interacts with poly-U tracts in the 3'-UTR or 5'- UTR of mRNA and modulates the stability and the level of translation of bound mRNA molecules (PubMed:12509468, PubMed:16010978, PubMed:7567451, PubMed:8264621). {ECO:0000269|PubMed:12509468, ECO:0000269|PubMed:16010978, ECO:0000269|PubMed:25719671, ECO:0000269|PubMed:7567451, ECO:0000269|PubMed:8264621}.; </t>
        </is>
      </c>
      <c r="AH344" t="inlineStr">
        <is>
          <t>.</t>
        </is>
      </c>
      <c r="AI344" t="inlineStr">
        <is>
          <t>.</t>
        </is>
      </c>
      <c r="AJ344" t="inlineStr">
        <is>
          <t>.</t>
        </is>
      </c>
      <c r="AK344" t="inlineStr">
        <is>
          <t>.</t>
        </is>
      </c>
      <c r="AL344" t="inlineStr">
        <is>
          <t>.</t>
        </is>
      </c>
    </row>
    <row r="345">
      <c r="A345" t="inlineStr"/>
      <c r="B345">
        <f>HYPERLINK("https://genome.ucsc.edu/cgi-bin/hgTracks?db=hg19&amp;position=chr14%3A23872505%2D23872505", "chr14:23872505")</f>
        <v/>
      </c>
      <c r="C345" t="inlineStr">
        <is>
          <t>chr14</t>
        </is>
      </c>
      <c r="D345" t="n">
        <v>23872505</v>
      </c>
      <c r="E345" t="n">
        <v>23872505</v>
      </c>
      <c r="F345" t="inlineStr">
        <is>
          <t>T</t>
        </is>
      </c>
      <c r="G345" t="inlineStr">
        <is>
          <t>C</t>
        </is>
      </c>
      <c r="H345" t="inlineStr">
        <is>
          <t>1135.06</t>
        </is>
      </c>
      <c r="I345" t="inlineStr">
        <is>
          <t>38</t>
        </is>
      </c>
      <c r="J345" t="inlineStr">
        <is>
          <t>0,38</t>
        </is>
      </c>
      <c r="K345" t="inlineStr">
        <is>
          <t>.</t>
        </is>
      </c>
      <c r="L345">
        <f>HYPERLINK("https://www.ncbi.nlm.nih.gov/snp/rs182029699", "rs182029699")</f>
        <v/>
      </c>
      <c r="M345">
        <f>HYPERLINK("https://www.genecards.org/Search/Keyword?queryString=%5Baliases%5D(%20MYH6%20)&amp;keywords=MYH6", "MYH6")</f>
        <v/>
      </c>
      <c r="N345" t="inlineStr">
        <is>
          <t>intronic</t>
        </is>
      </c>
      <c r="O345" t="inlineStr">
        <is>
          <t>.</t>
        </is>
      </c>
      <c r="P345" t="inlineStr">
        <is>
          <t>.</t>
        </is>
      </c>
      <c r="Q345" t="n">
        <v>0.0115</v>
      </c>
      <c r="R345" t="n">
        <v>0.0025</v>
      </c>
      <c r="S345" t="n">
        <v>0.0023</v>
      </c>
      <c r="T345" t="n">
        <v>-1</v>
      </c>
      <c r="U345" t="n">
        <v>0.002</v>
      </c>
      <c r="V345" t="inlineStr">
        <is>
          <t>.</t>
        </is>
      </c>
      <c r="W345" t="inlineStr">
        <is>
          <t>.</t>
        </is>
      </c>
      <c r="X345" t="inlineStr">
        <is>
          <t>PD</t>
        </is>
      </c>
      <c r="Y345" t="inlineStr">
        <is>
          <t>off</t>
        </is>
      </c>
      <c r="Z345" t="inlineStr">
        <is>
          <t>.</t>
        </is>
      </c>
      <c r="AA345" t="inlineStr">
        <is>
          <t>.</t>
        </is>
      </c>
      <c r="AB345" t="inlineStr">
        <is>
          <t>.</t>
        </is>
      </c>
      <c r="AC345" t="inlineStr">
        <is>
          <t>HOMO</t>
        </is>
      </c>
      <c r="AD345" t="inlineStr">
        <is>
          <t>1</t>
        </is>
      </c>
      <c r="AE345" t="inlineStr">
        <is>
          <t>1.27598576115295e-17</t>
        </is>
      </c>
      <c r="AF345" t="inlineStr">
        <is>
          <t>myosin, heavy chain 6, cardiac muscle, alpha</t>
        </is>
      </c>
      <c r="AG345" t="inlineStr">
        <is>
          <t xml:space="preserve">FUNCTION: Muscle contraction.; </t>
        </is>
      </c>
      <c r="AH345" t="inlineStr">
        <is>
          <t xml:space="preserve">DISEASE: Atrial septal defect 3 (ASD3) [MIM:614089]: A congenital heart malformation characterized by incomplete closure of the wall between the atria resulting in blood flow from the left to the right atria. {ECO:0000269|PubMed:15735645}. Note=The disease is caused by mutations affecting the gene represented in this entry.; DISEASE: Cardiomyopathy, familial hypertrophic 14 (CMH14) [MIM:613251]: A hereditary heart disorder characterized by ventricular hypertrophy, which is usually asymmetric and often involves the interventricular septum. The symptoms include dyspnea, syncope, collapse, palpitations, and chest pain. They can be readily provoked by exercise. The disorder has inter- and intrafamilial variability ranging from benign to malignant forms with high risk of cardiac failure and sudden cardiac death. {ECO:0000269|PubMed:11815426, ECO:0000269|PubMed:15998695}. Note=The disease is caused by mutations affecting the gene represented in this entry.; DISEASE: Cardiomyopathy, dilated 1EE (CMD1EE) [MIM:613252]: A disorder characterized by ventricular dilation and impaired systolic function, resulting in congestive heart failure and arrhythmia. Patients are at risk of premature death. {ECO:0000269|PubMed:15998695}. Note=The disease is caused by mutations affecting the gene represented in this entry.; DISEASE: Sick sinus syndrome 3 (SSS3) [MIM:614090]: The term 'sick sinus syndrome' encompasses a variety of conditions caused by sinus node dysfunction. The most common clinical manifestations are syncope, presyncope, dizziness, and fatigue. Electrocardiogram typically shows sinus bradycardia, sinus arrest, and/or sinoatrial block. Episodes of atrial tachycardias coexisting with sinus bradycardia ('tachycardia-bradycardia syndrome') are also common in this disorder. SSS occurs most often in the elderly associated with underlying heart disease or previous cardiac surgery, but can also occur in the fetus, infant, or child without heart disease or other contributing factors. {ECO:0000269|PubMed:21378987}. Note=Disease susceptibility is associated with variations affecting the gene represented in this entry. The lifetime risk of being diagnosed with sick sinus syndrome is higher for carriers of variant p.Arg721Trp than for non-carriers. {ECO:0000269|PubMed:21378987}.; </t>
        </is>
      </c>
      <c r="AI345" t="inlineStr">
        <is>
          <t>.</t>
        </is>
      </c>
      <c r="AJ345" t="inlineStr">
        <is>
          <t>.</t>
        </is>
      </c>
      <c r="AK345" t="inlineStr">
        <is>
          <t>.</t>
        </is>
      </c>
      <c r="AL345" t="inlineStr">
        <is>
          <t>.</t>
        </is>
      </c>
    </row>
    <row r="346">
      <c r="A346" t="inlineStr"/>
      <c r="B346">
        <f>HYPERLINK("https://genome.ucsc.edu/cgi-bin/hgTracks?db=hg19&amp;position=chr14%3A24608708%2D24608708", "chr14:24608708")</f>
        <v/>
      </c>
      <c r="C346" t="inlineStr">
        <is>
          <t>chr14</t>
        </is>
      </c>
      <c r="D346" t="n">
        <v>24608708</v>
      </c>
      <c r="E346" t="n">
        <v>24608708</v>
      </c>
      <c r="F346" t="inlineStr">
        <is>
          <t>C</t>
        </is>
      </c>
      <c r="G346" t="inlineStr">
        <is>
          <t>T</t>
        </is>
      </c>
      <c r="H346" t="inlineStr">
        <is>
          <t>2575.06</t>
        </is>
      </c>
      <c r="I346" t="inlineStr">
        <is>
          <t>93</t>
        </is>
      </c>
      <c r="J346" t="inlineStr">
        <is>
          <t>1,92</t>
        </is>
      </c>
      <c r="K346" t="inlineStr">
        <is>
          <t>.</t>
        </is>
      </c>
      <c r="L346">
        <f>HYPERLINK("https://www.ncbi.nlm.nih.gov/snp/rs369914230", "rs369914230")</f>
        <v/>
      </c>
      <c r="M346">
        <f>HYPERLINK("https://www.genecards.org/Search/Keyword?queryString=%5Baliases%5D(%20EMC9%20)&amp;keywords=EMC9", "EMC9")</f>
        <v/>
      </c>
      <c r="N346" t="inlineStr">
        <is>
          <t>intronic;ncRNA_intronic</t>
        </is>
      </c>
      <c r="O346" t="inlineStr">
        <is>
          <t>.</t>
        </is>
      </c>
      <c r="P346" t="inlineStr">
        <is>
          <t>.</t>
        </is>
      </c>
      <c r="Q346" t="n">
        <v>7.7e-05</v>
      </c>
      <c r="R346" t="n">
        <v>-1</v>
      </c>
      <c r="S346" t="n">
        <v>-1</v>
      </c>
      <c r="T346" t="n">
        <v>-1</v>
      </c>
      <c r="U346" t="n">
        <v>-1</v>
      </c>
      <c r="V346" t="inlineStr">
        <is>
          <t>.</t>
        </is>
      </c>
      <c r="W346" t="inlineStr">
        <is>
          <t>.</t>
        </is>
      </c>
      <c r="X346" t="inlineStr">
        <is>
          <t>D</t>
        </is>
      </c>
      <c r="Y346" t="inlineStr">
        <is>
          <t>off</t>
        </is>
      </c>
      <c r="Z346" t="inlineStr">
        <is>
          <t>.</t>
        </is>
      </c>
      <c r="AA346" t="inlineStr">
        <is>
          <t>.</t>
        </is>
      </c>
      <c r="AB346" t="inlineStr">
        <is>
          <t>.</t>
        </is>
      </c>
      <c r="AC346" t="inlineStr">
        <is>
          <t>HOMO</t>
        </is>
      </c>
      <c r="AD346" t="inlineStr">
        <is>
          <t>1</t>
        </is>
      </c>
      <c r="AE346" t="inlineStr">
        <is>
          <t>0.00035382769828854</t>
        </is>
      </c>
      <c r="AF346" t="inlineStr">
        <is>
          <t>ER membrane protein complex subunit 9</t>
        </is>
      </c>
      <c r="AG346" t="inlineStr">
        <is>
          <t>.</t>
        </is>
      </c>
      <c r="AH346" t="inlineStr">
        <is>
          <t>.</t>
        </is>
      </c>
      <c r="AI346" t="inlineStr">
        <is>
          <t>.</t>
        </is>
      </c>
      <c r="AJ346" t="inlineStr">
        <is>
          <t>.</t>
        </is>
      </c>
      <c r="AK346" t="inlineStr">
        <is>
          <t>.</t>
        </is>
      </c>
      <c r="AL346" t="inlineStr">
        <is>
          <t>.</t>
        </is>
      </c>
    </row>
    <row r="347">
      <c r="A347" t="inlineStr"/>
      <c r="B347">
        <f>HYPERLINK("https://genome.ucsc.edu/cgi-bin/hgTracks?db=hg19&amp;position=chr14%3A24614419%2D24614419", "chr14:24614419")</f>
        <v/>
      </c>
      <c r="C347" t="inlineStr">
        <is>
          <t>chr14</t>
        </is>
      </c>
      <c r="D347" t="n">
        <v>24614419</v>
      </c>
      <c r="E347" t="n">
        <v>24614419</v>
      </c>
      <c r="F347" t="inlineStr">
        <is>
          <t>A</t>
        </is>
      </c>
      <c r="G347" t="inlineStr">
        <is>
          <t>T</t>
        </is>
      </c>
      <c r="H347" t="inlineStr">
        <is>
          <t>1829.06</t>
        </is>
      </c>
      <c r="I347" t="inlineStr">
        <is>
          <t>59</t>
        </is>
      </c>
      <c r="J347" t="inlineStr">
        <is>
          <t>0,59</t>
        </is>
      </c>
      <c r="K347" t="inlineStr">
        <is>
          <t>.</t>
        </is>
      </c>
      <c r="L347">
        <f>HYPERLINK("https://www.ncbi.nlm.nih.gov/snp/rs115847395", "rs115847395")</f>
        <v/>
      </c>
      <c r="M347">
        <f>HYPERLINK("https://www.genecards.org/Search/Keyword?queryString=%5Baliases%5D(%20PSME2%20)&amp;keywords=PSME2", "PSME2")</f>
        <v/>
      </c>
      <c r="N347" t="inlineStr">
        <is>
          <t>intronic</t>
        </is>
      </c>
      <c r="O347" t="inlineStr">
        <is>
          <t>.</t>
        </is>
      </c>
      <c r="P347" t="inlineStr">
        <is>
          <t>.</t>
        </is>
      </c>
      <c r="Q347" t="n">
        <v>0.0201</v>
      </c>
      <c r="R347" t="n">
        <v>0.0112</v>
      </c>
      <c r="S347" t="n">
        <v>0.0107</v>
      </c>
      <c r="T347" t="n">
        <v>-1</v>
      </c>
      <c r="U347" t="n">
        <v>0.0098</v>
      </c>
      <c r="V347" t="inlineStr">
        <is>
          <t>.</t>
        </is>
      </c>
      <c r="W347" t="inlineStr">
        <is>
          <t>.</t>
        </is>
      </c>
      <c r="X347" t="inlineStr">
        <is>
          <t>D</t>
        </is>
      </c>
      <c r="Y347" t="inlineStr">
        <is>
          <t>off</t>
        </is>
      </c>
      <c r="Z347" t="inlineStr">
        <is>
          <t>.</t>
        </is>
      </c>
      <c r="AA347" t="inlineStr">
        <is>
          <t>.</t>
        </is>
      </c>
      <c r="AB347" t="inlineStr">
        <is>
          <t>.</t>
        </is>
      </c>
      <c r="AC347" t="inlineStr">
        <is>
          <t>HOMO</t>
        </is>
      </c>
      <c r="AD347" t="inlineStr">
        <is>
          <t>1</t>
        </is>
      </c>
      <c r="AE347" t="inlineStr">
        <is>
          <t>0.108796041514697</t>
        </is>
      </c>
      <c r="AF347" t="inlineStr">
        <is>
          <t>proteasome activator subunit 2</t>
        </is>
      </c>
      <c r="AG347" t="inlineStr">
        <is>
          <t xml:space="preserve">FUNCTION: Implicated in immunoproteasome assembly and required for efficient antigen processing. The PA28 activator complex enhances the generation of class I binding peptides by altering the cleavage pattern of the proteasome.; </t>
        </is>
      </c>
      <c r="AH347" t="inlineStr">
        <is>
          <t>.</t>
        </is>
      </c>
      <c r="AI347" t="inlineStr">
        <is>
          <t>.</t>
        </is>
      </c>
      <c r="AJ347" t="inlineStr">
        <is>
          <t>.</t>
        </is>
      </c>
      <c r="AK347" t="inlineStr">
        <is>
          <t>.</t>
        </is>
      </c>
      <c r="AL347" t="inlineStr">
        <is>
          <t>.</t>
        </is>
      </c>
    </row>
    <row r="348">
      <c r="A348" t="inlineStr"/>
      <c r="B348">
        <f>HYPERLINK("https://genome.ucsc.edu/cgi-bin/hgTracks?db=hg19&amp;position=chr14%3A27064600%2D27064600", "chr14:27064600")</f>
        <v/>
      </c>
      <c r="C348" t="inlineStr">
        <is>
          <t>chr14</t>
        </is>
      </c>
      <c r="D348" t="n">
        <v>27064600</v>
      </c>
      <c r="E348" t="n">
        <v>27064600</v>
      </c>
      <c r="F348" t="inlineStr">
        <is>
          <t>T</t>
        </is>
      </c>
      <c r="G348" t="inlineStr">
        <is>
          <t>C</t>
        </is>
      </c>
      <c r="H348" t="inlineStr">
        <is>
          <t>405.64</t>
        </is>
      </c>
      <c r="I348" t="inlineStr">
        <is>
          <t>64</t>
        </is>
      </c>
      <c r="J348" t="inlineStr">
        <is>
          <t>44,20</t>
        </is>
      </c>
      <c r="K348" t="inlineStr">
        <is>
          <t>.</t>
        </is>
      </c>
      <c r="L348" t="inlineStr">
        <is>
          <t>.</t>
        </is>
      </c>
      <c r="M348">
        <f>HYPERLINK("https://www.genecards.org/Search/Keyword?queryString=%5Baliases%5D(%20NOVA1%20)&amp;keywords=NOVA1", "NOVA1")</f>
        <v/>
      </c>
      <c r="N348" t="inlineStr">
        <is>
          <t>intronic</t>
        </is>
      </c>
      <c r="O348" t="inlineStr">
        <is>
          <t>.</t>
        </is>
      </c>
      <c r="P348" t="inlineStr">
        <is>
          <t>.</t>
        </is>
      </c>
      <c r="Q348" t="n">
        <v>-1</v>
      </c>
      <c r="R348" t="n">
        <v>-1</v>
      </c>
      <c r="S348" t="n">
        <v>-1</v>
      </c>
      <c r="T348" t="n">
        <v>-1</v>
      </c>
      <c r="U348" t="n">
        <v>-1</v>
      </c>
      <c r="V348" t="inlineStr">
        <is>
          <t>.</t>
        </is>
      </c>
      <c r="W348" t="inlineStr">
        <is>
          <t>.</t>
        </is>
      </c>
      <c r="X348" t="inlineStr">
        <is>
          <t>D</t>
        </is>
      </c>
      <c r="Y348" t="inlineStr">
        <is>
          <t>off</t>
        </is>
      </c>
      <c r="Z348" t="inlineStr">
        <is>
          <t>.</t>
        </is>
      </c>
      <c r="AA348" t="inlineStr">
        <is>
          <t>.</t>
        </is>
      </c>
      <c r="AB348" t="inlineStr">
        <is>
          <t>.</t>
        </is>
      </c>
      <c r="AC348" t="inlineStr">
        <is>
          <t>0/1</t>
        </is>
      </c>
      <c r="AD348" t="inlineStr">
        <is>
          <t>1</t>
        </is>
      </c>
      <c r="AE348" t="inlineStr">
        <is>
          <t>0.977721706151375</t>
        </is>
      </c>
      <c r="AF348" t="inlineStr">
        <is>
          <t>neuro-oncological ventral antigen 1</t>
        </is>
      </c>
      <c r="AG348" t="inlineStr">
        <is>
          <t xml:space="preserve">FUNCTION: May regulate RNA splicing or metabolism in a specific subset of developing neurons.; </t>
        </is>
      </c>
      <c r="AH348" t="inlineStr">
        <is>
          <t>.</t>
        </is>
      </c>
      <c r="AI348" t="inlineStr">
        <is>
          <t>.</t>
        </is>
      </c>
      <c r="AJ348" t="inlineStr">
        <is>
          <t>.</t>
        </is>
      </c>
      <c r="AK348" t="inlineStr">
        <is>
          <t>.</t>
        </is>
      </c>
      <c r="AL348" t="inlineStr">
        <is>
          <t>.</t>
        </is>
      </c>
    </row>
    <row r="349">
      <c r="A349" t="inlineStr"/>
      <c r="B349">
        <f>HYPERLINK("https://genome.ucsc.edu/cgi-bin/hgTracks?db=hg19&amp;position=chr14%3A36003525%2D36003525", "chr14:36003525")</f>
        <v/>
      </c>
      <c r="C349" t="inlineStr">
        <is>
          <t>chr14</t>
        </is>
      </c>
      <c r="D349" t="n">
        <v>36003525</v>
      </c>
      <c r="E349" t="n">
        <v>36003525</v>
      </c>
      <c r="F349" t="inlineStr">
        <is>
          <t>G</t>
        </is>
      </c>
      <c r="G349" t="inlineStr">
        <is>
          <t>A</t>
        </is>
      </c>
      <c r="H349" t="inlineStr">
        <is>
          <t>1910.06</t>
        </is>
      </c>
      <c r="I349" t="inlineStr">
        <is>
          <t>43</t>
        </is>
      </c>
      <c r="J349" t="inlineStr">
        <is>
          <t>0,43</t>
        </is>
      </c>
      <c r="K349" t="inlineStr">
        <is>
          <t>.</t>
        </is>
      </c>
      <c r="L349" t="inlineStr">
        <is>
          <t>.</t>
        </is>
      </c>
      <c r="M349">
        <f>HYPERLINK("https://www.genecards.org/Search/Keyword?queryString=%5Baliases%5D(%20INSM2%20)&amp;keywords=INSM2", "INSM2")</f>
        <v/>
      </c>
      <c r="N349" t="inlineStr">
        <is>
          <t>exonic</t>
        </is>
      </c>
      <c r="O349" t="inlineStr">
        <is>
          <t>nonsynonymous SNV</t>
        </is>
      </c>
      <c r="P349" t="inlineStr">
        <is>
          <t>INSM2:NM_032594:exon1:c.G67A:p.E23K;INSM2:uc001wth.1:exon1:c.G67A:p.E23K;INSM2:ENST00000307169.4_3:exon1:c.G67A:p.E23K</t>
        </is>
      </c>
      <c r="Q349" t="n">
        <v>-1</v>
      </c>
      <c r="R349" t="n">
        <v>-1</v>
      </c>
      <c r="S349" t="n">
        <v>-1</v>
      </c>
      <c r="T349" t="n">
        <v>-1</v>
      </c>
      <c r="U349" t="n">
        <v>-1</v>
      </c>
      <c r="V349" t="inlineStr">
        <is>
          <t>4/11</t>
        </is>
      </c>
      <c r="W349" t="inlineStr">
        <is>
          <t>.</t>
        </is>
      </c>
      <c r="X349" t="inlineStr">
        <is>
          <t>.</t>
        </is>
      </c>
      <c r="Y349" t="inlineStr">
        <is>
          <t>.</t>
        </is>
      </c>
      <c r="Z349" t="inlineStr">
        <is>
          <t>0/7</t>
        </is>
      </c>
      <c r="AA349" t="inlineStr">
        <is>
          <t>Uncertain significance</t>
        </is>
      </c>
      <c r="AB349" t="inlineStr">
        <is>
          <t>.</t>
        </is>
      </c>
      <c r="AC349" t="inlineStr">
        <is>
          <t>.</t>
        </is>
      </c>
      <c r="AD349" t="inlineStr">
        <is>
          <t>1</t>
        </is>
      </c>
      <c r="AE349" t="inlineStr">
        <is>
          <t>.</t>
        </is>
      </c>
      <c r="AF349" t="inlineStr">
        <is>
          <t>insulinoma-associated 2</t>
        </is>
      </c>
      <c r="AG349" t="inlineStr">
        <is>
          <t xml:space="preserve">FUNCTION: May function as a growth suppressor or tumor suppressor in liver cells and in certain neurons. {ECO:0000250}.; </t>
        </is>
      </c>
      <c r="AH349" t="inlineStr">
        <is>
          <t>.</t>
        </is>
      </c>
      <c r="AI349" t="inlineStr">
        <is>
          <t>.</t>
        </is>
      </c>
      <c r="AJ349" t="inlineStr">
        <is>
          <t>.</t>
        </is>
      </c>
      <c r="AK349" t="inlineStr">
        <is>
          <t>.</t>
        </is>
      </c>
      <c r="AL349" t="inlineStr">
        <is>
          <t>.</t>
        </is>
      </c>
    </row>
    <row r="350">
      <c r="A350" t="inlineStr"/>
      <c r="B350">
        <f>HYPERLINK("https://genome.ucsc.edu/cgi-bin/hgTracks?db=hg19&amp;position=chr14%3A50930820%2D50930820", "chr14:50930820")</f>
        <v/>
      </c>
      <c r="C350" t="inlineStr">
        <is>
          <t>chr14</t>
        </is>
      </c>
      <c r="D350" t="n">
        <v>50930820</v>
      </c>
      <c r="E350" t="n">
        <v>50930820</v>
      </c>
      <c r="F350" t="inlineStr">
        <is>
          <t>C</t>
        </is>
      </c>
      <c r="G350" t="inlineStr">
        <is>
          <t>G</t>
        </is>
      </c>
      <c r="H350" t="inlineStr">
        <is>
          <t>888.64</t>
        </is>
      </c>
      <c r="I350" t="inlineStr">
        <is>
          <t>71</t>
        </is>
      </c>
      <c r="J350" t="inlineStr">
        <is>
          <t>32,39</t>
        </is>
      </c>
      <c r="K350" t="inlineStr">
        <is>
          <t>.</t>
        </is>
      </c>
      <c r="L350" t="inlineStr">
        <is>
          <t>.</t>
        </is>
      </c>
      <c r="M350">
        <f>HYPERLINK("https://www.genecards.org/Search/Keyword?queryString=%5Baliases%5D(%20MAP4K5%20)&amp;keywords=MAP4K5", "MAP4K5")</f>
        <v/>
      </c>
      <c r="N350" t="inlineStr">
        <is>
          <t>exonic</t>
        </is>
      </c>
      <c r="O350" t="inlineStr">
        <is>
          <t>nonsynonymous SNV</t>
        </is>
      </c>
      <c r="P350" t="inlineStr">
        <is>
          <t>MAP4K5:NM_006575:exon12:c.G769C:p.A257P,MAP4K5:NM_198794:exon12:c.G769C:p.A257P;MAP4K5:uc010anv.1:exon11:c.G769C:p.A257P,MAP4K5:uc001wya.3:exon12:c.G769C:p.A257P,MAP4K5:uc001wyb.3:exon12:c.G769C:p.A257P;MAP4K5:ENST00000013125.9_4:exon12:c.G769C:p.A257P,MAP4K5:ENST00000682126.1_1:exon12:c.G769C:p.A257P</t>
        </is>
      </c>
      <c r="Q350" t="n">
        <v>-1</v>
      </c>
      <c r="R350" t="n">
        <v>-1</v>
      </c>
      <c r="S350" t="n">
        <v>-1</v>
      </c>
      <c r="T350" t="n">
        <v>-1</v>
      </c>
      <c r="U350" t="n">
        <v>-1</v>
      </c>
      <c r="V350" t="inlineStr">
        <is>
          <t>8/12</t>
        </is>
      </c>
      <c r="W350" t="inlineStr">
        <is>
          <t>.</t>
        </is>
      </c>
      <c r="X350" t="inlineStr">
        <is>
          <t>.</t>
        </is>
      </c>
      <c r="Y350" t="inlineStr">
        <is>
          <t>.</t>
        </is>
      </c>
      <c r="Z350" t="inlineStr">
        <is>
          <t>4/7</t>
        </is>
      </c>
      <c r="AA350" t="inlineStr">
        <is>
          <t>Uncertain significance</t>
        </is>
      </c>
      <c r="AB350" t="inlineStr">
        <is>
          <t>.</t>
        </is>
      </c>
      <c r="AC350" t="inlineStr">
        <is>
          <t>0/1</t>
        </is>
      </c>
      <c r="AD350" t="inlineStr">
        <is>
          <t>2</t>
        </is>
      </c>
      <c r="AE350" t="inlineStr">
        <is>
          <t>0.944269981947709</t>
        </is>
      </c>
      <c r="AF350" t="inlineStr">
        <is>
          <t>mitogen-activated protein kinase kinase kinase kinase 5</t>
        </is>
      </c>
      <c r="AG350" t="inlineStr">
        <is>
          <t xml:space="preserve">FUNCTION: May play a role in the response to environmental stress. Appears to act upstream of the JUN N-terminal pathway. {ECO:0000269|PubMed:9038372}.; </t>
        </is>
      </c>
      <c r="AH350" t="inlineStr">
        <is>
          <t>.</t>
        </is>
      </c>
      <c r="AI350" t="inlineStr">
        <is>
          <t>.</t>
        </is>
      </c>
      <c r="AJ350" t="inlineStr">
        <is>
          <t>.</t>
        </is>
      </c>
      <c r="AK350" t="inlineStr">
        <is>
          <t>.</t>
        </is>
      </c>
      <c r="AL350" t="inlineStr">
        <is>
          <t>.</t>
        </is>
      </c>
    </row>
    <row r="351">
      <c r="A351" t="inlineStr"/>
      <c r="B351">
        <f>HYPERLINK("https://genome.ucsc.edu/cgi-bin/hgTracks?db=hg19&amp;position=chr14%3A50933320%2D50933320", "chr14:50933320")</f>
        <v/>
      </c>
      <c r="C351" t="inlineStr">
        <is>
          <t>chr14</t>
        </is>
      </c>
      <c r="D351" t="n">
        <v>50933320</v>
      </c>
      <c r="E351" t="n">
        <v>50933320</v>
      </c>
      <c r="F351" t="inlineStr">
        <is>
          <t>G</t>
        </is>
      </c>
      <c r="G351" t="inlineStr">
        <is>
          <t>T</t>
        </is>
      </c>
      <c r="H351" t="inlineStr">
        <is>
          <t>1115.64</t>
        </is>
      </c>
      <c r="I351" t="inlineStr">
        <is>
          <t>89</t>
        </is>
      </c>
      <c r="J351" t="inlineStr">
        <is>
          <t>40,49</t>
        </is>
      </c>
      <c r="K351" t="inlineStr">
        <is>
          <t>.</t>
        </is>
      </c>
      <c r="L351" t="inlineStr">
        <is>
          <t>.</t>
        </is>
      </c>
      <c r="M351">
        <f>HYPERLINK("https://www.genecards.org/Search/Keyword?queryString=%5Baliases%5D(%20MAP4K5%20)&amp;keywords=MAP4K5", "MAP4K5")</f>
        <v/>
      </c>
      <c r="N351" t="inlineStr">
        <is>
          <t>exonic</t>
        </is>
      </c>
      <c r="O351" t="inlineStr">
        <is>
          <t>nonsynonymous SNV</t>
        </is>
      </c>
      <c r="P351" t="inlineStr">
        <is>
          <t>MAP4K5:NM_006575:exon11:c.C718A:p.L240I,MAP4K5:NM_198794:exon11:c.C718A:p.L240I;MAP4K5:uc010anv.1:exon10:c.C718A:p.L240I,MAP4K5:uc001wya.3:exon11:c.C718A:p.L240I,MAP4K5:uc001wyb.3:exon11:c.C718A:p.L240I;MAP4K5:ENST00000013125.9_4:exon11:c.C718A:p.L240I,MAP4K5:ENST00000682126.1_1:exon11:c.C718A:p.L240I</t>
        </is>
      </c>
      <c r="Q351" t="n">
        <v>-1</v>
      </c>
      <c r="R351" t="n">
        <v>-1</v>
      </c>
      <c r="S351" t="n">
        <v>-1</v>
      </c>
      <c r="T351" t="n">
        <v>-1</v>
      </c>
      <c r="U351" t="n">
        <v>-1</v>
      </c>
      <c r="V351" t="inlineStr">
        <is>
          <t>6/12</t>
        </is>
      </c>
      <c r="W351" t="inlineStr">
        <is>
          <t>.</t>
        </is>
      </c>
      <c r="X351" t="inlineStr">
        <is>
          <t>.</t>
        </is>
      </c>
      <c r="Y351" t="inlineStr">
        <is>
          <t>.</t>
        </is>
      </c>
      <c r="Z351" t="inlineStr">
        <is>
          <t>4/7</t>
        </is>
      </c>
      <c r="AA351" t="inlineStr">
        <is>
          <t>Uncertain significance</t>
        </is>
      </c>
      <c r="AB351" t="inlineStr">
        <is>
          <t>.</t>
        </is>
      </c>
      <c r="AC351" t="inlineStr">
        <is>
          <t>0/1</t>
        </is>
      </c>
      <c r="AD351" t="inlineStr">
        <is>
          <t>2</t>
        </is>
      </c>
      <c r="AE351" t="inlineStr">
        <is>
          <t>0.944269981947709</t>
        </is>
      </c>
      <c r="AF351" t="inlineStr">
        <is>
          <t>mitogen-activated protein kinase kinase kinase kinase 5</t>
        </is>
      </c>
      <c r="AG351" t="inlineStr">
        <is>
          <t xml:space="preserve">FUNCTION: May play a role in the response to environmental stress. Appears to act upstream of the JUN N-terminal pathway. {ECO:0000269|PubMed:9038372}.; </t>
        </is>
      </c>
      <c r="AH351" t="inlineStr">
        <is>
          <t>.</t>
        </is>
      </c>
      <c r="AI351" t="inlineStr">
        <is>
          <t>.</t>
        </is>
      </c>
      <c r="AJ351" t="inlineStr">
        <is>
          <t>.</t>
        </is>
      </c>
      <c r="AK351" t="inlineStr">
        <is>
          <t>.</t>
        </is>
      </c>
      <c r="AL351" t="inlineStr">
        <is>
          <t>.</t>
        </is>
      </c>
    </row>
    <row r="352">
      <c r="A352" t="inlineStr"/>
      <c r="B352">
        <f>HYPERLINK("https://genome.ucsc.edu/cgi-bin/hgTracks?db=hg19&amp;position=chr14%3A53173902%2D53173902", "chr14:53173902")</f>
        <v/>
      </c>
      <c r="C352" t="inlineStr">
        <is>
          <t>chr14</t>
        </is>
      </c>
      <c r="D352" t="n">
        <v>53173902</v>
      </c>
      <c r="E352" t="n">
        <v>53173902</v>
      </c>
      <c r="F352" t="inlineStr">
        <is>
          <t>A</t>
        </is>
      </c>
      <c r="G352" t="inlineStr">
        <is>
          <t>T</t>
        </is>
      </c>
      <c r="H352" t="inlineStr">
        <is>
          <t>31.64</t>
        </is>
      </c>
      <c r="I352" t="inlineStr">
        <is>
          <t>14</t>
        </is>
      </c>
      <c r="J352" t="inlineStr">
        <is>
          <t>12,2</t>
        </is>
      </c>
      <c r="K352" t="inlineStr">
        <is>
          <t>.</t>
        </is>
      </c>
      <c r="L352" t="inlineStr">
        <is>
          <t>.</t>
        </is>
      </c>
      <c r="M352">
        <f>HYPERLINK("https://www.genecards.org/Search/Keyword?queryString=%5Baliases%5D(%20PSMC6%20)&amp;keywords=PSMC6", "PSMC6")</f>
        <v/>
      </c>
      <c r="N352" t="inlineStr">
        <is>
          <t>exonic;upstream</t>
        </is>
      </c>
      <c r="O352" t="inlineStr">
        <is>
          <t>nonsynonymous SNV</t>
        </is>
      </c>
      <c r="P352" t="inlineStr">
        <is>
          <t>dist=16;PSMC6:uc010tqv.2:exon1:c.A7T:p.I3F,PSMC6:uc010tqx.2:exon1:c.A7T:p.I3F;PSMC6:ENST00000612399.4_3:exon1:c.A7T:p.I3F</t>
        </is>
      </c>
      <c r="Q352" t="n">
        <v>-1</v>
      </c>
      <c r="R352" t="n">
        <v>-1</v>
      </c>
      <c r="S352" t="n">
        <v>-1</v>
      </c>
      <c r="T352" t="n">
        <v>-1</v>
      </c>
      <c r="U352" t="n">
        <v>-1</v>
      </c>
      <c r="V352" t="inlineStr">
        <is>
          <t>7/10</t>
        </is>
      </c>
      <c r="W352" t="inlineStr">
        <is>
          <t>.</t>
        </is>
      </c>
      <c r="X352" t="inlineStr">
        <is>
          <t>.</t>
        </is>
      </c>
      <c r="Y352" t="inlineStr">
        <is>
          <t>.</t>
        </is>
      </c>
      <c r="Z352" t="inlineStr">
        <is>
          <t>0/7</t>
        </is>
      </c>
      <c r="AA352" t="inlineStr">
        <is>
          <t>Uncertain significance</t>
        </is>
      </c>
      <c r="AB352" t="inlineStr">
        <is>
          <t>.</t>
        </is>
      </c>
      <c r="AC352" t="inlineStr">
        <is>
          <t>0/1</t>
        </is>
      </c>
      <c r="AD352" t="inlineStr">
        <is>
          <t>1</t>
        </is>
      </c>
      <c r="AE352" t="inlineStr">
        <is>
          <t>0.995511977073858</t>
        </is>
      </c>
      <c r="AF352" t="inlineStr">
        <is>
          <t>proteasome 26S subunit, ATPase 6</t>
        </is>
      </c>
      <c r="AG352" t="inlineStr">
        <is>
          <t xml:space="preserve">FUNCTION: The 26S protease is involved in the ATP-dependent degradation of ubiquitinated proteins. The regulatory (or ATPase) complex confers ATP dependency and substrate specificity to the 26S complex.; </t>
        </is>
      </c>
      <c r="AH352" t="inlineStr">
        <is>
          <t>.</t>
        </is>
      </c>
      <c r="AI352" t="inlineStr">
        <is>
          <t>.</t>
        </is>
      </c>
      <c r="AJ352" t="inlineStr">
        <is>
          <t>.</t>
        </is>
      </c>
      <c r="AK352" t="inlineStr">
        <is>
          <t>.</t>
        </is>
      </c>
      <c r="AL352" t="inlineStr">
        <is>
          <t>.</t>
        </is>
      </c>
    </row>
    <row r="353">
      <c r="A353" t="inlineStr"/>
      <c r="B353">
        <f>HYPERLINK("https://genome.ucsc.edu/cgi-bin/hgTracks?db=hg19&amp;position=chr14%3A57271152%2D57271152", "chr14:57271152")</f>
        <v/>
      </c>
      <c r="C353" t="inlineStr">
        <is>
          <t>chr14</t>
        </is>
      </c>
      <c r="D353" t="n">
        <v>57271152</v>
      </c>
      <c r="E353" t="n">
        <v>57271152</v>
      </c>
      <c r="F353" t="inlineStr">
        <is>
          <t>C</t>
        </is>
      </c>
      <c r="G353" t="inlineStr">
        <is>
          <t>T</t>
        </is>
      </c>
      <c r="H353" t="inlineStr">
        <is>
          <t>111.64</t>
        </is>
      </c>
      <c r="I353" t="inlineStr">
        <is>
          <t>11</t>
        </is>
      </c>
      <c r="J353" t="inlineStr">
        <is>
          <t>6,5</t>
        </is>
      </c>
      <c r="K353" t="inlineStr">
        <is>
          <t>.</t>
        </is>
      </c>
      <c r="L353" t="inlineStr">
        <is>
          <t>.</t>
        </is>
      </c>
      <c r="M353">
        <f>HYPERLINK("https://www.genecards.org/Search/Keyword?queryString=%5Baliases%5D(%20OTX2%20)&amp;keywords=OTX2", "OTX2")</f>
        <v/>
      </c>
      <c r="N353" t="inlineStr">
        <is>
          <t>intronic</t>
        </is>
      </c>
      <c r="O353" t="inlineStr">
        <is>
          <t>.</t>
        </is>
      </c>
      <c r="P353" t="inlineStr">
        <is>
          <t>.</t>
        </is>
      </c>
      <c r="Q353" t="n">
        <v>-1</v>
      </c>
      <c r="R353" t="n">
        <v>-1</v>
      </c>
      <c r="S353" t="n">
        <v>-1</v>
      </c>
      <c r="T353" t="n">
        <v>-1</v>
      </c>
      <c r="U353" t="n">
        <v>-1</v>
      </c>
      <c r="V353" t="inlineStr">
        <is>
          <t>.</t>
        </is>
      </c>
      <c r="W353" t="inlineStr">
        <is>
          <t>.</t>
        </is>
      </c>
      <c r="X353" t="inlineStr">
        <is>
          <t>PD</t>
        </is>
      </c>
      <c r="Y353" t="inlineStr">
        <is>
          <t>off</t>
        </is>
      </c>
      <c r="Z353" t="inlineStr">
        <is>
          <t>.</t>
        </is>
      </c>
      <c r="AA353" t="inlineStr">
        <is>
          <t>.</t>
        </is>
      </c>
      <c r="AB353" t="inlineStr">
        <is>
          <t>.</t>
        </is>
      </c>
      <c r="AC353" t="inlineStr">
        <is>
          <t>0/1</t>
        </is>
      </c>
      <c r="AD353" t="inlineStr">
        <is>
          <t>1</t>
        </is>
      </c>
      <c r="AE353" t="inlineStr">
        <is>
          <t>0.744599586946362</t>
        </is>
      </c>
      <c r="AF353" t="inlineStr">
        <is>
          <t>orthodenticle homeobox 2</t>
        </is>
      </c>
      <c r="AG353" t="inlineStr">
        <is>
          <t xml:space="preserve">FUNCTION: Probably plays a role in the development of the brain and the sense organs. Can bind to the BCD target sequence (BTS): 5'-TCTAATCCC-3'.; </t>
        </is>
      </c>
      <c r="AH353" t="inlineStr">
        <is>
          <t xml:space="preserve">DISEASE: Microphthalmia, syndromic, 5 (MCOPS5) [MIM:610125]: Patients manifest unilateral or bilateral microphthalmia/clinical anophthalmia and variable additional features including pituitary dysfunction, coloboma, microcornea, cataract, retinal dystrophy, hypoplasia or agenesis of the optic nerve, agenesis of the corpus callosum, developmental delay, joint laxity, hypotonia, and seizures. Microphthalmia is a disorder of eye formation, ranging from small size of a single eye to complete bilateral absence of ocular tissues (anophthalmia). In many cases, microphthalmia/anophthalmia occurs in association with syndromes that include non-ocular abnormalities. {ECO:0000269|PubMed:15846561, ECO:0000269|PubMed:20396904, ECO:0000269|PubMed:22577225, ECO:0000269|PubMed:24167467}. Note=The disease is caused by mutations affecting the gene represented in this entry.; DISEASE: Pituitary hormone deficiency, combined, 6 (CPHD6) [MIM:613986]: Combined pituitary hormone deficiency is defined as the impaired production of growth hormone and one or more of the other five anterior pituitary hormones. CPHD6 patients manifest neonatal hypoglycemia, and deficiencies of growth hormone, thyroid-stimulating hormone, luteinizing hormone, follicle stimulating hormone and adrenocorticotropic hormone. {ECO:0000269|PubMed:18728160}. Note=The disease is caused by mutations affecting the gene represented in this entry.; DISEASE: Retinal dystrophy, early-onset, with or without pituitary dysfunction (RDEOP) [MIM:610125]: An autosomal dominant ocular disease characterized by pattern dystrophy of the retinal pigment epithelium, and photoreceptor degeneration. Mild developmental anomalies include optic nerve head dysplasia, microcornea, and Rathke's cleft cyst. Some patients manifest pituary dysfunction. {ECO:0000269|PubMed:19956411, ECO:0000269|PubMed:25293953}. Note=The disease is caused by mutations affecting the gene represented in this entry.; </t>
        </is>
      </c>
      <c r="AI353" t="inlineStr">
        <is>
          <t>.</t>
        </is>
      </c>
      <c r="AJ353" t="inlineStr">
        <is>
          <t>.</t>
        </is>
      </c>
      <c r="AK353" t="inlineStr">
        <is>
          <t>.</t>
        </is>
      </c>
      <c r="AL353" t="inlineStr">
        <is>
          <t>.</t>
        </is>
      </c>
    </row>
    <row r="354">
      <c r="A354" t="inlineStr"/>
      <c r="B354">
        <f>HYPERLINK("https://genome.ucsc.edu/cgi-bin/hgTracks?db=hg19&amp;position=chr14%3A60585258%2D60585258", "chr14:60585258")</f>
        <v/>
      </c>
      <c r="C354" t="inlineStr">
        <is>
          <t>chr14</t>
        </is>
      </c>
      <c r="D354" t="n">
        <v>60585258</v>
      </c>
      <c r="E354" t="n">
        <v>60585258</v>
      </c>
      <c r="F354" t="inlineStr">
        <is>
          <t>C</t>
        </is>
      </c>
      <c r="G354" t="inlineStr">
        <is>
          <t>T</t>
        </is>
      </c>
      <c r="H354" t="inlineStr">
        <is>
          <t>2442.06</t>
        </is>
      </c>
      <c r="I354" t="inlineStr">
        <is>
          <t>73</t>
        </is>
      </c>
      <c r="J354" t="inlineStr">
        <is>
          <t>0,73</t>
        </is>
      </c>
      <c r="K354" t="inlineStr">
        <is>
          <t>.</t>
        </is>
      </c>
      <c r="L354">
        <f>HYPERLINK("https://www.ncbi.nlm.nih.gov/snp/rs763686044", "rs763686044")</f>
        <v/>
      </c>
      <c r="M354">
        <f>HYPERLINK("https://www.genecards.org/Search/Keyword?queryString=%5Baliases%5D(%20PCNX4%20)%20OR%20%5Baliases%5D(%20PCNXL4%20)&amp;keywords=PCNX4,PCNXL4", "PCNX4;PCNXL4")</f>
        <v/>
      </c>
      <c r="N354" t="inlineStr">
        <is>
          <t>exonic</t>
        </is>
      </c>
      <c r="O354" t="inlineStr">
        <is>
          <t>nonsynonymous SNV</t>
        </is>
      </c>
      <c r="P354" t="inlineStr">
        <is>
          <t>PCNX4:NM_022495:exon6:c.C1088T:p.P363L,PCNX4:NM_001330177:exon7:c.C1790T:p.P597L;PCNXL4:uc001xeq.2:exon6:c.C1088T:p.P363L,PCNXL4:uc001xer.4:exon6:c.C1088T:p.P363L;PCNX4:ENST00000317623.8_5:exon6:c.C1088T:p.P363L,PCNX4:ENST00000406949.5_2:exon6:c.C1088T:p.P363L,PCNX4:ENST00000406854.6_8:exon7:c.C1790T:p.P597L</t>
        </is>
      </c>
      <c r="Q354" t="n">
        <v>7.18e-05</v>
      </c>
      <c r="R354" t="n">
        <v>-1</v>
      </c>
      <c r="S354" t="n">
        <v>7.344e-05</v>
      </c>
      <c r="T354" t="n">
        <v>-1</v>
      </c>
      <c r="U354" t="n">
        <v>-1</v>
      </c>
      <c r="V354" t="inlineStr">
        <is>
          <t>7/11</t>
        </is>
      </c>
      <c r="W354" t="inlineStr">
        <is>
          <t>.</t>
        </is>
      </c>
      <c r="X354" t="inlineStr">
        <is>
          <t>.</t>
        </is>
      </c>
      <c r="Y354" t="inlineStr">
        <is>
          <t>.</t>
        </is>
      </c>
      <c r="Z354" t="inlineStr">
        <is>
          <t>5/7</t>
        </is>
      </c>
      <c r="AA354" t="inlineStr">
        <is>
          <t>Uncertain significance</t>
        </is>
      </c>
      <c r="AB354" t="inlineStr">
        <is>
          <t>.</t>
        </is>
      </c>
      <c r="AC354" t="inlineStr">
        <is>
          <t>HOMO</t>
        </is>
      </c>
      <c r="AD354" t="inlineStr">
        <is>
          <t>1;1</t>
        </is>
      </c>
      <c r="AE354" t="inlineStr">
        <is>
          <t>.</t>
        </is>
      </c>
      <c r="AF354" t="inlineStr">
        <is>
          <t>pecanex homolog 4 (Drosophila)</t>
        </is>
      </c>
      <c r="AG354" t="inlineStr">
        <is>
          <t>.</t>
        </is>
      </c>
      <c r="AH354" t="inlineStr">
        <is>
          <t>.</t>
        </is>
      </c>
      <c r="AI354" t="inlineStr">
        <is>
          <t>.</t>
        </is>
      </c>
      <c r="AJ354" t="inlineStr">
        <is>
          <t>.</t>
        </is>
      </c>
      <c r="AK354" t="inlineStr">
        <is>
          <t>.</t>
        </is>
      </c>
      <c r="AL354" t="inlineStr">
        <is>
          <t>.</t>
        </is>
      </c>
    </row>
    <row r="355">
      <c r="A355" t="inlineStr"/>
      <c r="B355">
        <f>HYPERLINK("https://genome.ucsc.edu/cgi-bin/hgTracks?db=hg19&amp;position=chr14%3A64886621%2D64886621", "chr14:64886621")</f>
        <v/>
      </c>
      <c r="C355" t="inlineStr">
        <is>
          <t>chr14</t>
        </is>
      </c>
      <c r="D355" t="n">
        <v>64886621</v>
      </c>
      <c r="E355" t="n">
        <v>64886621</v>
      </c>
      <c r="F355" t="inlineStr">
        <is>
          <t>C</t>
        </is>
      </c>
      <c r="G355" t="inlineStr">
        <is>
          <t>A</t>
        </is>
      </c>
      <c r="H355" t="inlineStr">
        <is>
          <t>674.64</t>
        </is>
      </c>
      <c r="I355" t="inlineStr">
        <is>
          <t>53</t>
        </is>
      </c>
      <c r="J355" t="inlineStr">
        <is>
          <t>24,29</t>
        </is>
      </c>
      <c r="K355" t="inlineStr">
        <is>
          <t>.</t>
        </is>
      </c>
      <c r="L355">
        <f>HYPERLINK("https://www.ncbi.nlm.nih.gov/snp/rs750570265", "rs750570265")</f>
        <v/>
      </c>
      <c r="M355">
        <f>HYPERLINK("https://www.genecards.org/Search/Keyword?queryString=%5Baliases%5D(%20MTHFD1%20)&amp;keywords=MTHFD1", "MTHFD1")</f>
        <v/>
      </c>
      <c r="N355" t="inlineStr">
        <is>
          <t>exonic</t>
        </is>
      </c>
      <c r="O355" t="inlineStr">
        <is>
          <t>nonsynonymous SNV</t>
        </is>
      </c>
      <c r="P355" t="inlineStr">
        <is>
          <t>MTHFD1:NM_001364837:exon8:c.C705A:p.D235E,MTHFD1:NM_005956:exon8:c.C705A:p.D235E;MTHFD1:uc010aqe.2:exon7:c.C813A:p.D271E,MTHFD1:uc001xhb.3:exon8:c.C705A:p.D235E,MTHFD1:uc010aqf.3:exon8:c.C873A:p.D291E;MTHFD1:ENST00000545908.6_6:exon8:c.C705A:p.D235E,MTHFD1:ENST00000557370.3_2:exon8:c.C705A:p.D235E,MTHFD1:ENST00000557539.2_4:exon8:c.C462A:p.D154E,MTHFD1:ENST00000652337.1_4:exon8:c.C705A:p.D235E,MTHFD1:ENST00000697168.1_1:exon8:c.C705A:p.D235E,MTHFD1:ENST00000554768.6_3:exon9:c.C462A:p.D154E,MTHFD1:ENST00000697173.1_1:exon10:c.C462A:p.D154E</t>
        </is>
      </c>
      <c r="Q355" t="n">
        <v>6.5e-06</v>
      </c>
      <c r="R355" t="n">
        <v>-1</v>
      </c>
      <c r="S355" t="n">
        <v>-1</v>
      </c>
      <c r="T355" t="n">
        <v>-1</v>
      </c>
      <c r="U355" t="n">
        <v>-1</v>
      </c>
      <c r="V355" t="inlineStr">
        <is>
          <t>10/12</t>
        </is>
      </c>
      <c r="W355" t="inlineStr">
        <is>
          <t>.</t>
        </is>
      </c>
      <c r="X355" t="inlineStr">
        <is>
          <t>.</t>
        </is>
      </c>
      <c r="Y355" t="inlineStr">
        <is>
          <t>.</t>
        </is>
      </c>
      <c r="Z355" t="inlineStr">
        <is>
          <t>3/7</t>
        </is>
      </c>
      <c r="AA355" t="inlineStr">
        <is>
          <t>Uncertain significance</t>
        </is>
      </c>
      <c r="AB355" t="inlineStr">
        <is>
          <t>.</t>
        </is>
      </c>
      <c r="AC355" t="inlineStr">
        <is>
          <t>0/1</t>
        </is>
      </c>
      <c r="AD355" t="inlineStr">
        <is>
          <t>2</t>
        </is>
      </c>
      <c r="AE355" t="inlineStr">
        <is>
          <t>0.605609113854515</t>
        </is>
      </c>
      <c r="AF355" t="inlineStr">
        <is>
          <t>methylenetetrahydrofolate dehydrogenase (NADP+ dependent) 1, methenyltetrahydrofolate cyclohydrolase, formyltetrahydrofolate synthetase</t>
        </is>
      </c>
      <c r="AG355" t="inlineStr">
        <is>
          <t>.</t>
        </is>
      </c>
      <c r="AH355" t="inlineStr">
        <is>
          <t xml:space="preserve">DISEASE: Neural tube defects, folate-sensitive (NTDFS) [MIM:601634]: The most common NTDs are open spina bifida (myelomeningocele) and anencephaly. {ECO:0000269|PubMed:12384833, ECO:0000269|PubMed:16552426, ECO:0000269|PubMed:9611072}. Note=Disease susceptibility is associated with variations affecting the gene represented in this entry.; DISEASE: Colorectal cancer (CRC) [MIM:114500]: A complex disease characterized by malignant lesions arising from the inner wall of the large intestine (the colon) and the rectum. Genetic alterations are often associated with progression from premalignant lesion (adenoma) to invasive adenocarcinoma. Risk factors for cancer of the colon and rectum include colon polyps, long-standing ulcerative colitis, and genetic family history. Note=Disease susceptibility may be associated with variations affecting the gene represented in this entry.; DISEASE: Note=MTHFD1 deficiency, due to mutation in this gene, can cause a metabolic syndrome with variable features including hyperhomocysteinemia, megaloblastic anemia, hemolytic uremic syndrome (HUS), severe combined immunodeficiency, microangiopathy and retinopathy. Symptoms improve after treatment with hydroxocobalamin, betaine and folinic acid. {ECO:0000269|PubMed:21813566, ECO:0000269|PubMed:25633902}.; </t>
        </is>
      </c>
      <c r="AI355" t="inlineStr">
        <is>
          <t>.</t>
        </is>
      </c>
      <c r="AJ355" t="inlineStr">
        <is>
          <t>.</t>
        </is>
      </c>
      <c r="AK355" t="inlineStr">
        <is>
          <t>.</t>
        </is>
      </c>
      <c r="AL355" t="inlineStr">
        <is>
          <t>.</t>
        </is>
      </c>
    </row>
    <row r="356">
      <c r="A356" t="inlineStr"/>
      <c r="B356">
        <f>HYPERLINK("https://genome.ucsc.edu/cgi-bin/hgTracks?db=hg19&amp;position=chr14%3A64920328%2D64920328", "chr14:64920328")</f>
        <v/>
      </c>
      <c r="C356" t="inlineStr">
        <is>
          <t>chr14</t>
        </is>
      </c>
      <c r="D356" t="n">
        <v>64920328</v>
      </c>
      <c r="E356" t="n">
        <v>64920328</v>
      </c>
      <c r="F356" t="inlineStr">
        <is>
          <t>C</t>
        </is>
      </c>
      <c r="G356" t="inlineStr">
        <is>
          <t>G</t>
        </is>
      </c>
      <c r="H356" t="inlineStr">
        <is>
          <t>143.96</t>
        </is>
      </c>
      <c r="I356" t="inlineStr">
        <is>
          <t>5</t>
        </is>
      </c>
      <c r="J356" t="inlineStr">
        <is>
          <t>0,5</t>
        </is>
      </c>
      <c r="K356" t="inlineStr">
        <is>
          <t>.</t>
        </is>
      </c>
      <c r="L356">
        <f>HYPERLINK("https://www.ncbi.nlm.nih.gov/snp/rs186600835", "rs186600835")</f>
        <v/>
      </c>
      <c r="M356">
        <f>HYPERLINK("https://www.genecards.org/Search/Keyword?queryString=%5Baliases%5D(%20MTHFD1%20)%20OR%20%5Baliases%5D(%20ZBTB25%20)&amp;keywords=MTHFD1,ZBTB25", "MTHFD1;ZBTB25")</f>
        <v/>
      </c>
      <c r="N356" t="inlineStr">
        <is>
          <t>intronic</t>
        </is>
      </c>
      <c r="O356" t="inlineStr">
        <is>
          <t>.</t>
        </is>
      </c>
      <c r="P356" t="inlineStr">
        <is>
          <t>.</t>
        </is>
      </c>
      <c r="Q356" t="n">
        <v>0.0046</v>
      </c>
      <c r="R356" t="n">
        <v>0.0035</v>
      </c>
      <c r="S356" t="n">
        <v>0.0034</v>
      </c>
      <c r="T356" t="n">
        <v>-1</v>
      </c>
      <c r="U356" t="n">
        <v>0.004</v>
      </c>
      <c r="V356" t="inlineStr">
        <is>
          <t>.</t>
        </is>
      </c>
      <c r="W356" t="inlineStr">
        <is>
          <t>.</t>
        </is>
      </c>
      <c r="X356" t="inlineStr">
        <is>
          <t>PD</t>
        </is>
      </c>
      <c r="Y356" t="inlineStr">
        <is>
          <t>off</t>
        </is>
      </c>
      <c r="Z356" t="inlineStr">
        <is>
          <t>.</t>
        </is>
      </c>
      <c r="AA356" t="inlineStr">
        <is>
          <t>.</t>
        </is>
      </c>
      <c r="AB356" t="inlineStr">
        <is>
          <t>.</t>
        </is>
      </c>
      <c r="AC356" t="inlineStr">
        <is>
          <t>HOMO</t>
        </is>
      </c>
      <c r="AD356" t="inlineStr">
        <is>
          <t>2;1</t>
        </is>
      </c>
      <c r="AE356" t="inlineStr">
        <is>
          <t>0.605609113854515;3.31068569517812e-05</t>
        </is>
      </c>
      <c r="AF356" t="inlineStr">
        <is>
          <t>methylenetetrahydrofolate dehydrogenase (NADP+ dependent) 1, methenyltetrahydrofolate cyclohydrolase, formyltetrahydrofolate synthetase;zinc finger and BTB domain containing 25</t>
        </is>
      </c>
      <c r="AG356" t="inlineStr">
        <is>
          <t xml:space="preserve">FUNCTION: May be involved in transcriptional regulation.; </t>
        </is>
      </c>
      <c r="AH356" t="inlineStr">
        <is>
          <t xml:space="preserve">DISEASE: Neural tube defects, folate-sensitive (NTDFS) [MIM:601634]: The most common NTDs are open spina bifida (myelomeningocele) and anencephaly. {ECO:0000269|PubMed:12384833, ECO:0000269|PubMed:16552426, ECO:0000269|PubMed:9611072}. Note=Disease susceptibility is associated with variations affecting the gene represented in this entry.; DISEASE: Colorectal cancer (CRC) [MIM:114500]: A complex disease characterized by malignant lesions arising from the inner wall of the large intestine (the colon) and the rectum. Genetic alterations are often associated with progression from premalignant lesion (adenoma) to invasive adenocarcinoma. Risk factors for cancer of the colon and rectum include colon polyps, long-standing ulcerative colitis, and genetic family history. Note=Disease susceptibility may be associated with variations affecting the gene represented in this entry.; DISEASE: Note=MTHFD1 deficiency, due to mutation in this gene, can cause a metabolic syndrome with variable features including hyperhomocysteinemia, megaloblastic anemia, hemolytic uremic syndrome (HUS), severe combined immunodeficiency, microangiopathy and retinopathy. Symptoms improve after treatment with hydroxocobalamin, betaine and folinic acid. {ECO:0000269|PubMed:21813566, ECO:0000269|PubMed:25633902}.; </t>
        </is>
      </c>
      <c r="AI356" t="inlineStr">
        <is>
          <t>.</t>
        </is>
      </c>
      <c r="AJ356" t="inlineStr">
        <is>
          <t>.</t>
        </is>
      </c>
      <c r="AK356" t="inlineStr">
        <is>
          <t>.</t>
        </is>
      </c>
      <c r="AL356" t="inlineStr">
        <is>
          <t>.</t>
        </is>
      </c>
    </row>
    <row r="357">
      <c r="A357" t="inlineStr"/>
      <c r="B357">
        <f>HYPERLINK("https://genome.ucsc.edu/cgi-bin/hgTracks?db=hg19&amp;position=chr14%3A73421159%2D73421159", "chr14:73421159")</f>
        <v/>
      </c>
      <c r="C357" t="inlineStr">
        <is>
          <t>chr14</t>
        </is>
      </c>
      <c r="D357" t="n">
        <v>73421159</v>
      </c>
      <c r="E357" t="n">
        <v>73421159</v>
      </c>
      <c r="F357" t="inlineStr">
        <is>
          <t>A</t>
        </is>
      </c>
      <c r="G357" t="inlineStr">
        <is>
          <t>G</t>
        </is>
      </c>
      <c r="H357" t="inlineStr">
        <is>
          <t>1890.06</t>
        </is>
      </c>
      <c r="I357" t="inlineStr">
        <is>
          <t>74</t>
        </is>
      </c>
      <c r="J357" t="inlineStr">
        <is>
          <t>1,73</t>
        </is>
      </c>
      <c r="K357" t="inlineStr">
        <is>
          <t>.</t>
        </is>
      </c>
      <c r="L357">
        <f>HYPERLINK("https://www.ncbi.nlm.nih.gov/snp/rs117449182", "rs117449182")</f>
        <v/>
      </c>
      <c r="M357">
        <f>HYPERLINK("https://www.genecards.org/Search/Keyword?queryString=%5Baliases%5D(%20DCAF4%20)&amp;keywords=DCAF4", "DCAF4")</f>
        <v/>
      </c>
      <c r="N357" t="inlineStr">
        <is>
          <t>exonic</t>
        </is>
      </c>
      <c r="O357" t="inlineStr">
        <is>
          <t>nonsynonymous SNV</t>
        </is>
      </c>
      <c r="P357" t="inlineStr">
        <is>
          <t>DCAF4:NM_181341:exon9:c.A793G:p.S265G,DCAF4:NM_181340:exon10:c.A673G:p.S225G,DCAF4:NM_001163508:exon11:c.A976G:p.S326G,DCAF4:NM_001163509:exon11:c.A910G:p.S304G,DCAF4:NM_001352447:exon11:c.A331G:p.S111G,DCAF4:NM_001352448:exon11:c.A973G:p.S325G,DCAF4:NM_015604:exon11:c.A973G:p.S325G,DCAF4:NM_001352449:exon12:c.A976G:p.S326G;DCAF4:uc010tts.2:exon9:c.A793G:p.S265G,DCAF4:uc001xnh.3:exon10:c.A673G:p.S225G,DCAF4:uc001xnk.3:exon10:c.A973G:p.S325G,DCAF4:uc001xng.3:exon11:c.A973G:p.S325G,DCAF4:uc001xnj.3:exon11:c.A976G:p.S326G,DCAF4:uc010ttr.2:exon11:c.A910G:p.S304G,DCAF4:uc010ttt.2:exon11:c.A331G:p.S111G;DCAF4:ENST00000509153.5_3:exon9:c.A793G:p.S265G,DCAF4:ENST00000394234.6_5:exon10:c.A673G:p.S225G,DCAF4:ENST00000553457.1_6:exon10:c.A673G:p.S225G,DCAF4:ENST00000358377.7_7:exon11:c.A973G:p.S325G,DCAF4:ENST00000555042.5_2:exon11:c.A976G:p.S326G</t>
        </is>
      </c>
      <c r="Q357" t="n">
        <v>0.0138</v>
      </c>
      <c r="R357" t="n">
        <v>0.008399999999999999</v>
      </c>
      <c r="S357" t="n">
        <v>0.0073</v>
      </c>
      <c r="T357" t="n">
        <v>-1</v>
      </c>
      <c r="U357" t="n">
        <v>0.0062</v>
      </c>
      <c r="V357" t="inlineStr">
        <is>
          <t>7/10</t>
        </is>
      </c>
      <c r="W357" t="inlineStr">
        <is>
          <t>.</t>
        </is>
      </c>
      <c r="X357" t="inlineStr">
        <is>
          <t>.</t>
        </is>
      </c>
      <c r="Y357" t="inlineStr">
        <is>
          <t>.</t>
        </is>
      </c>
      <c r="Z357" t="inlineStr">
        <is>
          <t>5/7</t>
        </is>
      </c>
      <c r="AA357" t="inlineStr">
        <is>
          <t>Uncertain significance</t>
        </is>
      </c>
      <c r="AB357" t="inlineStr">
        <is>
          <t>Likely_benign</t>
        </is>
      </c>
      <c r="AC357" t="inlineStr">
        <is>
          <t>HOMO</t>
        </is>
      </c>
      <c r="AD357" t="inlineStr">
        <is>
          <t>1</t>
        </is>
      </c>
      <c r="AE357" t="inlineStr">
        <is>
          <t>0.00364518370773562</t>
        </is>
      </c>
      <c r="AF357" t="inlineStr">
        <is>
          <t>DDB1 and CUL4 associated factor 4</t>
        </is>
      </c>
      <c r="AG357" t="inlineStr">
        <is>
          <t xml:space="preserve">FUNCTION: May function as a substrate receptor for CUL4-DDB1 E3 ubiquitin-protein ligase complex. {ECO:0000269|PubMed:16949367, ECO:0000269|PubMed:16964240}.; </t>
        </is>
      </c>
      <c r="AH357" t="inlineStr">
        <is>
          <t>.</t>
        </is>
      </c>
      <c r="AI357" t="inlineStr">
        <is>
          <t>.</t>
        </is>
      </c>
      <c r="AJ357" t="inlineStr">
        <is>
          <t>.</t>
        </is>
      </c>
      <c r="AK357" t="inlineStr">
        <is>
          <t>.</t>
        </is>
      </c>
      <c r="AL357" t="inlineStr">
        <is>
          <t>.</t>
        </is>
      </c>
    </row>
    <row r="358">
      <c r="A358" t="inlineStr"/>
      <c r="B358">
        <f>HYPERLINK("https://genome.ucsc.edu/cgi-bin/hgTracks?db=hg19&amp;position=chr14%3A75590896%2D75590896", "chr14:75590896")</f>
        <v/>
      </c>
      <c r="C358" t="inlineStr">
        <is>
          <t>chr14</t>
        </is>
      </c>
      <c r="D358" t="n">
        <v>75590896</v>
      </c>
      <c r="E358" t="n">
        <v>75590896</v>
      </c>
      <c r="F358" t="inlineStr">
        <is>
          <t>C</t>
        </is>
      </c>
      <c r="G358" t="inlineStr">
        <is>
          <t>T</t>
        </is>
      </c>
      <c r="H358" t="inlineStr">
        <is>
          <t>2040.06</t>
        </is>
      </c>
      <c r="I358" t="inlineStr">
        <is>
          <t>71</t>
        </is>
      </c>
      <c r="J358" t="inlineStr">
        <is>
          <t>2,69</t>
        </is>
      </c>
      <c r="K358" t="inlineStr">
        <is>
          <t>.</t>
        </is>
      </c>
      <c r="L358">
        <f>HYPERLINK("https://www.ncbi.nlm.nih.gov/snp/rs143597394", "rs143597394")</f>
        <v/>
      </c>
      <c r="M358">
        <f>HYPERLINK("https://www.genecards.org/Search/Keyword?queryString=%5Baliases%5D(%20NEK9%20)&amp;keywords=NEK9", "NEK9")</f>
        <v/>
      </c>
      <c r="N358" t="inlineStr">
        <is>
          <t>exonic</t>
        </is>
      </c>
      <c r="O358" t="inlineStr">
        <is>
          <t>nonsynonymous SNV</t>
        </is>
      </c>
      <c r="P358" t="inlineStr">
        <is>
          <t>NEK9:NM_001329237:exon2:c.G250A:p.D84N,NEK9:NM_033116:exon2:c.G250A:p.D84N;NEK9:uc001xrl.3:exon2:c.G250A:p.D84N;NEK9:ENST00000238616.10_5:exon2:c.G250A:p.D84N,NEK9:ENST00000553823.6_6:exon2:c.G250A:p.D84N,NEK9:ENST00000678037.1_1:exon2:c.G250A:p.D84N</t>
        </is>
      </c>
      <c r="Q358" t="n">
        <v>0.017241</v>
      </c>
      <c r="R358" t="n">
        <v>0.0042</v>
      </c>
      <c r="S358" t="n">
        <v>0.0037</v>
      </c>
      <c r="T358" t="n">
        <v>-1</v>
      </c>
      <c r="U358" t="n">
        <v>0.0042</v>
      </c>
      <c r="V358" t="inlineStr">
        <is>
          <t>4/11</t>
        </is>
      </c>
      <c r="W358" t="inlineStr">
        <is>
          <t>.</t>
        </is>
      </c>
      <c r="X358" t="inlineStr">
        <is>
          <t>.</t>
        </is>
      </c>
      <c r="Y358" t="inlineStr">
        <is>
          <t>.</t>
        </is>
      </c>
      <c r="Z358" t="inlineStr">
        <is>
          <t>6/7</t>
        </is>
      </c>
      <c r="AA358" t="inlineStr">
        <is>
          <t>Uncertain significance</t>
        </is>
      </c>
      <c r="AB358" t="inlineStr">
        <is>
          <t>Likely_benign</t>
        </is>
      </c>
      <c r="AC358" t="inlineStr">
        <is>
          <t>HOMO</t>
        </is>
      </c>
      <c r="AD358" t="inlineStr">
        <is>
          <t>1</t>
        </is>
      </c>
      <c r="AE358" t="inlineStr">
        <is>
          <t>1.19201671010644e-06</t>
        </is>
      </c>
      <c r="AF358" t="inlineStr">
        <is>
          <t>NIMA related kinase 9</t>
        </is>
      </c>
      <c r="AG358" t="inlineStr">
        <is>
          <t xml:space="preserve">FUNCTION: Pleiotropic regulator of mitotic progression, participating in the control of spindle dynamics and chromosome separation. Phosphorylates different histones, myelin basic protein, beta-casein, and BICD2. Phosphorylates histone H3 on serine and threonine residues and beta-casein on serine residues. Important for G1/S transition and S phase progression. Phosphorylates NEK6 and NEK7 and stimulates their activity by releasing the autoinhibitory functions of Tyr-108 and Tyr-97 respectively. {ECO:0000269|PubMed:12840024, ECO:0000269|PubMed:14660563, ECO:0000269|PubMed:19941817}.; </t>
        </is>
      </c>
      <c r="AH358" t="inlineStr">
        <is>
          <t>.</t>
        </is>
      </c>
      <c r="AI358" t="inlineStr">
        <is>
          <t>.</t>
        </is>
      </c>
      <c r="AJ358" t="inlineStr">
        <is>
          <t>.</t>
        </is>
      </c>
      <c r="AK358" t="inlineStr">
        <is>
          <t>.</t>
        </is>
      </c>
      <c r="AL358" t="inlineStr">
        <is>
          <t>.</t>
        </is>
      </c>
    </row>
    <row r="359">
      <c r="A359" t="inlineStr"/>
      <c r="B359">
        <f>HYPERLINK("https://genome.ucsc.edu/cgi-bin/hgTracks?db=hg19&amp;position=chr14%3A81557384%2D81557384", "chr14:81557384")</f>
        <v/>
      </c>
      <c r="C359" t="inlineStr">
        <is>
          <t>chr14</t>
        </is>
      </c>
      <c r="D359" t="n">
        <v>81557384</v>
      </c>
      <c r="E359" t="n">
        <v>81557384</v>
      </c>
      <c r="F359" t="inlineStr">
        <is>
          <t>T</t>
        </is>
      </c>
      <c r="G359" t="inlineStr">
        <is>
          <t>-</t>
        </is>
      </c>
      <c r="H359" t="inlineStr">
        <is>
          <t>844.60</t>
        </is>
      </c>
      <c r="I359" t="inlineStr">
        <is>
          <t>74</t>
        </is>
      </c>
      <c r="J359" t="inlineStr">
        <is>
          <t>39,35</t>
        </is>
      </c>
      <c r="K359" t="inlineStr">
        <is>
          <t>.</t>
        </is>
      </c>
      <c r="L359">
        <f>HYPERLINK("https://www.ncbi.nlm.nih.gov/snp/rs773639981", "rs773639981")</f>
        <v/>
      </c>
      <c r="M359">
        <f>HYPERLINK("https://www.genecards.org/Search/Keyword?queryString=%5Baliases%5D(%20TSHR%20)&amp;keywords=TSHR", "TSHR")</f>
        <v/>
      </c>
      <c r="N359" t="inlineStr">
        <is>
          <t>intronic;ncRNA_intronic</t>
        </is>
      </c>
      <c r="O359" t="inlineStr">
        <is>
          <t>.</t>
        </is>
      </c>
      <c r="P359" t="inlineStr">
        <is>
          <t>.</t>
        </is>
      </c>
      <c r="Q359" t="n">
        <v>6.5e-06</v>
      </c>
      <c r="R359" t="n">
        <v>-1</v>
      </c>
      <c r="S359" t="n">
        <v>-1</v>
      </c>
      <c r="T359" t="n">
        <v>-1</v>
      </c>
      <c r="U359" t="n">
        <v>-1</v>
      </c>
      <c r="V359" t="inlineStr">
        <is>
          <t>.</t>
        </is>
      </c>
      <c r="W359" t="inlineStr">
        <is>
          <t>.</t>
        </is>
      </c>
      <c r="X359" t="inlineStr">
        <is>
          <t>.</t>
        </is>
      </c>
      <c r="Y359" t="inlineStr">
        <is>
          <t>.</t>
        </is>
      </c>
      <c r="Z359" t="inlineStr">
        <is>
          <t>.</t>
        </is>
      </c>
      <c r="AA359" t="inlineStr">
        <is>
          <t>.</t>
        </is>
      </c>
      <c r="AB359" t="inlineStr">
        <is>
          <t>.</t>
        </is>
      </c>
      <c r="AC359" t="inlineStr">
        <is>
          <t>0/1</t>
        </is>
      </c>
      <c r="AD359" t="inlineStr">
        <is>
          <t>1</t>
        </is>
      </c>
      <c r="AE359" t="inlineStr">
        <is>
          <t>5.80341698067131e-06</t>
        </is>
      </c>
      <c r="AF359" t="inlineStr">
        <is>
          <t>thyroid stimulating hormone receptor</t>
        </is>
      </c>
      <c r="AG359" t="inlineStr">
        <is>
          <t xml:space="preserve">FUNCTION: Receptor for thyrothropin. Plays a central role in controlling thyroid cell metabolism. The activity of this receptor is mediated by G proteins which activate adenylate cyclase. Also acts as a receptor for thyrostimulin (GPA2+GPB5). {ECO:0000269|PubMed:12045258}.; </t>
        </is>
      </c>
      <c r="AH359" t="inlineStr">
        <is>
          <t xml:space="preserve">DISEASE: Note=Defects in TSHR are found in patients affected by hyperthyroidism with different etiologies. Somatic, constitutively activating TSHR mutations and/or constitutively activating G(s)alpha mutations have been identified in toxic thyroid nodules (TTNs) that are the predominant cause of hyperthyroidism in iodine deficient areas. These mutations lead to TSH independent activation of the cAMP cascade resulting in thyroid growth and hormone production. TSHR mutations are found in autonomously functioning thyroid nodules (AFTN), toxic multinodular goiter (TMNG) and hyperfunctioning thyroid adenomas (HTA). TMNG encompasses a spectrum of different clinical entities, ranging from a single hyperfunctioning nodule within an enlarged thyroid, to multiple hyperfunctioning areas scattered throughout the gland. HTA are discrete encapsulated neoplasms characterized by TSH- independent autonomous growth, hypersecretion of thyroid hormones, and TSH suppression. Defects in TSHR are also a cause of thyroid neoplasms (papillary and follicular cancers).; DISEASE: Note=Autoantibodies against TSHR are directly responsible for the pathogenesis and hyperthyroidism of Graves disease. Antibody interaction with TSHR results in an uncontrolled receptor stimulation.; DISEASE: Hypothyroidism, congenital, non-goitrous, 1 (CHNG1) [MIM:275200]: A non-autoimmune condition characterized by resistance to thyroid-stimulating hormone (TSH) leading to increased levels of plasma TSH and low levels of thyroid hormone. It presents variable severity depending on the completeness of the defect. Most patients are euthyroid and asymptomatic, with a normal sized thyroid gland. Only a subset of patients develop hypothyroidism and present a hypoplastic thyroid gland. {ECO:0000269|PubMed:10720030, ECO:0000269|PubMed:11095460, ECO:0000269|PubMed:11442002, ECO:0000269|PubMed:12050212, ECO:0000269|PubMed:14725684, ECO:0000269|PubMed:15531543, ECO:0000269|PubMed:7528344, ECO:0000269|PubMed:8954020, ECO:0000269|PubMed:9100579, ECO:0000269|PubMed:9185526, ECO:0000269|PubMed:9329388}. Note=The disease is caused by mutations affecting the gene represented in this entry.; DISEASE: Familial gestational hyperthyroidism (HTFG) [MIM:603373]: A condition characterized by abnormally high levels of serum thyroid hormones occurring during early pregnancy. {ECO:0000269|PubMed:9854118}. Note=The disease is caused by mutations affecting the gene represented in this entry.; DISEASE: Hyperthyroidism, non-autoimmune (HTNA) [MIM:609152]: A condition characterized by abnormally high levels of serum thyroid hormones, thyroid hyperplasia, goiter and lack of anti-thyroid antibodies. Typical features of Graves disease such as exophthalmia, myxedema, antibodies anti-TSH receptor and lymphocytic infiltration of the thyroid gland are absent. {ECO:0000269|PubMed:10199795, ECO:0000269|PubMed:10852462, ECO:0000269|PubMed:11081252, ECO:0000269|PubMed:11127522, ECO:0000269|PubMed:11201847, ECO:0000269|PubMed:11517004, ECO:0000269|PubMed:11549687, ECO:0000269|PubMed:15163335, ECO:0000269|PubMed:7800007, ECO:0000269|PubMed:7920658, ECO:0000269|PubMed:8636266, ECO:0000269|PubMed:8964822, ECO:0000269|PubMed:9349581, ECO:0000269|PubMed:9360555, ECO:0000269|PubMed:9398746, ECO:0000269|PubMed:9589634}. Note=The disease is caused by mutations affecting the gene represented in this entry.; </t>
        </is>
      </c>
      <c r="AI359" t="inlineStr">
        <is>
          <t>.</t>
        </is>
      </c>
      <c r="AJ359" t="inlineStr">
        <is>
          <t>.</t>
        </is>
      </c>
      <c r="AK359" t="inlineStr">
        <is>
          <t>.</t>
        </is>
      </c>
      <c r="AL359" t="inlineStr">
        <is>
          <t>.</t>
        </is>
      </c>
    </row>
    <row r="360">
      <c r="A360" t="inlineStr"/>
      <c r="B360">
        <f>HYPERLINK("https://genome.ucsc.edu/cgi-bin/hgTracks?db=hg19&amp;position=chr14%3A91755625%2D91755625", "chr14:91755625")</f>
        <v/>
      </c>
      <c r="C360" t="inlineStr">
        <is>
          <t>chr14</t>
        </is>
      </c>
      <c r="D360" t="n">
        <v>91755625</v>
      </c>
      <c r="E360" t="n">
        <v>91755625</v>
      </c>
      <c r="F360" t="inlineStr">
        <is>
          <t>G</t>
        </is>
      </c>
      <c r="G360" t="inlineStr">
        <is>
          <t>A</t>
        </is>
      </c>
      <c r="H360" t="inlineStr">
        <is>
          <t>2572.06</t>
        </is>
      </c>
      <c r="I360" t="inlineStr">
        <is>
          <t>89</t>
        </is>
      </c>
      <c r="J360" t="inlineStr">
        <is>
          <t>1,88</t>
        </is>
      </c>
      <c r="K360" t="inlineStr">
        <is>
          <t>.</t>
        </is>
      </c>
      <c r="L360">
        <f>HYPERLINK("https://www.ncbi.nlm.nih.gov/snp/rs202217944", "rs202217944")</f>
        <v/>
      </c>
      <c r="M360">
        <f>HYPERLINK("https://www.genecards.org/Search/Keyword?queryString=%5Baliases%5D(%20CCDC88C%20)&amp;keywords=CCDC88C", "CCDC88C")</f>
        <v/>
      </c>
      <c r="N360" t="inlineStr">
        <is>
          <t>exonic</t>
        </is>
      </c>
      <c r="O360" t="inlineStr">
        <is>
          <t>nonsynonymous SNV</t>
        </is>
      </c>
      <c r="P360" t="inlineStr">
        <is>
          <t>CCDC88C:NM_001080414:exon25:c.C4265T:p.S1422L;CCDC88C:uc010aty.3:exon25:c.C4265T:p.S1422L;CCDC88C:ENST00000389857.11_5:exon25:c.C4265T:p.S1422L</t>
        </is>
      </c>
      <c r="Q360" t="n">
        <v>0.008621</v>
      </c>
      <c r="R360" t="n">
        <v>0.0057</v>
      </c>
      <c r="S360" t="n">
        <v>0.0047</v>
      </c>
      <c r="T360" t="n">
        <v>-1</v>
      </c>
      <c r="U360" t="n">
        <v>0.0058</v>
      </c>
      <c r="V360" t="inlineStr">
        <is>
          <t>6/10</t>
        </is>
      </c>
      <c r="W360" t="inlineStr">
        <is>
          <t>.</t>
        </is>
      </c>
      <c r="X360" t="inlineStr">
        <is>
          <t>.</t>
        </is>
      </c>
      <c r="Y360" t="inlineStr">
        <is>
          <t>.</t>
        </is>
      </c>
      <c r="Z360" t="inlineStr">
        <is>
          <t>4/7</t>
        </is>
      </c>
      <c r="AA360" t="inlineStr">
        <is>
          <t>Uncertain significance</t>
        </is>
      </c>
      <c r="AB360" t="inlineStr">
        <is>
          <t>Conflicting_interpretations_of_pathogenicity</t>
        </is>
      </c>
      <c r="AC360" t="inlineStr">
        <is>
          <t>HOMO</t>
        </is>
      </c>
      <c r="AD360" t="inlineStr">
        <is>
          <t>1</t>
        </is>
      </c>
      <c r="AE360" t="inlineStr">
        <is>
          <t>2.17322769994979e-06</t>
        </is>
      </c>
      <c r="AF360" t="inlineStr">
        <is>
          <t>coiled-coil domain containing 88C</t>
        </is>
      </c>
      <c r="AG360" t="inlineStr">
        <is>
          <t xml:space="preserve">FUNCTION: Negative regulator of the canonical Wnt signaling pathway, acting downstream of DVL to inhibit CTNNB1/Beta-catenin stabilization (By similarity). May also activate the JNK signaling pathway (PubMed:25062847). {ECO:0000250|UniProtKB:Q6VGS5, ECO:0000269|PubMed:25062847}.; </t>
        </is>
      </c>
      <c r="AH360" t="inlineStr">
        <is>
          <t xml:space="preserve">DISEASE: Hydrocephalus, non-syndromic, autosomal recessive 1 (HYC1) [MIM:236600]: A disease characterized by a disturbance of cerebrospinal fluid circulation causing accumulation of ventricular cerebrospinal fluid, which results in progressive ventricular dilatation with onset in utero. Affected individuals may have neurologic impairment. {ECO:0000269|PubMed:21031079, ECO:0000269|PubMed:23042809}. Note=The disease is caused by mutations affecting the gene represented in this entry.; DISEASE: Spinocerebellar ataxia 40 (SCA40) [MIM:616053]: A form of spinocerebellar ataxia, a clinically and genetically heterogeneous group of cerebellar disorders. Patients show progressive incoordination of gait and often poor coordination of hands, speech and eye movements, due to degeneration of the cerebellum with variable involvement of the brainstem and spinal cord. SCA38 is an autosomal dominant form characterized by adult-onset of slowly progressive gait ataxia accompanied by nystagmus. Brain MRI shows cerebellar atrophy. {ECO:0000269|PubMed:25062847}. Note=The disease is caused by mutations affecting the gene represented in this entry.; </t>
        </is>
      </c>
      <c r="AI360" t="inlineStr">
        <is>
          <t>.</t>
        </is>
      </c>
      <c r="AJ360" t="inlineStr">
        <is>
          <t>.</t>
        </is>
      </c>
      <c r="AK360" t="inlineStr">
        <is>
          <t>.</t>
        </is>
      </c>
      <c r="AL360" t="inlineStr">
        <is>
          <t>.</t>
        </is>
      </c>
    </row>
    <row r="361">
      <c r="A361" t="inlineStr"/>
      <c r="B361">
        <f>HYPERLINK("https://genome.ucsc.edu/cgi-bin/hgTracks?db=hg19&amp;position=chr14%3A95660778%2D95660778", "chr14:95660778")</f>
        <v/>
      </c>
      <c r="C361" t="inlineStr">
        <is>
          <t>chr14</t>
        </is>
      </c>
      <c r="D361" t="n">
        <v>95660778</v>
      </c>
      <c r="E361" t="n">
        <v>95660778</v>
      </c>
      <c r="F361" t="inlineStr">
        <is>
          <t>C</t>
        </is>
      </c>
      <c r="G361" t="inlineStr">
        <is>
          <t>T</t>
        </is>
      </c>
      <c r="H361" t="inlineStr">
        <is>
          <t>338.64</t>
        </is>
      </c>
      <c r="I361" t="inlineStr">
        <is>
          <t>29</t>
        </is>
      </c>
      <c r="J361" t="inlineStr">
        <is>
          <t>16,13</t>
        </is>
      </c>
      <c r="K361" t="inlineStr">
        <is>
          <t>.</t>
        </is>
      </c>
      <c r="L361" t="inlineStr">
        <is>
          <t>.</t>
        </is>
      </c>
      <c r="M361">
        <f>HYPERLINK("https://www.genecards.org/Search/Keyword?queryString=%5Baliases%5D(%20CLMN%20)&amp;keywords=CLMN", "CLMN")</f>
        <v/>
      </c>
      <c r="N361" t="inlineStr">
        <is>
          <t>intronic</t>
        </is>
      </c>
      <c r="O361" t="inlineStr">
        <is>
          <t>.</t>
        </is>
      </c>
      <c r="P361" t="inlineStr">
        <is>
          <t>.</t>
        </is>
      </c>
      <c r="Q361" t="n">
        <v>-1</v>
      </c>
      <c r="R361" t="n">
        <v>-1</v>
      </c>
      <c r="S361" t="n">
        <v>-1</v>
      </c>
      <c r="T361" t="n">
        <v>-1</v>
      </c>
      <c r="U361" t="n">
        <v>-1</v>
      </c>
      <c r="V361" t="inlineStr">
        <is>
          <t>.</t>
        </is>
      </c>
      <c r="W361" t="inlineStr">
        <is>
          <t>.</t>
        </is>
      </c>
      <c r="X361" t="inlineStr">
        <is>
          <t>PD</t>
        </is>
      </c>
      <c r="Y361" t="inlineStr">
        <is>
          <t>off</t>
        </is>
      </c>
      <c r="Z361" t="inlineStr">
        <is>
          <t>.</t>
        </is>
      </c>
      <c r="AA361" t="inlineStr">
        <is>
          <t>.</t>
        </is>
      </c>
      <c r="AB361" t="inlineStr">
        <is>
          <t>.</t>
        </is>
      </c>
      <c r="AC361" t="inlineStr">
        <is>
          <t>0/1</t>
        </is>
      </c>
      <c r="AD361" t="inlineStr">
        <is>
          <t>1</t>
        </is>
      </c>
      <c r="AE361" t="inlineStr">
        <is>
          <t>2.06352661935763e-07</t>
        </is>
      </c>
      <c r="AF361" t="inlineStr">
        <is>
          <t>calmin (calponin-like, transmembrane)</t>
        </is>
      </c>
      <c r="AG361" t="inlineStr">
        <is>
          <t>.</t>
        </is>
      </c>
      <c r="AH361" t="inlineStr">
        <is>
          <t>.</t>
        </is>
      </c>
      <c r="AI361" t="inlineStr">
        <is>
          <t>.</t>
        </is>
      </c>
      <c r="AJ361" t="inlineStr">
        <is>
          <t>.</t>
        </is>
      </c>
      <c r="AK361" t="inlineStr">
        <is>
          <t>.</t>
        </is>
      </c>
      <c r="AL361" t="inlineStr">
        <is>
          <t>.</t>
        </is>
      </c>
    </row>
    <row r="362">
      <c r="A362" t="inlineStr"/>
      <c r="B362">
        <f>HYPERLINK("https://genome.ucsc.edu/cgi-bin/hgTracks?db=hg19&amp;position=chr14%3A105349756%2D105349756", "chr14:105349756")</f>
        <v/>
      </c>
      <c r="C362" t="inlineStr">
        <is>
          <t>chr14</t>
        </is>
      </c>
      <c r="D362" t="n">
        <v>105349756</v>
      </c>
      <c r="E362" t="n">
        <v>105349756</v>
      </c>
      <c r="F362" t="inlineStr">
        <is>
          <t>-</t>
        </is>
      </c>
      <c r="G362" t="inlineStr">
        <is>
          <t>T</t>
        </is>
      </c>
      <c r="H362" t="inlineStr">
        <is>
          <t>1947.03</t>
        </is>
      </c>
      <c r="I362" t="inlineStr">
        <is>
          <t>53</t>
        </is>
      </c>
      <c r="J362" t="inlineStr">
        <is>
          <t>0,53</t>
        </is>
      </c>
      <c r="K362" t="inlineStr">
        <is>
          <t>.</t>
        </is>
      </c>
      <c r="L362" t="inlineStr">
        <is>
          <t>.</t>
        </is>
      </c>
      <c r="M362">
        <f>HYPERLINK("https://www.genecards.org/Search/Keyword?queryString=%5Baliases%5D(%20CEP170B%20)&amp;keywords=CEP170B", "CEP170B")</f>
        <v/>
      </c>
      <c r="N362" t="inlineStr">
        <is>
          <t>exonic</t>
        </is>
      </c>
      <c r="O362" t="inlineStr">
        <is>
          <t>stopgain</t>
        </is>
      </c>
      <c r="P362" t="inlineStr">
        <is>
          <t>CEP170B:NM_015005:exon7:c.753dupT:p.D252*,CEP170B:NM_001112726:exon8:c.963dupT:p.D322*;CEP170B:uc001yps.3:exon7:c.753dupT:p.D252*,CEP170B:uc010axb.4:exon8:c.963dupT:p.D322*;CEP170B:ENST00000556508.5_2:exon7:c.753dupT:p.D252*,CEP170B:ENST00000414716.8_4:exon8:c.963dupT:p.D322*</t>
        </is>
      </c>
      <c r="Q362" t="n">
        <v>-1</v>
      </c>
      <c r="R362" t="n">
        <v>-1</v>
      </c>
      <c r="S362" t="n">
        <v>-1</v>
      </c>
      <c r="T362" t="n">
        <v>-1</v>
      </c>
      <c r="U362" t="n">
        <v>-1</v>
      </c>
      <c r="V362" t="inlineStr">
        <is>
          <t>.</t>
        </is>
      </c>
      <c r="W362" t="inlineStr">
        <is>
          <t>.</t>
        </is>
      </c>
      <c r="X362" t="inlineStr">
        <is>
          <t>.</t>
        </is>
      </c>
      <c r="Y362" t="inlineStr">
        <is>
          <t>.</t>
        </is>
      </c>
      <c r="Z362" t="inlineStr">
        <is>
          <t>.</t>
        </is>
      </c>
      <c r="AA362" t="inlineStr">
        <is>
          <t>.</t>
        </is>
      </c>
      <c r="AB362" t="inlineStr">
        <is>
          <t>.</t>
        </is>
      </c>
      <c r="AC362" t="inlineStr">
        <is>
          <t>HOMO</t>
        </is>
      </c>
      <c r="AD362" t="inlineStr">
        <is>
          <t>1</t>
        </is>
      </c>
      <c r="AE362" t="inlineStr">
        <is>
          <t>0.870509859679243</t>
        </is>
      </c>
      <c r="AF362" t="inlineStr">
        <is>
          <t>centrosomal protein 170B</t>
        </is>
      </c>
      <c r="AG362" t="inlineStr">
        <is>
          <t xml:space="preserve">FUNCTION: Plays a role in microtubule organization. {ECO:0000250}.; </t>
        </is>
      </c>
      <c r="AH362" t="inlineStr">
        <is>
          <t>.</t>
        </is>
      </c>
      <c r="AI362" t="inlineStr">
        <is>
          <t>.</t>
        </is>
      </c>
      <c r="AJ362" t="inlineStr">
        <is>
          <t>.</t>
        </is>
      </c>
      <c r="AK362" t="inlineStr">
        <is>
          <t>.</t>
        </is>
      </c>
      <c r="AL362" t="inlineStr">
        <is>
          <t>.</t>
        </is>
      </c>
    </row>
    <row r="363">
      <c r="A363" t="inlineStr"/>
      <c r="B363">
        <f>HYPERLINK("https://genome.ucsc.edu/cgi-bin/hgTracks?db=hg19&amp;position=chr15%3A23685225%2D23685225", "chr15:23685225")</f>
        <v/>
      </c>
      <c r="C363" t="inlineStr">
        <is>
          <t>chr15</t>
        </is>
      </c>
      <c r="D363" t="n">
        <v>23685225</v>
      </c>
      <c r="E363" t="n">
        <v>23685225</v>
      </c>
      <c r="F363" t="inlineStr">
        <is>
          <t>-</t>
        </is>
      </c>
      <c r="G363" t="inlineStr">
        <is>
          <t>G</t>
        </is>
      </c>
      <c r="H363" t="inlineStr">
        <is>
          <t>119.60</t>
        </is>
      </c>
      <c r="I363" t="inlineStr">
        <is>
          <t>6</t>
        </is>
      </c>
      <c r="J363" t="inlineStr">
        <is>
          <t>2,4</t>
        </is>
      </c>
      <c r="K363" t="inlineStr">
        <is>
          <t>.</t>
        </is>
      </c>
      <c r="L363">
        <f>HYPERLINK("https://www.ncbi.nlm.nih.gov/snp/rs765480707", "rs765480707")</f>
        <v/>
      </c>
      <c r="M363">
        <f>HYPERLINK("https://www.genecards.org/Search/Keyword?queryString=%5Baliases%5D(%20GOLGA6L2%20)&amp;keywords=GOLGA6L2", "GOLGA6L2")</f>
        <v/>
      </c>
      <c r="N363" t="inlineStr">
        <is>
          <t>downstream;exonic;upstream</t>
        </is>
      </c>
      <c r="O363" t="inlineStr">
        <is>
          <t>frameshift insertion</t>
        </is>
      </c>
      <c r="P363" t="inlineStr">
        <is>
          <t>GOLGA6L2:NM_001304388:exon8:c.2396dupC:p.G800Rfs*113;dist=18;dist=796;GOLGA6L2:ENST00000567107.6_9:exon8:c.2396dupC:p.G800Rfs*113</t>
        </is>
      </c>
      <c r="Q363" t="n">
        <v>0.0282</v>
      </c>
      <c r="R363" t="n">
        <v>0.0074</v>
      </c>
      <c r="S363" t="n">
        <v>0.0049</v>
      </c>
      <c r="T363" t="n">
        <v>-1</v>
      </c>
      <c r="U363" t="n">
        <v>0.0128</v>
      </c>
      <c r="V363" t="inlineStr">
        <is>
          <t>.</t>
        </is>
      </c>
      <c r="W363" t="inlineStr">
        <is>
          <t>.</t>
        </is>
      </c>
      <c r="X363" t="inlineStr">
        <is>
          <t>.</t>
        </is>
      </c>
      <c r="Y363" t="inlineStr">
        <is>
          <t>.</t>
        </is>
      </c>
      <c r="Z363" t="inlineStr">
        <is>
          <t>.</t>
        </is>
      </c>
      <c r="AA363" t="inlineStr">
        <is>
          <t>.</t>
        </is>
      </c>
      <c r="AB363" t="inlineStr">
        <is>
          <t>.</t>
        </is>
      </c>
      <c r="AC363" t="inlineStr">
        <is>
          <t>.</t>
        </is>
      </c>
      <c r="AD363" t="inlineStr">
        <is>
          <t>2</t>
        </is>
      </c>
      <c r="AE363" t="inlineStr">
        <is>
          <t>8.97094503942648e-06</t>
        </is>
      </c>
      <c r="AF363" t="inlineStr">
        <is>
          <t>golgin A6 family-like 2</t>
        </is>
      </c>
      <c r="AG363" t="inlineStr">
        <is>
          <t>.</t>
        </is>
      </c>
      <c r="AH363" t="inlineStr">
        <is>
          <t>.</t>
        </is>
      </c>
      <c r="AI363" t="inlineStr">
        <is>
          <t>GenotypeConflict</t>
        </is>
      </c>
      <c r="AJ363" t="inlineStr">
        <is>
          <t>.</t>
        </is>
      </c>
      <c r="AK363" t="inlineStr">
        <is>
          <t>.</t>
        </is>
      </c>
      <c r="AL363" t="inlineStr">
        <is>
          <t>.</t>
        </is>
      </c>
    </row>
    <row r="364">
      <c r="A364" t="inlineStr"/>
      <c r="B364">
        <f>HYPERLINK("https://genome.ucsc.edu/cgi-bin/hgTracks?db=hg19&amp;position=chr15%3A23686163%2D23686163", "chr15:23686163")</f>
        <v/>
      </c>
      <c r="C364" t="inlineStr">
        <is>
          <t>chr15</t>
        </is>
      </c>
      <c r="D364" t="n">
        <v>23686163</v>
      </c>
      <c r="E364" t="n">
        <v>23686163</v>
      </c>
      <c r="F364" t="inlineStr">
        <is>
          <t>C</t>
        </is>
      </c>
      <c r="G364" t="inlineStr">
        <is>
          <t>T</t>
        </is>
      </c>
      <c r="H364" t="inlineStr">
        <is>
          <t>171.64</t>
        </is>
      </c>
      <c r="I364" t="inlineStr">
        <is>
          <t>135</t>
        </is>
      </c>
      <c r="J364" t="inlineStr">
        <is>
          <t>122,13</t>
        </is>
      </c>
      <c r="K364" t="inlineStr">
        <is>
          <t>.</t>
        </is>
      </c>
      <c r="L364">
        <f>HYPERLINK("https://www.ncbi.nlm.nih.gov/snp/rs74565846", "rs74565846")</f>
        <v/>
      </c>
      <c r="M364">
        <f>HYPERLINK("https://www.genecards.org/Search/Keyword?queryString=%5Baliases%5D(%20GOLGA6L2%20)&amp;keywords=GOLGA6L2", "GOLGA6L2")</f>
        <v/>
      </c>
      <c r="N364" t="inlineStr">
        <is>
          <t>exonic</t>
        </is>
      </c>
      <c r="O364" t="inlineStr">
        <is>
          <t>nonsynonymous SNV</t>
        </is>
      </c>
      <c r="P364" t="inlineStr">
        <is>
          <t>GOLGA6L2:NM_001304388:exon8:c.G1459A:p.E487K;GOLGA6L2:uc021sfy.1:exon8:c.G1423A:p.E475K;GOLGA6L2:ENST00000567107.6_9:exon8:c.G1459A:p.E487K</t>
        </is>
      </c>
      <c r="Q364" t="n">
        <v>0.01</v>
      </c>
      <c r="R364" t="n">
        <v>0.0008</v>
      </c>
      <c r="S364" t="n">
        <v>0.0005999999999999999</v>
      </c>
      <c r="T364" t="n">
        <v>-1</v>
      </c>
      <c r="U364" t="n">
        <v>0.0014</v>
      </c>
      <c r="V364" t="inlineStr">
        <is>
          <t>3/10</t>
        </is>
      </c>
      <c r="W364" t="inlineStr">
        <is>
          <t>.</t>
        </is>
      </c>
      <c r="X364" t="inlineStr">
        <is>
          <t>.</t>
        </is>
      </c>
      <c r="Y364" t="inlineStr">
        <is>
          <t>.</t>
        </is>
      </c>
      <c r="Z364" t="inlineStr">
        <is>
          <t>0/5</t>
        </is>
      </c>
      <c r="AA364" t="inlineStr">
        <is>
          <t>Uncertain significance</t>
        </is>
      </c>
      <c r="AB364" t="inlineStr">
        <is>
          <t>.</t>
        </is>
      </c>
      <c r="AC364" t="inlineStr">
        <is>
          <t>.</t>
        </is>
      </c>
      <c r="AD364" t="inlineStr">
        <is>
          <t>2</t>
        </is>
      </c>
      <c r="AE364" t="inlineStr">
        <is>
          <t>8.97094503942648e-06</t>
        </is>
      </c>
      <c r="AF364" t="inlineStr">
        <is>
          <t>golgin A6 family-like 2</t>
        </is>
      </c>
      <c r="AG364" t="inlineStr">
        <is>
          <t>.</t>
        </is>
      </c>
      <c r="AH364" t="inlineStr">
        <is>
          <t>.</t>
        </is>
      </c>
      <c r="AI364" t="inlineStr">
        <is>
          <t>GenotypeConflict</t>
        </is>
      </c>
      <c r="AJ364" t="inlineStr">
        <is>
          <t>.</t>
        </is>
      </c>
      <c r="AK364" t="inlineStr">
        <is>
          <t>.</t>
        </is>
      </c>
      <c r="AL364" t="inlineStr">
        <is>
          <t>.</t>
        </is>
      </c>
    </row>
    <row r="365">
      <c r="A365" t="inlineStr"/>
      <c r="B365">
        <f>HYPERLINK("https://genome.ucsc.edu/cgi-bin/hgTracks?db=hg19&amp;position=chr15%3A28510644%2D28510644", "chr15:28510644")</f>
        <v/>
      </c>
      <c r="C365" t="inlineStr">
        <is>
          <t>chr15</t>
        </is>
      </c>
      <c r="D365" t="n">
        <v>28510644</v>
      </c>
      <c r="E365" t="n">
        <v>28510644</v>
      </c>
      <c r="F365" t="inlineStr">
        <is>
          <t>A</t>
        </is>
      </c>
      <c r="G365" t="inlineStr">
        <is>
          <t>T</t>
        </is>
      </c>
      <c r="H365" t="inlineStr">
        <is>
          <t>47.64</t>
        </is>
      </c>
      <c r="I365" t="inlineStr">
        <is>
          <t>9</t>
        </is>
      </c>
      <c r="J365" t="inlineStr">
        <is>
          <t>7,2</t>
        </is>
      </c>
      <c r="K365" t="inlineStr">
        <is>
          <t>.</t>
        </is>
      </c>
      <c r="L365" t="inlineStr">
        <is>
          <t>.</t>
        </is>
      </c>
      <c r="M365">
        <f>HYPERLINK("https://www.genecards.org/Search/Keyword?queryString=%5Baliases%5D(%20HERC2%20)&amp;keywords=HERC2", "HERC2")</f>
        <v/>
      </c>
      <c r="N365" t="inlineStr">
        <is>
          <t>intronic</t>
        </is>
      </c>
      <c r="O365" t="inlineStr">
        <is>
          <t>.</t>
        </is>
      </c>
      <c r="P365" t="inlineStr">
        <is>
          <t>.</t>
        </is>
      </c>
      <c r="Q365" t="n">
        <v>-1</v>
      </c>
      <c r="R365" t="n">
        <v>-1</v>
      </c>
      <c r="S365" t="n">
        <v>-1</v>
      </c>
      <c r="T365" t="n">
        <v>-1</v>
      </c>
      <c r="U365" t="n">
        <v>-1</v>
      </c>
      <c r="V365" t="inlineStr">
        <is>
          <t>.</t>
        </is>
      </c>
      <c r="W365" t="inlineStr">
        <is>
          <t>.</t>
        </is>
      </c>
      <c r="X365" t="inlineStr">
        <is>
          <t>PD</t>
        </is>
      </c>
      <c r="Y365" t="inlineStr">
        <is>
          <t>off</t>
        </is>
      </c>
      <c r="Z365" t="inlineStr">
        <is>
          <t>.</t>
        </is>
      </c>
      <c r="AA365" t="inlineStr">
        <is>
          <t>.</t>
        </is>
      </c>
      <c r="AB365" t="inlineStr">
        <is>
          <t>.</t>
        </is>
      </c>
      <c r="AC365" t="inlineStr">
        <is>
          <t>0/1</t>
        </is>
      </c>
      <c r="AD365" t="inlineStr">
        <is>
          <t>1</t>
        </is>
      </c>
      <c r="AE365" t="inlineStr">
        <is>
          <t>1</t>
        </is>
      </c>
      <c r="AF365" t="inlineStr">
        <is>
          <t>HECT and RLD domain containing E3 ubiquitin protein ligase 2</t>
        </is>
      </c>
      <c r="AG365" t="inlineStr">
        <is>
          <t xml:space="preserve">FUNCTION: E3 ubiquitin-protein ligase that regulates ubiquitin- dependent retention of repair proteins on damaged chromosomes. Recruited to sites of DNA damage in response to ionizing radiation (IR) and facilitates the assembly of UBE2N and RNF8 promoting DNA damage-induced formation of 'Lys-63'-linked ubiquitin chains. Acts as a mediator of binding specificity between UBE2N and RNF8. Involved in the maintenance of RNF168 levels. E3 ubiquitin-protein ligase that promotes the ubiquitination and proteasomal degradation of XPA which influences the circadian oscillation of DNA excision repair activity. {ECO:0000269|PubMed:20023648, ECO:0000269|PubMed:20304803, ECO:0000269|PubMed:22508508}.; </t>
        </is>
      </c>
      <c r="AH365" t="inlineStr">
        <is>
          <t xml:space="preserve">DISEASE: Mental retardation, autosomal recessive 38 (MRT38) [MIM:615516]: A disorder characterized by significantly below average general intellectual functioning associated with impairments in adaptive behavior and manifested during the developmental period. MRT38 is characterized by global developmental delay affecting motor, speech, adaptive, and social development. Patients manifest autistic features, aggression, self-injury, impulsivity, and distractibility. {ECO:0000269|PubMed:23065719}. Note=The disease is caused by mutations affecting the gene represented in this entry.; </t>
        </is>
      </c>
      <c r="AI365" t="inlineStr">
        <is>
          <t>.</t>
        </is>
      </c>
      <c r="AJ365" t="inlineStr">
        <is>
          <t>.</t>
        </is>
      </c>
      <c r="AK365" t="inlineStr">
        <is>
          <t>.</t>
        </is>
      </c>
      <c r="AL365" t="inlineStr">
        <is>
          <t>.</t>
        </is>
      </c>
    </row>
    <row r="366">
      <c r="A366" t="inlineStr"/>
      <c r="B366">
        <f>HYPERLINK("https://genome.ucsc.edu/cgi-bin/hgTracks?db=hg19&amp;position=chr15%3A33895325%2D33895325", "chr15:33895325")</f>
        <v/>
      </c>
      <c r="C366" t="inlineStr">
        <is>
          <t>chr15</t>
        </is>
      </c>
      <c r="D366" t="n">
        <v>33895325</v>
      </c>
      <c r="E366" t="n">
        <v>33895325</v>
      </c>
      <c r="F366" t="inlineStr">
        <is>
          <t>A</t>
        </is>
      </c>
      <c r="G366" t="inlineStr">
        <is>
          <t>G</t>
        </is>
      </c>
      <c r="H366" t="inlineStr">
        <is>
          <t>700.64</t>
        </is>
      </c>
      <c r="I366" t="inlineStr">
        <is>
          <t>91</t>
        </is>
      </c>
      <c r="J366" t="inlineStr">
        <is>
          <t>60,31</t>
        </is>
      </c>
      <c r="K366" t="inlineStr">
        <is>
          <t>.</t>
        </is>
      </c>
      <c r="L366">
        <f>HYPERLINK("https://www.ncbi.nlm.nih.gov/snp/rs146818373", "rs146818373")</f>
        <v/>
      </c>
      <c r="M366">
        <f>HYPERLINK("https://www.genecards.org/Search/Keyword?queryString=%5Baliases%5D(%20RYR3%20)&amp;keywords=RYR3", "RYR3")</f>
        <v/>
      </c>
      <c r="N366" t="inlineStr">
        <is>
          <t>exonic</t>
        </is>
      </c>
      <c r="O366" t="inlineStr">
        <is>
          <t>nonsynonymous SNV</t>
        </is>
      </c>
      <c r="P366" t="inlineStr">
        <is>
          <t>RYR3:NM_001036:exon18:c.A1924G:p.I642V,RYR3:NM_001243996:exon18:c.A1924G:p.I642V;RYR3:uc001zhi.3:exon18:c.A1924G:p.I642V,RYR3:uc010bar.3:exon18:c.A1924G:p.I642V;RYR3:ENST00000389232.9_2:exon18:c.A1924G:p.I642V,RYR3:ENST00000415757.7_5:exon18:c.A1924G:p.I642V,RYR3:ENST00000622037.1_1:exon18:c.A1924G:p.I642V,RYR3:ENST00000634418.1_4:exon18:c.A1924G:p.I642V,RYR3:ENST00000634891.2_8:exon18:c.A1924G:p.I642V</t>
        </is>
      </c>
      <c r="Q366" t="n">
        <v>6.488e-05</v>
      </c>
      <c r="R366" t="n">
        <v>-1</v>
      </c>
      <c r="S366" t="n">
        <v>7.352e-05</v>
      </c>
      <c r="T366" t="n">
        <v>-1</v>
      </c>
      <c r="U366" t="n">
        <v>-1</v>
      </c>
      <c r="V366" t="inlineStr">
        <is>
          <t>8/11</t>
        </is>
      </c>
      <c r="W366" t="inlineStr">
        <is>
          <t>T</t>
        </is>
      </c>
      <c r="X366" t="inlineStr">
        <is>
          <t>.</t>
        </is>
      </c>
      <c r="Y366" t="inlineStr">
        <is>
          <t>.</t>
        </is>
      </c>
      <c r="Z366" t="inlineStr">
        <is>
          <t>5/7</t>
        </is>
      </c>
      <c r="AA366" t="inlineStr">
        <is>
          <t>Uncertain significance</t>
        </is>
      </c>
      <c r="AB366" t="inlineStr">
        <is>
          <t>.</t>
        </is>
      </c>
      <c r="AC366" t="inlineStr">
        <is>
          <t>0/1</t>
        </is>
      </c>
      <c r="AD366" t="inlineStr">
        <is>
          <t>1</t>
        </is>
      </c>
      <c r="AE366" t="inlineStr">
        <is>
          <t>0.999999945238815</t>
        </is>
      </c>
      <c r="AF366" t="inlineStr">
        <is>
          <t>ryanodine receptor 3</t>
        </is>
      </c>
      <c r="AG366" t="inlineStr">
        <is>
          <t xml:space="preserve">FUNCTION: Calcium channel that mediates the release of Ca(2+) from the sarcoplasmic reticulum into the cytoplasm in muscle and thereby plays a role in triggering muscle contraction. May regulate Ca(2+) release by other calcium channels. Calcium channel that mediates Ca(2+)-induced Ca(2+) release from the endoplasmic reticulum in non-muscle cells. Contributes to cellular calcium ion homeostasis (By similarity). Plays a role in cellular calcium signaling. {ECO:0000250, ECO:0000269|PubMed:12354756}.; </t>
        </is>
      </c>
      <c r="AH366" t="inlineStr">
        <is>
          <t>.</t>
        </is>
      </c>
      <c r="AI366" t="inlineStr">
        <is>
          <t>.</t>
        </is>
      </c>
      <c r="AJ366" t="inlineStr">
        <is>
          <t>.</t>
        </is>
      </c>
      <c r="AK366" t="inlineStr">
        <is>
          <t>.</t>
        </is>
      </c>
      <c r="AL366" t="inlineStr">
        <is>
          <t>.</t>
        </is>
      </c>
    </row>
    <row r="367">
      <c r="A367" t="inlineStr"/>
      <c r="B367">
        <f>HYPERLINK("https://genome.ucsc.edu/cgi-bin/hgTracks?db=hg19&amp;position=chr15%3A41862801%2D41862801", "chr15:41862801")</f>
        <v/>
      </c>
      <c r="C367" t="inlineStr">
        <is>
          <t>chr15</t>
        </is>
      </c>
      <c r="D367" t="n">
        <v>41862801</v>
      </c>
      <c r="E367" t="n">
        <v>41862801</v>
      </c>
      <c r="F367" t="inlineStr">
        <is>
          <t>G</t>
        </is>
      </c>
      <c r="G367" t="inlineStr">
        <is>
          <t>T</t>
        </is>
      </c>
      <c r="H367" t="inlineStr">
        <is>
          <t>286.64</t>
        </is>
      </c>
      <c r="I367" t="inlineStr">
        <is>
          <t>117</t>
        </is>
      </c>
      <c r="J367" t="inlineStr">
        <is>
          <t>97,20</t>
        </is>
      </c>
      <c r="K367" t="inlineStr">
        <is>
          <t>.</t>
        </is>
      </c>
      <c r="L367">
        <f>HYPERLINK("https://www.ncbi.nlm.nih.gov/snp/rs200684350", "rs200684350")</f>
        <v/>
      </c>
      <c r="M367">
        <f>HYPERLINK("https://www.genecards.org/Search/Keyword?queryString=%5Baliases%5D(%20TYRO3%20)&amp;keywords=TYRO3", "TYRO3")</f>
        <v/>
      </c>
      <c r="N367" t="inlineStr">
        <is>
          <t>splicing</t>
        </is>
      </c>
      <c r="O367" t="inlineStr">
        <is>
          <t>.</t>
        </is>
      </c>
      <c r="P367" t="inlineStr">
        <is>
          <t>NM_006293:exon12:c.1484-1G&gt;T;NM_001330264:exon12:c.1349-1G&gt;T;uc001zof.2:exon12:c.1484-1G&gt;T;ENST00000559066.5_5:exon12:c.1349-1G&gt;T;ENST00000263798.8_9:exon12:c.1484-1G&gt;T</t>
        </is>
      </c>
      <c r="Q367" t="n">
        <v>0.025452</v>
      </c>
      <c r="R367" t="n">
        <v>-1</v>
      </c>
      <c r="S367" t="n">
        <v>-1</v>
      </c>
      <c r="T367" t="n">
        <v>-1</v>
      </c>
      <c r="U367" t="n">
        <v>-1</v>
      </c>
      <c r="V367" t="inlineStr">
        <is>
          <t>2/2</t>
        </is>
      </c>
      <c r="W367" t="inlineStr">
        <is>
          <t>D</t>
        </is>
      </c>
      <c r="X367" t="inlineStr">
        <is>
          <t>D</t>
        </is>
      </c>
      <c r="Y367" t="inlineStr">
        <is>
          <t>on</t>
        </is>
      </c>
      <c r="Z367" t="inlineStr">
        <is>
          <t>3/7</t>
        </is>
      </c>
      <c r="AA367" t="inlineStr">
        <is>
          <t>.</t>
        </is>
      </c>
      <c r="AB367" t="inlineStr">
        <is>
          <t>.</t>
        </is>
      </c>
      <c r="AC367" t="inlineStr">
        <is>
          <t>0/1</t>
        </is>
      </c>
      <c r="AD367" t="inlineStr">
        <is>
          <t>1</t>
        </is>
      </c>
      <c r="AE367" t="inlineStr">
        <is>
          <t>0.761822542682681</t>
        </is>
      </c>
      <c r="AF367" t="inlineStr">
        <is>
          <t>TYRO3 protein tyrosine kinase</t>
        </is>
      </c>
      <c r="AG367" t="inlineStr">
        <is>
          <t xml:space="preserve">FUNCTION: Receptor tyrosine kinase that transduces signals from the extracellular matrix into the cytoplasm by binding to several ligands including TULP1 or GAS6. Regulates many physiological processes including cell survival, migration and differentiation. Ligand binding at the cell surface induces dimerization and autophosphorylation of TYRO3 on its intracellular domain that provides docking sites for downstream signaling molecules. Following activation by ligand, interacts with PIK3R1 and thereby enhances PI3-kinase activity. Activates the AKT survival pathway, including nuclear translocation of NF-kappa-B and up-regulation of transcription of NF-kappa-B-regulated genes. TYRO3 signaling plays a role in various processes such as neuron protection from excitotoxic injury, platelet aggregation and cytoskeleton reorganization. Plays also an important role in inhibition of Toll-like receptors (TLRs)-mediated innate immune response by activating STAT1, which selectively induces production of suppressors of cytokine signaling SOCS1 and SOCS3. {ECO:0000269|PubMed:20546121}.; </t>
        </is>
      </c>
      <c r="AH367" t="inlineStr">
        <is>
          <t>.</t>
        </is>
      </c>
      <c r="AI367" t="inlineStr">
        <is>
          <t>.</t>
        </is>
      </c>
      <c r="AJ367" t="inlineStr">
        <is>
          <t>.</t>
        </is>
      </c>
      <c r="AK367" t="inlineStr">
        <is>
          <t>.</t>
        </is>
      </c>
      <c r="AL367" t="inlineStr">
        <is>
          <t>.</t>
        </is>
      </c>
    </row>
    <row r="368">
      <c r="A368" t="inlineStr"/>
      <c r="B368">
        <f>HYPERLINK("https://genome.ucsc.edu/cgi-bin/hgTracks?db=hg19&amp;position=chr15%3A43307782%2D43307782", "chr15:43307782")</f>
        <v/>
      </c>
      <c r="C368" t="inlineStr">
        <is>
          <t>chr15</t>
        </is>
      </c>
      <c r="D368" t="n">
        <v>43307782</v>
      </c>
      <c r="E368" t="n">
        <v>43307782</v>
      </c>
      <c r="F368" t="inlineStr">
        <is>
          <t>T</t>
        </is>
      </c>
      <c r="G368" t="inlineStr">
        <is>
          <t>C</t>
        </is>
      </c>
      <c r="H368" t="inlineStr">
        <is>
          <t>153.64</t>
        </is>
      </c>
      <c r="I368" t="inlineStr">
        <is>
          <t>7</t>
        </is>
      </c>
      <c r="J368" t="inlineStr">
        <is>
          <t>2,5</t>
        </is>
      </c>
      <c r="K368" t="inlineStr">
        <is>
          <t>.</t>
        </is>
      </c>
      <c r="L368" t="inlineStr">
        <is>
          <t>.</t>
        </is>
      </c>
      <c r="M368">
        <f>HYPERLINK("https://www.genecards.org/Search/Keyword?queryString=%5Baliases%5D(%20UBR1%20)&amp;keywords=UBR1", "UBR1")</f>
        <v/>
      </c>
      <c r="N368" t="inlineStr">
        <is>
          <t>intronic</t>
        </is>
      </c>
      <c r="O368" t="inlineStr">
        <is>
          <t>.</t>
        </is>
      </c>
      <c r="P368" t="inlineStr">
        <is>
          <t>.</t>
        </is>
      </c>
      <c r="Q368" t="n">
        <v>0.0005999999999999999</v>
      </c>
      <c r="R368" t="n">
        <v>0.0007</v>
      </c>
      <c r="S368" t="n">
        <v>0.0005999999999999999</v>
      </c>
      <c r="T368" t="n">
        <v>-1</v>
      </c>
      <c r="U368" t="n">
        <v>0.0011</v>
      </c>
      <c r="V368" t="inlineStr">
        <is>
          <t>.</t>
        </is>
      </c>
      <c r="W368" t="inlineStr">
        <is>
          <t>.</t>
        </is>
      </c>
      <c r="X368" t="inlineStr">
        <is>
          <t>PD</t>
        </is>
      </c>
      <c r="Y368" t="inlineStr">
        <is>
          <t>off</t>
        </is>
      </c>
      <c r="Z368" t="inlineStr">
        <is>
          <t>.</t>
        </is>
      </c>
      <c r="AA368" t="inlineStr">
        <is>
          <t>.</t>
        </is>
      </c>
      <c r="AB368" t="inlineStr">
        <is>
          <t>.</t>
        </is>
      </c>
      <c r="AC368" t="inlineStr">
        <is>
          <t>0/1</t>
        </is>
      </c>
      <c r="AD368" t="inlineStr">
        <is>
          <t>1</t>
        </is>
      </c>
      <c r="AE368" t="inlineStr">
        <is>
          <t>0.319889980799525</t>
        </is>
      </c>
      <c r="AF368" t="inlineStr">
        <is>
          <t>ubiquitin protein ligase E3 component n-recognin 1</t>
        </is>
      </c>
      <c r="AG368" t="inlineStr">
        <is>
          <t xml:space="preserve">FUNCTION: E3 ubiquitin-protein ligase which is a component of the N-end rule pathway. Recognizes and binds to proteins bearing specific N-terminal residues that are destabilizing according to the N-end rule, leading to their ubiquitination and subsequent degradation. May be involved in pancreatic homeostasis. Binds leucine and is a negative regulator of the leucine-mTOR signaling pathway, thereby controlling cell growth. {ECO:0000269|PubMed:15548684, ECO:0000269|PubMed:16311597, ECO:0000269|PubMed:20298436, ECO:0000269|PubMed:20835242}.; </t>
        </is>
      </c>
      <c r="AH368" t="inlineStr">
        <is>
          <t xml:space="preserve">DISEASE: Johanson-Blizzard syndrome (JBS) [MIM:243800]: This disorder includes congenital exocrine pancreatic insufficiency, multiple malformations such as nasal wing aplasia, and frequent mental retardation. Pancreas of individuals with JBS do not express UBR1 and show intrauterine-onset destructive pancreatitis. {ECO:0000269|PubMed:16311597}. Note=The disease is caused by mutations affecting the gene represented in this entry.; </t>
        </is>
      </c>
      <c r="AI368" t="inlineStr">
        <is>
          <t>.</t>
        </is>
      </c>
      <c r="AJ368" t="inlineStr">
        <is>
          <t>.</t>
        </is>
      </c>
      <c r="AK368" t="inlineStr">
        <is>
          <t>.</t>
        </is>
      </c>
      <c r="AL368" t="inlineStr">
        <is>
          <t>.</t>
        </is>
      </c>
    </row>
    <row r="369">
      <c r="A369" t="inlineStr"/>
      <c r="B369">
        <f>HYPERLINK("https://genome.ucsc.edu/cgi-bin/hgTracks?db=hg19&amp;position=chr15%3A51740980%2D51740980", "chr15:51740980")</f>
        <v/>
      </c>
      <c r="C369" t="inlineStr">
        <is>
          <t>chr15</t>
        </is>
      </c>
      <c r="D369" t="n">
        <v>51740980</v>
      </c>
      <c r="E369" t="n">
        <v>51740980</v>
      </c>
      <c r="F369" t="inlineStr">
        <is>
          <t>T</t>
        </is>
      </c>
      <c r="G369" t="inlineStr">
        <is>
          <t>-</t>
        </is>
      </c>
      <c r="H369" t="inlineStr">
        <is>
          <t>35.60</t>
        </is>
      </c>
      <c r="I369" t="inlineStr">
        <is>
          <t>6</t>
        </is>
      </c>
      <c r="J369" t="inlineStr">
        <is>
          <t>4,2</t>
        </is>
      </c>
      <c r="K369" t="inlineStr">
        <is>
          <t>.</t>
        </is>
      </c>
      <c r="L369" t="inlineStr">
        <is>
          <t>.</t>
        </is>
      </c>
      <c r="M369">
        <f>HYPERLINK("https://www.genecards.org/Search/Keyword?queryString=%5Baliases%5D(%20DMXL2%20)&amp;keywords=DMXL2", "DMXL2")</f>
        <v/>
      </c>
      <c r="N369" t="inlineStr">
        <is>
          <t>UTR3;ncRNA_intronic</t>
        </is>
      </c>
      <c r="O369" t="inlineStr">
        <is>
          <t>.</t>
        </is>
      </c>
      <c r="P369" t="inlineStr">
        <is>
          <t>NM_001378457:c.*201delA;NM_001378459:c.*201delA;NM_015263:c.*201delA;NM_001174116:c.*201delA;NM_001174117:c.*201delA;NM_001378460:c.*201delA;NM_001378458:c.*201delA;uc002abd.3:c.*201delA;uc002abf.3:c.*201delA;uc010ufy.2:c.*201delA;uc010bfa.3:c.*201delA</t>
        </is>
      </c>
      <c r="Q369" t="n">
        <v>-1</v>
      </c>
      <c r="R369" t="n">
        <v>-1</v>
      </c>
      <c r="S369" t="n">
        <v>-1</v>
      </c>
      <c r="T369" t="n">
        <v>-1</v>
      </c>
      <c r="U369" t="n">
        <v>-1</v>
      </c>
      <c r="V369" t="inlineStr">
        <is>
          <t>.</t>
        </is>
      </c>
      <c r="W369" t="inlineStr">
        <is>
          <t>.</t>
        </is>
      </c>
      <c r="X369" t="inlineStr">
        <is>
          <t>.</t>
        </is>
      </c>
      <c r="Y369" t="inlineStr">
        <is>
          <t>.</t>
        </is>
      </c>
      <c r="Z369" t="inlineStr">
        <is>
          <t>.</t>
        </is>
      </c>
      <c r="AA369" t="inlineStr">
        <is>
          <t>.</t>
        </is>
      </c>
      <c r="AB369" t="inlineStr">
        <is>
          <t>.</t>
        </is>
      </c>
      <c r="AC369" t="inlineStr">
        <is>
          <t>0/1</t>
        </is>
      </c>
      <c r="AD369" t="inlineStr">
        <is>
          <t>4</t>
        </is>
      </c>
      <c r="AE369" t="inlineStr">
        <is>
          <t>0.999999999395933</t>
        </is>
      </c>
      <c r="AF369" t="inlineStr">
        <is>
          <t>Dmx like 2</t>
        </is>
      </c>
      <c r="AG369" t="inlineStr">
        <is>
          <t xml:space="preserve">FUNCTION: May serve as a scaffold protein for MADD and RAB3GA on synaptic vesicles (PubMed:11809763). Plays a role in the brain as a key controller of neuronal and endocrine homeostatic processes (By similarity). {ECO:0000250|UniProtKB:Q8BPN8, ECO:0000269|PubMed:11809763}.; </t>
        </is>
      </c>
      <c r="AH369" t="inlineStr">
        <is>
          <t xml:space="preserve">DISEASE: Polyendocrine-polyneuropathy syndrome (PEPNS) [MIM:616113]: A progressive endocrine and neurodevelopmental disorder manifesting early in childhood with growth retardation and recurrent episodes of profound asymptomatic hypoglycemia. PEPNS is characterized by central hypothyroidism, hypogonadotropic hypogonadism, incomplete puberty, progressive non-autoimmune insulin-dependent diabetes mellitus, peripheral demyelinating sensorimotor polyneuropathy, and cerebellar and pyramidal signs. {ECO:0000269|PubMed:25248098}. Note=The disease is caused by mutations affecting the gene represented in this entry.; </t>
        </is>
      </c>
      <c r="AI369" t="inlineStr">
        <is>
          <t>.</t>
        </is>
      </c>
      <c r="AJ369" t="inlineStr">
        <is>
          <t>.</t>
        </is>
      </c>
      <c r="AK369" t="inlineStr">
        <is>
          <t>.</t>
        </is>
      </c>
      <c r="AL369" t="inlineStr">
        <is>
          <t>.</t>
        </is>
      </c>
    </row>
    <row r="370">
      <c r="A370" t="inlineStr"/>
      <c r="B370">
        <f>HYPERLINK("https://genome.ucsc.edu/cgi-bin/hgTracks?db=hg19&amp;position=chr15%3A51748994%2D51748994", "chr15:51748994")</f>
        <v/>
      </c>
      <c r="C370" t="inlineStr">
        <is>
          <t>chr15</t>
        </is>
      </c>
      <c r="D370" t="n">
        <v>51748994</v>
      </c>
      <c r="E370" t="n">
        <v>51748994</v>
      </c>
      <c r="F370" t="inlineStr">
        <is>
          <t>A</t>
        </is>
      </c>
      <c r="G370" t="inlineStr">
        <is>
          <t>T</t>
        </is>
      </c>
      <c r="H370" t="inlineStr">
        <is>
          <t>56.64</t>
        </is>
      </c>
      <c r="I370" t="inlineStr">
        <is>
          <t>6</t>
        </is>
      </c>
      <c r="J370" t="inlineStr">
        <is>
          <t>4,2</t>
        </is>
      </c>
      <c r="K370" t="inlineStr">
        <is>
          <t>.</t>
        </is>
      </c>
      <c r="L370" t="inlineStr">
        <is>
          <t>.</t>
        </is>
      </c>
      <c r="M370">
        <f>HYPERLINK("https://www.genecards.org/Search/Keyword?queryString=%5Baliases%5D(%20DMXL2%20)&amp;keywords=DMXL2", "DMXL2")</f>
        <v/>
      </c>
      <c r="N370" t="inlineStr">
        <is>
          <t>intronic;ncRNA_exonic</t>
        </is>
      </c>
      <c r="O370" t="inlineStr">
        <is>
          <t>.</t>
        </is>
      </c>
      <c r="P370" t="inlineStr">
        <is>
          <t>.</t>
        </is>
      </c>
      <c r="Q370" t="n">
        <v>-1</v>
      </c>
      <c r="R370" t="n">
        <v>-1</v>
      </c>
      <c r="S370" t="n">
        <v>-1</v>
      </c>
      <c r="T370" t="n">
        <v>-1</v>
      </c>
      <c r="U370" t="n">
        <v>-1</v>
      </c>
      <c r="V370" t="inlineStr">
        <is>
          <t>.</t>
        </is>
      </c>
      <c r="W370" t="inlineStr">
        <is>
          <t>.</t>
        </is>
      </c>
      <c r="X370" t="inlineStr">
        <is>
          <t>.</t>
        </is>
      </c>
      <c r="Y370" t="inlineStr">
        <is>
          <t>.</t>
        </is>
      </c>
      <c r="Z370" t="inlineStr">
        <is>
          <t>.</t>
        </is>
      </c>
      <c r="AA370" t="inlineStr">
        <is>
          <t>.</t>
        </is>
      </c>
      <c r="AB370" t="inlineStr">
        <is>
          <t>.</t>
        </is>
      </c>
      <c r="AC370" t="inlineStr">
        <is>
          <t>0/1</t>
        </is>
      </c>
      <c r="AD370" t="inlineStr">
        <is>
          <t>4</t>
        </is>
      </c>
      <c r="AE370" t="inlineStr">
        <is>
          <t>0.999999999395933</t>
        </is>
      </c>
      <c r="AF370" t="inlineStr">
        <is>
          <t>Dmx like 2</t>
        </is>
      </c>
      <c r="AG370" t="inlineStr">
        <is>
          <t xml:space="preserve">FUNCTION: May serve as a scaffold protein for MADD and RAB3GA on synaptic vesicles (PubMed:11809763). Plays a role in the brain as a key controller of neuronal and endocrine homeostatic processes (By similarity). {ECO:0000250|UniProtKB:Q8BPN8, ECO:0000269|PubMed:11809763}.; </t>
        </is>
      </c>
      <c r="AH370" t="inlineStr">
        <is>
          <t xml:space="preserve">DISEASE: Polyendocrine-polyneuropathy syndrome (PEPNS) [MIM:616113]: A progressive endocrine and neurodevelopmental disorder manifesting early in childhood with growth retardation and recurrent episodes of profound asymptomatic hypoglycemia. PEPNS is characterized by central hypothyroidism, hypogonadotropic hypogonadism, incomplete puberty, progressive non-autoimmune insulin-dependent diabetes mellitus, peripheral demyelinating sensorimotor polyneuropathy, and cerebellar and pyramidal signs. {ECO:0000269|PubMed:25248098}. Note=The disease is caused by mutations affecting the gene represented in this entry.; </t>
        </is>
      </c>
      <c r="AI370" t="inlineStr">
        <is>
          <t>.</t>
        </is>
      </c>
      <c r="AJ370" t="inlineStr">
        <is>
          <t>.</t>
        </is>
      </c>
      <c r="AK370" t="inlineStr">
        <is>
          <t>.</t>
        </is>
      </c>
      <c r="AL370" t="inlineStr">
        <is>
          <t>.</t>
        </is>
      </c>
    </row>
    <row r="371">
      <c r="A371" t="inlineStr"/>
      <c r="B371">
        <f>HYPERLINK("https://genome.ucsc.edu/cgi-bin/hgTracks?db=hg19&amp;position=chr15%3A51772608%2D51772608", "chr15:51772608")</f>
        <v/>
      </c>
      <c r="C371" t="inlineStr">
        <is>
          <t>chr15</t>
        </is>
      </c>
      <c r="D371" t="n">
        <v>51772608</v>
      </c>
      <c r="E371" t="n">
        <v>51772608</v>
      </c>
      <c r="F371" t="inlineStr">
        <is>
          <t>C</t>
        </is>
      </c>
      <c r="G371" t="inlineStr">
        <is>
          <t>T</t>
        </is>
      </c>
      <c r="H371" t="inlineStr">
        <is>
          <t>30.64</t>
        </is>
      </c>
      <c r="I371" t="inlineStr">
        <is>
          <t>15</t>
        </is>
      </c>
      <c r="J371" t="inlineStr">
        <is>
          <t>13,2</t>
        </is>
      </c>
      <c r="K371" t="inlineStr">
        <is>
          <t>.</t>
        </is>
      </c>
      <c r="L371" t="inlineStr">
        <is>
          <t>.</t>
        </is>
      </c>
      <c r="M371">
        <f>HYPERLINK("https://www.genecards.org/Search/Keyword?queryString=%5Baliases%5D(%20DMXL2%20)&amp;keywords=DMXL2", "DMXL2")</f>
        <v/>
      </c>
      <c r="N371" t="inlineStr">
        <is>
          <t>intronic;ncRNA_intronic</t>
        </is>
      </c>
      <c r="O371" t="inlineStr">
        <is>
          <t>.</t>
        </is>
      </c>
      <c r="P371" t="inlineStr">
        <is>
          <t>.</t>
        </is>
      </c>
      <c r="Q371" t="n">
        <v>-1</v>
      </c>
      <c r="R371" t="n">
        <v>-1</v>
      </c>
      <c r="S371" t="n">
        <v>-1</v>
      </c>
      <c r="T371" t="n">
        <v>-1</v>
      </c>
      <c r="U371" t="n">
        <v>-1</v>
      </c>
      <c r="V371" t="inlineStr">
        <is>
          <t>.</t>
        </is>
      </c>
      <c r="W371" t="inlineStr">
        <is>
          <t>.</t>
        </is>
      </c>
      <c r="X371" t="inlineStr">
        <is>
          <t>B</t>
        </is>
      </c>
      <c r="Y371" t="inlineStr">
        <is>
          <t>off</t>
        </is>
      </c>
      <c r="Z371" t="inlineStr">
        <is>
          <t>.</t>
        </is>
      </c>
      <c r="AA371" t="inlineStr">
        <is>
          <t>.</t>
        </is>
      </c>
      <c r="AB371" t="inlineStr">
        <is>
          <t>.</t>
        </is>
      </c>
      <c r="AC371" t="inlineStr">
        <is>
          <t>0/1</t>
        </is>
      </c>
      <c r="AD371" t="inlineStr">
        <is>
          <t>4</t>
        </is>
      </c>
      <c r="AE371" t="inlineStr">
        <is>
          <t>0.999999999395933</t>
        </is>
      </c>
      <c r="AF371" t="inlineStr">
        <is>
          <t>Dmx like 2</t>
        </is>
      </c>
      <c r="AG371" t="inlineStr">
        <is>
          <t xml:space="preserve">FUNCTION: May serve as a scaffold protein for MADD and RAB3GA on synaptic vesicles (PubMed:11809763). Plays a role in the brain as a key controller of neuronal and endocrine homeostatic processes (By similarity). {ECO:0000250|UniProtKB:Q8BPN8, ECO:0000269|PubMed:11809763}.; </t>
        </is>
      </c>
      <c r="AH371" t="inlineStr">
        <is>
          <t xml:space="preserve">DISEASE: Polyendocrine-polyneuropathy syndrome (PEPNS) [MIM:616113]: A progressive endocrine and neurodevelopmental disorder manifesting early in childhood with growth retardation and recurrent episodes of profound asymptomatic hypoglycemia. PEPNS is characterized by central hypothyroidism, hypogonadotropic hypogonadism, incomplete puberty, progressive non-autoimmune insulin-dependent diabetes mellitus, peripheral demyelinating sensorimotor polyneuropathy, and cerebellar and pyramidal signs. {ECO:0000269|PubMed:25248098}. Note=The disease is caused by mutations affecting the gene represented in this entry.; </t>
        </is>
      </c>
      <c r="AI371" t="inlineStr">
        <is>
          <t>.</t>
        </is>
      </c>
      <c r="AJ371" t="inlineStr">
        <is>
          <t>.</t>
        </is>
      </c>
      <c r="AK371" t="inlineStr">
        <is>
          <t>.</t>
        </is>
      </c>
      <c r="AL371" t="inlineStr">
        <is>
          <t>.</t>
        </is>
      </c>
    </row>
    <row r="372">
      <c r="A372" t="inlineStr"/>
      <c r="B372">
        <f>HYPERLINK("https://genome.ucsc.edu/cgi-bin/hgTracks?db=hg19&amp;position=chr15%3A51788730%2D51788730", "chr15:51788730")</f>
        <v/>
      </c>
      <c r="C372" t="inlineStr">
        <is>
          <t>chr15</t>
        </is>
      </c>
      <c r="D372" t="n">
        <v>51788730</v>
      </c>
      <c r="E372" t="n">
        <v>51788730</v>
      </c>
      <c r="F372" t="inlineStr">
        <is>
          <t>T</t>
        </is>
      </c>
      <c r="G372" t="inlineStr">
        <is>
          <t>-</t>
        </is>
      </c>
      <c r="H372" t="inlineStr">
        <is>
          <t>37.60</t>
        </is>
      </c>
      <c r="I372" t="inlineStr">
        <is>
          <t>8</t>
        </is>
      </c>
      <c r="J372" t="inlineStr">
        <is>
          <t>6,2</t>
        </is>
      </c>
      <c r="K372" t="inlineStr">
        <is>
          <t>.</t>
        </is>
      </c>
      <c r="L372" t="inlineStr">
        <is>
          <t>.</t>
        </is>
      </c>
      <c r="M372">
        <f>HYPERLINK("https://www.genecards.org/Search/Keyword?queryString=%5Baliases%5D(%20DMXL2%20)&amp;keywords=DMXL2", "DMXL2")</f>
        <v/>
      </c>
      <c r="N372" t="inlineStr">
        <is>
          <t>intronic;ncRNA_intronic</t>
        </is>
      </c>
      <c r="O372" t="inlineStr">
        <is>
          <t>.</t>
        </is>
      </c>
      <c r="P372" t="inlineStr">
        <is>
          <t>.</t>
        </is>
      </c>
      <c r="Q372" t="n">
        <v>-1</v>
      </c>
      <c r="R372" t="n">
        <v>-1</v>
      </c>
      <c r="S372" t="n">
        <v>-1</v>
      </c>
      <c r="T372" t="n">
        <v>-1</v>
      </c>
      <c r="U372" t="n">
        <v>-1</v>
      </c>
      <c r="V372" t="inlineStr">
        <is>
          <t>.</t>
        </is>
      </c>
      <c r="W372" t="inlineStr">
        <is>
          <t>.</t>
        </is>
      </c>
      <c r="X372" t="inlineStr">
        <is>
          <t>.</t>
        </is>
      </c>
      <c r="Y372" t="inlineStr">
        <is>
          <t>.</t>
        </is>
      </c>
      <c r="Z372" t="inlineStr">
        <is>
          <t>.</t>
        </is>
      </c>
      <c r="AA372" t="inlineStr">
        <is>
          <t>.</t>
        </is>
      </c>
      <c r="AB372" t="inlineStr">
        <is>
          <t>.</t>
        </is>
      </c>
      <c r="AC372" t="inlineStr">
        <is>
          <t>0/1</t>
        </is>
      </c>
      <c r="AD372" t="inlineStr">
        <is>
          <t>4</t>
        </is>
      </c>
      <c r="AE372" t="inlineStr">
        <is>
          <t>0.999999999395933</t>
        </is>
      </c>
      <c r="AF372" t="inlineStr">
        <is>
          <t>Dmx like 2</t>
        </is>
      </c>
      <c r="AG372" t="inlineStr">
        <is>
          <t xml:space="preserve">FUNCTION: May serve as a scaffold protein for MADD and RAB3GA on synaptic vesicles (PubMed:11809763). Plays a role in the brain as a key controller of neuronal and endocrine homeostatic processes (By similarity). {ECO:0000250|UniProtKB:Q8BPN8, ECO:0000269|PubMed:11809763}.; </t>
        </is>
      </c>
      <c r="AH372" t="inlineStr">
        <is>
          <t xml:space="preserve">DISEASE: Polyendocrine-polyneuropathy syndrome (PEPNS) [MIM:616113]: A progressive endocrine and neurodevelopmental disorder manifesting early in childhood with growth retardation and recurrent episodes of profound asymptomatic hypoglycemia. PEPNS is characterized by central hypothyroidism, hypogonadotropic hypogonadism, incomplete puberty, progressive non-autoimmune insulin-dependent diabetes mellitus, peripheral demyelinating sensorimotor polyneuropathy, and cerebellar and pyramidal signs. {ECO:0000269|PubMed:25248098}. Note=The disease is caused by mutations affecting the gene represented in this entry.; </t>
        </is>
      </c>
      <c r="AI372" t="inlineStr">
        <is>
          <t>.</t>
        </is>
      </c>
      <c r="AJ372" t="inlineStr">
        <is>
          <t>.</t>
        </is>
      </c>
      <c r="AK372" t="inlineStr">
        <is>
          <t>.</t>
        </is>
      </c>
      <c r="AL372" t="inlineStr">
        <is>
          <t>.</t>
        </is>
      </c>
    </row>
    <row r="373">
      <c r="A373" t="inlineStr"/>
      <c r="B373">
        <f>HYPERLINK("https://genome.ucsc.edu/cgi-bin/hgTracks?db=hg19&amp;position=chr15%3A54004982%2D54004982", "chr15:54004982")</f>
        <v/>
      </c>
      <c r="C373" t="inlineStr">
        <is>
          <t>chr15</t>
        </is>
      </c>
      <c r="D373" t="n">
        <v>54004982</v>
      </c>
      <c r="E373" t="n">
        <v>54004982</v>
      </c>
      <c r="F373" t="inlineStr">
        <is>
          <t>G</t>
        </is>
      </c>
      <c r="G373" t="inlineStr">
        <is>
          <t>T</t>
        </is>
      </c>
      <c r="H373" t="inlineStr">
        <is>
          <t>312.64</t>
        </is>
      </c>
      <c r="I373" t="inlineStr">
        <is>
          <t>73</t>
        </is>
      </c>
      <c r="J373" t="inlineStr">
        <is>
          <t>61,12</t>
        </is>
      </c>
      <c r="K373" t="inlineStr">
        <is>
          <t>.</t>
        </is>
      </c>
      <c r="L373" t="inlineStr">
        <is>
          <t>.</t>
        </is>
      </c>
      <c r="M373">
        <f>HYPERLINK("https://www.genecards.org/Search/Keyword?queryString=%5Baliases%5D(%20WDR72%20)&amp;keywords=WDR72", "WDR72")</f>
        <v/>
      </c>
      <c r="N373" t="inlineStr">
        <is>
          <t>exonic</t>
        </is>
      </c>
      <c r="O373" t="inlineStr">
        <is>
          <t>nonsynonymous SNV</t>
        </is>
      </c>
      <c r="P373" t="inlineStr">
        <is>
          <t>WDR72:NM_182758:exon7:c.C698A:p.S233Y;WDR72:uc002acj.2:exon7:c.C698A:p.S233Y,WDR72:uc031qse.1:exon7:c.C698A:p.S233Y,WDR72:uc010bfi.1:exon9:c.C698A:p.S233Y;WDR72:ENST00000559418.5_5:exon6:c.C698A:p.S233Y,WDR72:ENST00000360509.10_9:exon7:c.C698A:p.S233Y,WDR72:ENST00000396328.5_7:exon7:c.C698A:p.S233Y,WDR72:ENST00000557913.5_5:exon7:c.C695A:p.S232Y</t>
        </is>
      </c>
      <c r="Q373" t="n">
        <v>-1</v>
      </c>
      <c r="R373" t="n">
        <v>-1</v>
      </c>
      <c r="S373" t="n">
        <v>-1</v>
      </c>
      <c r="T373" t="n">
        <v>-1</v>
      </c>
      <c r="U373" t="n">
        <v>-1</v>
      </c>
      <c r="V373" t="inlineStr">
        <is>
          <t>8/12</t>
        </is>
      </c>
      <c r="W373" t="inlineStr">
        <is>
          <t>.</t>
        </is>
      </c>
      <c r="X373" t="inlineStr">
        <is>
          <t>.</t>
        </is>
      </c>
      <c r="Y373" t="inlineStr">
        <is>
          <t>.</t>
        </is>
      </c>
      <c r="Z373" t="inlineStr">
        <is>
          <t>5/7</t>
        </is>
      </c>
      <c r="AA373" t="inlineStr">
        <is>
          <t>Uncertain significance</t>
        </is>
      </c>
      <c r="AB373" t="inlineStr">
        <is>
          <t>.</t>
        </is>
      </c>
      <c r="AC373" t="inlineStr">
        <is>
          <t>.</t>
        </is>
      </c>
      <c r="AD373" t="inlineStr">
        <is>
          <t>2</t>
        </is>
      </c>
      <c r="AE373" t="inlineStr">
        <is>
          <t>1.62243924822237e-16</t>
        </is>
      </c>
      <c r="AF373" t="inlineStr">
        <is>
          <t>WD repeat domain 72</t>
        </is>
      </c>
      <c r="AG373" t="inlineStr">
        <is>
          <t>.</t>
        </is>
      </c>
      <c r="AH373" t="inlineStr">
        <is>
          <t xml:space="preserve">DISEASE: Amelogenesis imperfecta, hypomaturation type, 2A3 (AI2A3) [MIM:613211]: A defect of enamel formation. The disorder involves both primary and secondary dentitions. The teeth have a shiny agar jelly appearance and the enamel is softer than normal. Brown pigment is present in middle layers of enamel. {ECO:0000269|PubMed:19853237}. Note=The disease is caused by mutations affecting the gene represented in this entry.; </t>
        </is>
      </c>
      <c r="AI373" t="inlineStr">
        <is>
          <t>.</t>
        </is>
      </c>
      <c r="AJ373" t="inlineStr">
        <is>
          <t>.</t>
        </is>
      </c>
      <c r="AK373" t="inlineStr">
        <is>
          <t>.</t>
        </is>
      </c>
      <c r="AL373" t="inlineStr">
        <is>
          <t>.</t>
        </is>
      </c>
    </row>
    <row r="374">
      <c r="A374" t="inlineStr"/>
      <c r="B374">
        <f>HYPERLINK("https://genome.ucsc.edu/cgi-bin/hgTracks?db=hg19&amp;position=chr15%3A54004983%2D54004983", "chr15:54004983")</f>
        <v/>
      </c>
      <c r="C374" t="inlineStr">
        <is>
          <t>chr15</t>
        </is>
      </c>
      <c r="D374" t="n">
        <v>54004983</v>
      </c>
      <c r="E374" t="n">
        <v>54004983</v>
      </c>
      <c r="F374" t="inlineStr">
        <is>
          <t>A</t>
        </is>
      </c>
      <c r="G374" t="inlineStr">
        <is>
          <t>T</t>
        </is>
      </c>
      <c r="H374" t="inlineStr">
        <is>
          <t>312.64</t>
        </is>
      </c>
      <c r="I374" t="inlineStr">
        <is>
          <t>73</t>
        </is>
      </c>
      <c r="J374" t="inlineStr">
        <is>
          <t>61,12</t>
        </is>
      </c>
      <c r="K374" t="inlineStr">
        <is>
          <t>.</t>
        </is>
      </c>
      <c r="L374" t="inlineStr">
        <is>
          <t>.</t>
        </is>
      </c>
      <c r="M374">
        <f>HYPERLINK("https://www.genecards.org/Search/Keyword?queryString=%5Baliases%5D(%20WDR72%20)&amp;keywords=WDR72", "WDR72")</f>
        <v/>
      </c>
      <c r="N374" t="inlineStr">
        <is>
          <t>exonic</t>
        </is>
      </c>
      <c r="O374" t="inlineStr">
        <is>
          <t>nonsynonymous SNV</t>
        </is>
      </c>
      <c r="P374" t="inlineStr">
        <is>
          <t>WDR72:NM_182758:exon7:c.T697A:p.S233T;WDR72:uc002acj.2:exon7:c.T697A:p.S233T,WDR72:uc031qse.1:exon7:c.T697A:p.S233T,WDR72:uc010bfi.1:exon9:c.T697A:p.S233T;WDR72:ENST00000559418.5_5:exon6:c.T697A:p.S233T,WDR72:ENST00000360509.10_9:exon7:c.T697A:p.S233T,WDR72:ENST00000396328.5_7:exon7:c.T697A:p.S233T,WDR72:ENST00000557913.5_5:exon7:c.T694A:p.S232T</t>
        </is>
      </c>
      <c r="Q374" t="n">
        <v>-1</v>
      </c>
      <c r="R374" t="n">
        <v>-1</v>
      </c>
      <c r="S374" t="n">
        <v>-1</v>
      </c>
      <c r="T374" t="n">
        <v>-1</v>
      </c>
      <c r="U374" t="n">
        <v>-1</v>
      </c>
      <c r="V374" t="inlineStr">
        <is>
          <t>6/12</t>
        </is>
      </c>
      <c r="W374" t="inlineStr">
        <is>
          <t>.</t>
        </is>
      </c>
      <c r="X374" t="inlineStr">
        <is>
          <t>.</t>
        </is>
      </c>
      <c r="Y374" t="inlineStr">
        <is>
          <t>.</t>
        </is>
      </c>
      <c r="Z374" t="inlineStr">
        <is>
          <t>3/7</t>
        </is>
      </c>
      <c r="AA374" t="inlineStr">
        <is>
          <t>Uncertain significance</t>
        </is>
      </c>
      <c r="AB374" t="inlineStr">
        <is>
          <t>.</t>
        </is>
      </c>
      <c r="AC374" t="inlineStr">
        <is>
          <t>.</t>
        </is>
      </c>
      <c r="AD374" t="inlineStr">
        <is>
          <t>2</t>
        </is>
      </c>
      <c r="AE374" t="inlineStr">
        <is>
          <t>1.62243924822237e-16</t>
        </is>
      </c>
      <c r="AF374" t="inlineStr">
        <is>
          <t>WD repeat domain 72</t>
        </is>
      </c>
      <c r="AG374" t="inlineStr">
        <is>
          <t>.</t>
        </is>
      </c>
      <c r="AH374" t="inlineStr">
        <is>
          <t xml:space="preserve">DISEASE: Amelogenesis imperfecta, hypomaturation type, 2A3 (AI2A3) [MIM:613211]: A defect of enamel formation. The disorder involves both primary and secondary dentitions. The teeth have a shiny agar jelly appearance and the enamel is softer than normal. Brown pigment is present in middle layers of enamel. {ECO:0000269|PubMed:19853237}. Note=The disease is caused by mutations affecting the gene represented in this entry.; </t>
        </is>
      </c>
      <c r="AI374" t="inlineStr">
        <is>
          <t>.</t>
        </is>
      </c>
      <c r="AJ374" t="inlineStr">
        <is>
          <t>.</t>
        </is>
      </c>
      <c r="AK374" t="inlineStr">
        <is>
          <t>.</t>
        </is>
      </c>
      <c r="AL374" t="inlineStr">
        <is>
          <t>.</t>
        </is>
      </c>
    </row>
    <row r="375">
      <c r="A375" t="inlineStr"/>
      <c r="B375">
        <f>HYPERLINK("https://genome.ucsc.edu/cgi-bin/hgTracks?db=hg19&amp;position=chr15%3A58253310%2D58253310", "chr15:58253310")</f>
        <v/>
      </c>
      <c r="C375" t="inlineStr">
        <is>
          <t>chr15</t>
        </is>
      </c>
      <c r="D375" t="n">
        <v>58253310</v>
      </c>
      <c r="E375" t="n">
        <v>58253310</v>
      </c>
      <c r="F375" t="inlineStr">
        <is>
          <t>G</t>
        </is>
      </c>
      <c r="G375" t="inlineStr">
        <is>
          <t>C</t>
        </is>
      </c>
      <c r="H375" t="inlineStr">
        <is>
          <t>984.64</t>
        </is>
      </c>
      <c r="I375" t="inlineStr">
        <is>
          <t>71</t>
        </is>
      </c>
      <c r="J375" t="inlineStr">
        <is>
          <t>37,34</t>
        </is>
      </c>
      <c r="K375" t="inlineStr">
        <is>
          <t>.</t>
        </is>
      </c>
      <c r="L375">
        <f>HYPERLINK("https://www.ncbi.nlm.nih.gov/snp/rs117694762", "rs117694762")</f>
        <v/>
      </c>
      <c r="M375">
        <f>HYPERLINK("https://www.genecards.org/Search/Keyword?queryString=%5Baliases%5D(%20ALDH1A2%20)&amp;keywords=ALDH1A2", "ALDH1A2")</f>
        <v/>
      </c>
      <c r="N375" t="inlineStr">
        <is>
          <t>intronic</t>
        </is>
      </c>
      <c r="O375" t="inlineStr">
        <is>
          <t>.</t>
        </is>
      </c>
      <c r="P375" t="inlineStr">
        <is>
          <t>.</t>
        </is>
      </c>
      <c r="Q375" t="n">
        <v>0.0198</v>
      </c>
      <c r="R375" t="n">
        <v>0.0192</v>
      </c>
      <c r="S375" t="n">
        <v>0.0199</v>
      </c>
      <c r="T375" t="n">
        <v>-1</v>
      </c>
      <c r="U375" t="n">
        <v>0.0156</v>
      </c>
      <c r="V375" t="inlineStr">
        <is>
          <t>.</t>
        </is>
      </c>
      <c r="W375" t="inlineStr">
        <is>
          <t>.</t>
        </is>
      </c>
      <c r="X375" t="inlineStr">
        <is>
          <t>D</t>
        </is>
      </c>
      <c r="Y375" t="inlineStr">
        <is>
          <t>off</t>
        </is>
      </c>
      <c r="Z375" t="inlineStr">
        <is>
          <t>.</t>
        </is>
      </c>
      <c r="AA375" t="inlineStr">
        <is>
          <t>.</t>
        </is>
      </c>
      <c r="AB375" t="inlineStr">
        <is>
          <t>.</t>
        </is>
      </c>
      <c r="AC375" t="inlineStr">
        <is>
          <t>0/1</t>
        </is>
      </c>
      <c r="AD375" t="inlineStr">
        <is>
          <t>1</t>
        </is>
      </c>
      <c r="AE375" t="inlineStr">
        <is>
          <t>0.516630055977224</t>
        </is>
      </c>
      <c r="AF375" t="inlineStr">
        <is>
          <t>aldehyde dehydrogenase 1 family member A2</t>
        </is>
      </c>
      <c r="AG375" t="inlineStr">
        <is>
          <t xml:space="preserve">FUNCTION: Recognizes as substrates free retinal and cellular retinol-binding protein-bound retinal. Does metabolize octanal and decanal but does not metabolize citral, benzaldehyde, acetaldehyde and propanal efficiently (By similarity). {ECO:0000250}.; </t>
        </is>
      </c>
      <c r="AH375" t="inlineStr">
        <is>
          <t>.</t>
        </is>
      </c>
      <c r="AI375" t="inlineStr">
        <is>
          <t>.</t>
        </is>
      </c>
      <c r="AJ375" t="inlineStr">
        <is>
          <t>.</t>
        </is>
      </c>
      <c r="AK375" t="inlineStr">
        <is>
          <t>.</t>
        </is>
      </c>
      <c r="AL375" t="inlineStr">
        <is>
          <t>.</t>
        </is>
      </c>
    </row>
    <row r="376">
      <c r="A376" t="inlineStr"/>
      <c r="B376">
        <f>HYPERLINK("https://genome.ucsc.edu/cgi-bin/hgTracks?db=hg19&amp;position=chr15%3A63631070%2D63631070", "chr15:63631070")</f>
        <v/>
      </c>
      <c r="C376" t="inlineStr">
        <is>
          <t>chr15</t>
        </is>
      </c>
      <c r="D376" t="n">
        <v>63631070</v>
      </c>
      <c r="E376" t="n">
        <v>63631070</v>
      </c>
      <c r="F376" t="inlineStr">
        <is>
          <t>G</t>
        </is>
      </c>
      <c r="G376" t="inlineStr">
        <is>
          <t>T</t>
        </is>
      </c>
      <c r="H376" t="inlineStr">
        <is>
          <t>754.64</t>
        </is>
      </c>
      <c r="I376" t="inlineStr">
        <is>
          <t>148</t>
        </is>
      </c>
      <c r="J376" t="inlineStr">
        <is>
          <t>108,40</t>
        </is>
      </c>
      <c r="K376" t="inlineStr">
        <is>
          <t>.</t>
        </is>
      </c>
      <c r="L376" t="inlineStr">
        <is>
          <t>.</t>
        </is>
      </c>
      <c r="M376">
        <f>HYPERLINK("https://www.genecards.org/Search/Keyword?queryString=%5Baliases%5D(%20CA12%20)&amp;keywords=CA12", "CA12")</f>
        <v/>
      </c>
      <c r="N376" t="inlineStr">
        <is>
          <t>exonic</t>
        </is>
      </c>
      <c r="O376" t="inlineStr">
        <is>
          <t>nonsynonymous SNV</t>
        </is>
      </c>
      <c r="P376" t="inlineStr">
        <is>
          <t>CA12:NM_001293642:exon7:c.C642A:p.F214L,CA12:NM_001218:exon8:c.C822A:p.F274L,CA12:NM_206925:exon8:c.C822A:p.F274L;CA12:uc002ame.3:exon7:c.C642A:p.F214L,CA12:uc002amc.3:exon8:c.C822A:p.F274L,CA12:uc002amd.3:exon8:c.C822A:p.F274L;CA12:ENST00000422263.2_3:exon7:c.C642A:p.F214L,CA12:ENST00000178638.8_8:exon8:c.C822A:p.F274L,CA12:ENST00000344366.7_7:exon8:c.C822A:p.F274L</t>
        </is>
      </c>
      <c r="Q376" t="n">
        <v>-1</v>
      </c>
      <c r="R376" t="n">
        <v>-1</v>
      </c>
      <c r="S376" t="n">
        <v>-1</v>
      </c>
      <c r="T376" t="n">
        <v>-1</v>
      </c>
      <c r="U376" t="n">
        <v>-1</v>
      </c>
      <c r="V376" t="inlineStr">
        <is>
          <t>10/12</t>
        </is>
      </c>
      <c r="W376" t="inlineStr">
        <is>
          <t>.</t>
        </is>
      </c>
      <c r="X376" t="inlineStr">
        <is>
          <t>.</t>
        </is>
      </c>
      <c r="Y376" t="inlineStr">
        <is>
          <t>.</t>
        </is>
      </c>
      <c r="Z376" t="inlineStr">
        <is>
          <t>2/7</t>
        </is>
      </c>
      <c r="AA376" t="inlineStr">
        <is>
          <t>Uncertain significance</t>
        </is>
      </c>
      <c r="AB376" t="inlineStr">
        <is>
          <t>.</t>
        </is>
      </c>
      <c r="AC376" t="inlineStr">
        <is>
          <t>0/1</t>
        </is>
      </c>
      <c r="AD376" t="inlineStr">
        <is>
          <t>1</t>
        </is>
      </c>
      <c r="AE376" t="inlineStr">
        <is>
          <t>9.91295957492359e-09</t>
        </is>
      </c>
      <c r="AF376" t="inlineStr">
        <is>
          <t>carbonic anhydrase XII</t>
        </is>
      </c>
      <c r="AG376" t="inlineStr">
        <is>
          <t xml:space="preserve">FUNCTION: Reversible hydration of carbon dioxide.; </t>
        </is>
      </c>
      <c r="AH376" t="inlineStr">
        <is>
          <t>.</t>
        </is>
      </c>
      <c r="AI376" t="inlineStr">
        <is>
          <t>.</t>
        </is>
      </c>
      <c r="AJ376" t="inlineStr">
        <is>
          <t>.</t>
        </is>
      </c>
      <c r="AK376" t="inlineStr">
        <is>
          <t>.</t>
        </is>
      </c>
      <c r="AL376" t="inlineStr">
        <is>
          <t>.</t>
        </is>
      </c>
    </row>
    <row r="377">
      <c r="A377" t="inlineStr"/>
      <c r="B377">
        <f>HYPERLINK("https://genome.ucsc.edu/cgi-bin/hgTracks?db=hg19&amp;position=chr15%3A68522090%2D68522090", "chr15:68522090")</f>
        <v/>
      </c>
      <c r="C377" t="inlineStr">
        <is>
          <t>chr15</t>
        </is>
      </c>
      <c r="D377" t="n">
        <v>68522090</v>
      </c>
      <c r="E377" t="n">
        <v>68522090</v>
      </c>
      <c r="F377" t="inlineStr">
        <is>
          <t>G</t>
        </is>
      </c>
      <c r="G377" t="inlineStr">
        <is>
          <t>T</t>
        </is>
      </c>
      <c r="H377" t="inlineStr">
        <is>
          <t>55.64</t>
        </is>
      </c>
      <c r="I377" t="inlineStr">
        <is>
          <t>9</t>
        </is>
      </c>
      <c r="J377" t="inlineStr">
        <is>
          <t>7,2</t>
        </is>
      </c>
      <c r="K377" t="inlineStr">
        <is>
          <t>.</t>
        </is>
      </c>
      <c r="L377" t="inlineStr">
        <is>
          <t>.</t>
        </is>
      </c>
      <c r="M377">
        <f>HYPERLINK("https://www.genecards.org/Search/Keyword?queryString=%5Baliases%5D(%20CLN6%20)&amp;keywords=CLN6", "CLN6")</f>
        <v/>
      </c>
      <c r="N377" t="inlineStr">
        <is>
          <t>intronic;ncRNA_exonic;upstream</t>
        </is>
      </c>
      <c r="O377" t="inlineStr">
        <is>
          <t>.</t>
        </is>
      </c>
      <c r="P377" t="inlineStr">
        <is>
          <t>dist=24</t>
        </is>
      </c>
      <c r="Q377" t="n">
        <v>-1</v>
      </c>
      <c r="R377" t="n">
        <v>-1</v>
      </c>
      <c r="S377" t="n">
        <v>-1</v>
      </c>
      <c r="T377" t="n">
        <v>-1</v>
      </c>
      <c r="U377" t="n">
        <v>-1</v>
      </c>
      <c r="V377" t="inlineStr">
        <is>
          <t>.</t>
        </is>
      </c>
      <c r="W377" t="inlineStr">
        <is>
          <t>.</t>
        </is>
      </c>
      <c r="X377" t="inlineStr">
        <is>
          <t>.</t>
        </is>
      </c>
      <c r="Y377" t="inlineStr">
        <is>
          <t>.</t>
        </is>
      </c>
      <c r="Z377" t="inlineStr">
        <is>
          <t>.</t>
        </is>
      </c>
      <c r="AA377" t="inlineStr">
        <is>
          <t>.</t>
        </is>
      </c>
      <c r="AB377" t="inlineStr">
        <is>
          <t>.</t>
        </is>
      </c>
      <c r="AC377" t="inlineStr">
        <is>
          <t>.</t>
        </is>
      </c>
      <c r="AD377" t="inlineStr">
        <is>
          <t>2</t>
        </is>
      </c>
      <c r="AE377" t="inlineStr">
        <is>
          <t>0.381706051281562</t>
        </is>
      </c>
      <c r="AF377" t="inlineStr">
        <is>
          <t>ceroid-lipofuscinosis, neuronal 6, late infantile, variant</t>
        </is>
      </c>
      <c r="AG377" t="inlineStr">
        <is>
          <t>.</t>
        </is>
      </c>
      <c r="AH377" t="inlineStr">
        <is>
          <t xml:space="preserve">DISEASE: Ceroid lipofuscinosis, neuronal, 6 (CLN6) [MIM:601780]: A form of neuronal ceroid lipofuscinosis. Neuronal ceroid lipofuscinoses are progressive neurodegenerative, lysosomal storage diseases characterized by intracellular accumulation of autofluorescent liposomal material, and clinically by seizures, dementia, visual loss, and/or cerebral atrophy. The lipopigment patterns observed most often in neuronal ceroid lipofuscinosis type 6 comprise mixed combinations of granular, curvilinear, and fingerprint profiles. {ECO:0000269|PubMed:11727201, ECO:0000269|PubMed:11791207, ECO:0000269|PubMed:12673792, ECO:0000269|PubMed:12815591, ECO:0000269|PubMed:19201763, ECO:0000269|PubMed:21990111, ECO:0000269|Ref.2}. Note=The disease is caused by mutations affecting the gene represented in this entry.; DISEASE: Ceroid lipofuscinosis, neuronal, 4A (CLN4A) [MIM:204300]: An adult-onset neuronal ceroid lipofuscinosis. Neuronal ceroid lipofuscinoses are progressive neurodegenerative, lysosomal storage diseases characterized by intracellular accumulation of autofluorescent liposomal material, and clinically by seizures, dementia, visual loss, and/or cerebral atrophy. CLN4A has no visual involvement and is characterized by progressive myoclonic epilepsy. {ECO:0000269|PubMed:21549341}. Note=The disease is caused by mutations affecting the gene represented in this entry.; </t>
        </is>
      </c>
      <c r="AI377" t="inlineStr">
        <is>
          <t>.</t>
        </is>
      </c>
      <c r="AJ377" t="inlineStr">
        <is>
          <t>.</t>
        </is>
      </c>
      <c r="AK377" t="inlineStr">
        <is>
          <t>.</t>
        </is>
      </c>
      <c r="AL377" t="inlineStr">
        <is>
          <t>.</t>
        </is>
      </c>
    </row>
    <row r="378">
      <c r="A378" t="inlineStr"/>
      <c r="B378">
        <f>HYPERLINK("https://genome.ucsc.edu/cgi-bin/hgTracks?db=hg19&amp;position=chr15%3A68522092%2D68522092", "chr15:68522092")</f>
        <v/>
      </c>
      <c r="C378" t="inlineStr">
        <is>
          <t>chr15</t>
        </is>
      </c>
      <c r="D378" t="n">
        <v>68522092</v>
      </c>
      <c r="E378" t="n">
        <v>68522092</v>
      </c>
      <c r="F378" t="inlineStr">
        <is>
          <t>C</t>
        </is>
      </c>
      <c r="G378" t="inlineStr">
        <is>
          <t>A</t>
        </is>
      </c>
      <c r="H378" t="inlineStr">
        <is>
          <t>55.64</t>
        </is>
      </c>
      <c r="I378" t="inlineStr">
        <is>
          <t>9</t>
        </is>
      </c>
      <c r="J378" t="inlineStr">
        <is>
          <t>7,2</t>
        </is>
      </c>
      <c r="K378" t="inlineStr">
        <is>
          <t>.</t>
        </is>
      </c>
      <c r="L378" t="inlineStr">
        <is>
          <t>.</t>
        </is>
      </c>
      <c r="M378">
        <f>HYPERLINK("https://www.genecards.org/Search/Keyword?queryString=%5Baliases%5D(%20CLN6%20)&amp;keywords=CLN6", "CLN6")</f>
        <v/>
      </c>
      <c r="N378" t="inlineStr">
        <is>
          <t>intronic;ncRNA_exonic;upstream</t>
        </is>
      </c>
      <c r="O378" t="inlineStr">
        <is>
          <t>.</t>
        </is>
      </c>
      <c r="P378" t="inlineStr">
        <is>
          <t>dist=26</t>
        </is>
      </c>
      <c r="Q378" t="n">
        <v>-1</v>
      </c>
      <c r="R378" t="n">
        <v>-1</v>
      </c>
      <c r="S378" t="n">
        <v>-1</v>
      </c>
      <c r="T378" t="n">
        <v>-1</v>
      </c>
      <c r="U378" t="n">
        <v>-1</v>
      </c>
      <c r="V378" t="inlineStr">
        <is>
          <t>.</t>
        </is>
      </c>
      <c r="W378" t="inlineStr">
        <is>
          <t>.</t>
        </is>
      </c>
      <c r="X378" t="inlineStr">
        <is>
          <t>.</t>
        </is>
      </c>
      <c r="Y378" t="inlineStr">
        <is>
          <t>.</t>
        </is>
      </c>
      <c r="Z378" t="inlineStr">
        <is>
          <t>.</t>
        </is>
      </c>
      <c r="AA378" t="inlineStr">
        <is>
          <t>.</t>
        </is>
      </c>
      <c r="AB378" t="inlineStr">
        <is>
          <t>.</t>
        </is>
      </c>
      <c r="AC378" t="inlineStr">
        <is>
          <t>.</t>
        </is>
      </c>
      <c r="AD378" t="inlineStr">
        <is>
          <t>2</t>
        </is>
      </c>
      <c r="AE378" t="inlineStr">
        <is>
          <t>0.381706051281562</t>
        </is>
      </c>
      <c r="AF378" t="inlineStr">
        <is>
          <t>ceroid-lipofuscinosis, neuronal 6, late infantile, variant</t>
        </is>
      </c>
      <c r="AG378" t="inlineStr">
        <is>
          <t>.</t>
        </is>
      </c>
      <c r="AH378" t="inlineStr">
        <is>
          <t xml:space="preserve">DISEASE: Ceroid lipofuscinosis, neuronal, 6 (CLN6) [MIM:601780]: A form of neuronal ceroid lipofuscinosis. Neuronal ceroid lipofuscinoses are progressive neurodegenerative, lysosomal storage diseases characterized by intracellular accumulation of autofluorescent liposomal material, and clinically by seizures, dementia, visual loss, and/or cerebral atrophy. The lipopigment patterns observed most often in neuronal ceroid lipofuscinosis type 6 comprise mixed combinations of granular, curvilinear, and fingerprint profiles. {ECO:0000269|PubMed:11727201, ECO:0000269|PubMed:11791207, ECO:0000269|PubMed:12673792, ECO:0000269|PubMed:12815591, ECO:0000269|PubMed:19201763, ECO:0000269|PubMed:21990111, ECO:0000269|Ref.2}. Note=The disease is caused by mutations affecting the gene represented in this entry.; DISEASE: Ceroid lipofuscinosis, neuronal, 4A (CLN4A) [MIM:204300]: An adult-onset neuronal ceroid lipofuscinosis. Neuronal ceroid lipofuscinoses are progressive neurodegenerative, lysosomal storage diseases characterized by intracellular accumulation of autofluorescent liposomal material, and clinically by seizures, dementia, visual loss, and/or cerebral atrophy. CLN4A has no visual involvement and is characterized by progressive myoclonic epilepsy. {ECO:0000269|PubMed:21549341}. Note=The disease is caused by mutations affecting the gene represented in this entry.; </t>
        </is>
      </c>
      <c r="AI378" t="inlineStr">
        <is>
          <t>.</t>
        </is>
      </c>
      <c r="AJ378" t="inlineStr">
        <is>
          <t>.</t>
        </is>
      </c>
      <c r="AK378" t="inlineStr">
        <is>
          <t>.</t>
        </is>
      </c>
      <c r="AL378" t="inlineStr">
        <is>
          <t>.</t>
        </is>
      </c>
    </row>
    <row r="379">
      <c r="A379" t="inlineStr"/>
      <c r="B379">
        <f>HYPERLINK("https://genome.ucsc.edu/cgi-bin/hgTracks?db=hg19&amp;position=chr15%3A69732375%2D69732375", "chr15:69732375")</f>
        <v/>
      </c>
      <c r="C379" t="inlineStr">
        <is>
          <t>chr15</t>
        </is>
      </c>
      <c r="D379" t="n">
        <v>69732375</v>
      </c>
      <c r="E379" t="n">
        <v>69732375</v>
      </c>
      <c r="F379" t="inlineStr">
        <is>
          <t>G</t>
        </is>
      </c>
      <c r="G379" t="inlineStr">
        <is>
          <t>A</t>
        </is>
      </c>
      <c r="H379" t="inlineStr">
        <is>
          <t>2796.64</t>
        </is>
      </c>
      <c r="I379" t="inlineStr">
        <is>
          <t>172</t>
        </is>
      </c>
      <c r="J379" t="inlineStr">
        <is>
          <t>65,107</t>
        </is>
      </c>
      <c r="K379" t="inlineStr">
        <is>
          <t>.</t>
        </is>
      </c>
      <c r="L379" t="inlineStr">
        <is>
          <t>.</t>
        </is>
      </c>
      <c r="M379">
        <f>HYPERLINK("https://www.genecards.org/Search/Keyword?queryString=%5Baliases%5D(%20KIF23%20)&amp;keywords=KIF23", "KIF23")</f>
        <v/>
      </c>
      <c r="N379" t="inlineStr">
        <is>
          <t>exonic</t>
        </is>
      </c>
      <c r="O379" t="inlineStr">
        <is>
          <t>nonsynonymous SNV</t>
        </is>
      </c>
      <c r="P379" t="inlineStr">
        <is>
          <t>KIF23:NM_001281301:exon15:c.G1516A:p.G506S,KIF23:NM_001367804:exon16:c.G1846A:p.G616S,KIF23:NM_004856:exon16:c.G1846A:p.G616S,KIF23:NM_138555:exon16:c.G1846A:p.G616S,KIF23:NM_001367805:exon17:c.G1888A:p.G630S;KIF23:uc010ukc.2:exon12:c.G1297A:p.G433S,KIF23:uc010bii.3:exon15:c.G1516A:p.G506S,KIF23:uc002asb.3:exon16:c.G1846A:p.G616S,KIF23:uc002asc.3:exon16:c.G1846A:p.G616S;KIF23:ENST00000260363.9_6:exon16:c.G1846A:p.G616S,KIF23:ENST00000352331.8_3:exon16:c.G1846A:p.G616S,KIF23:ENST00000395392.6_7:exon16:c.G1846A:p.G616S,KIF23:ENST00000647715.1_6:exon16:c.G1846A:p.G616S,KIF23:ENST00000559279.6_3:exon17:c.G1888A:p.G630S,KIF23:ENST00000679126.1_4:exon17:c.G1888A:p.G630S</t>
        </is>
      </c>
      <c r="Q379" t="n">
        <v>-1</v>
      </c>
      <c r="R379" t="n">
        <v>-1</v>
      </c>
      <c r="S379" t="n">
        <v>-1</v>
      </c>
      <c r="T379" t="n">
        <v>-1</v>
      </c>
      <c r="U379" t="n">
        <v>-1</v>
      </c>
      <c r="V379" t="inlineStr">
        <is>
          <t>6/12</t>
        </is>
      </c>
      <c r="W379" t="inlineStr">
        <is>
          <t>.</t>
        </is>
      </c>
      <c r="X379" t="inlineStr">
        <is>
          <t>.</t>
        </is>
      </c>
      <c r="Y379" t="inlineStr">
        <is>
          <t>.</t>
        </is>
      </c>
      <c r="Z379" t="inlineStr">
        <is>
          <t>7/7</t>
        </is>
      </c>
      <c r="AA379" t="inlineStr">
        <is>
          <t>Uncertain significance</t>
        </is>
      </c>
      <c r="AB379" t="inlineStr">
        <is>
          <t>.</t>
        </is>
      </c>
      <c r="AC379" t="inlineStr">
        <is>
          <t>0/1</t>
        </is>
      </c>
      <c r="AD379" t="inlineStr">
        <is>
          <t>1</t>
        </is>
      </c>
      <c r="AE379" t="inlineStr">
        <is>
          <t>0.999999790749235</t>
        </is>
      </c>
      <c r="AF379" t="inlineStr">
        <is>
          <t>kinesin family member 23</t>
        </is>
      </c>
      <c r="AG379" t="inlineStr">
        <is>
          <t xml:space="preserve">FUNCTION: Component of the centralspindlin complex that serves as a microtubule-dependent and Rho-mediated signaling required for the myosin contractile ring formation during the cell cycle cytokinesis. Essential for cytokinesis in Rho-mediated signaling. Required for the localization of ECT2 to the central spindle. Plus-end-directed motor enzyme that moves antiparallel microtubules in vitro. {ECO:0000269|PubMed:16103226, ECO:0000269|PubMed:16236794, ECO:0000269|PubMed:22522702}.; </t>
        </is>
      </c>
      <c r="AH379" t="inlineStr">
        <is>
          <t>.</t>
        </is>
      </c>
      <c r="AI379" t="inlineStr">
        <is>
          <t>.</t>
        </is>
      </c>
      <c r="AJ379" t="inlineStr">
        <is>
          <t>.</t>
        </is>
      </c>
      <c r="AK379" t="inlineStr">
        <is>
          <t>.</t>
        </is>
      </c>
      <c r="AL379" t="inlineStr">
        <is>
          <t>.</t>
        </is>
      </c>
    </row>
    <row r="380">
      <c r="A380" t="inlineStr"/>
      <c r="B380">
        <f>HYPERLINK("https://genome.ucsc.edu/cgi-bin/hgTracks?db=hg19&amp;position=chr15%3A74751183%2D74751183", "chr15:74751183")</f>
        <v/>
      </c>
      <c r="C380" t="inlineStr">
        <is>
          <t>chr15</t>
        </is>
      </c>
      <c r="D380" t="n">
        <v>74751183</v>
      </c>
      <c r="E380" t="n">
        <v>74751183</v>
      </c>
      <c r="F380" t="inlineStr">
        <is>
          <t>G</t>
        </is>
      </c>
      <c r="G380" t="inlineStr">
        <is>
          <t>A</t>
        </is>
      </c>
      <c r="H380" t="inlineStr">
        <is>
          <t>531.64</t>
        </is>
      </c>
      <c r="I380" t="inlineStr">
        <is>
          <t>97</t>
        </is>
      </c>
      <c r="J380" t="inlineStr">
        <is>
          <t>70,27</t>
        </is>
      </c>
      <c r="K380" t="inlineStr">
        <is>
          <t>.</t>
        </is>
      </c>
      <c r="L380">
        <f>HYPERLINK("https://www.ncbi.nlm.nih.gov/snp/rs764208824", "rs764208824")</f>
        <v/>
      </c>
      <c r="M380">
        <f>HYPERLINK("https://www.genecards.org/Search/Keyword?queryString=%5Baliases%5D(%20UBL7%20)&amp;keywords=UBL7", "UBL7")</f>
        <v/>
      </c>
      <c r="N380" t="inlineStr">
        <is>
          <t>exonic</t>
        </is>
      </c>
      <c r="O380" t="inlineStr">
        <is>
          <t>nonsynonymous SNV</t>
        </is>
      </c>
      <c r="P380" t="inlineStr">
        <is>
          <t>UBL7:NM_001286740:exon2:c.C26T:p.A9V,UBL7:NM_001286741:exon2:c.C146T:p.A49V,UBL7:NM_032907:exon2:c.C26T:p.A9V,UBL7:NM_201265:exon2:c.C26T:p.A9V,UBL7:NM_001286739:exon3:c.C26T:p.A9V,UBL7:NM_001286742:exon3:c.C146T:p.A49V;UBL7:uc002axw.1:exon2:c.C26T:p.A9V,UBL7:uc002axy.1:exon2:c.C26T:p.A9V,UBL7:uc002axx.1:exon3:c.C146T:p.A49V,UBL7:uc002axz.1:exon3:c.C26T:p.A9V;UBL7:ENST00000361351.8_3:exon2:c.C26T:p.A9V,UBL7:ENST00000395081.7_5:exon2:c.C26T:p.A9V,UBL7:ENST00000567435.5_3:exon2:c.C26T:p.A9V,UBL7:ENST00000564488.5_3:exon3:c.C26T:p.A9V,UBL7:ENST00000565335.5_3:exon3:c.C26T:p.A9V</t>
        </is>
      </c>
      <c r="Q380" t="n">
        <v>0.0001</v>
      </c>
      <c r="R380" t="n">
        <v>-1</v>
      </c>
      <c r="S380" t="n">
        <v>0.0003</v>
      </c>
      <c r="T380" t="n">
        <v>-1</v>
      </c>
      <c r="U380" t="n">
        <v>0.0004</v>
      </c>
      <c r="V380" t="inlineStr">
        <is>
          <t>4/12</t>
        </is>
      </c>
      <c r="W380" t="inlineStr">
        <is>
          <t>.</t>
        </is>
      </c>
      <c r="X380" t="inlineStr">
        <is>
          <t>.</t>
        </is>
      </c>
      <c r="Y380" t="inlineStr">
        <is>
          <t>.</t>
        </is>
      </c>
      <c r="Z380" t="inlineStr">
        <is>
          <t>5/7</t>
        </is>
      </c>
      <c r="AA380" t="inlineStr">
        <is>
          <t>Uncertain significance</t>
        </is>
      </c>
      <c r="AB380" t="inlineStr">
        <is>
          <t>.</t>
        </is>
      </c>
      <c r="AC380" t="inlineStr">
        <is>
          <t>0/1</t>
        </is>
      </c>
      <c r="AD380" t="inlineStr">
        <is>
          <t>1</t>
        </is>
      </c>
      <c r="AE380" t="inlineStr">
        <is>
          <t>0.0277554399688677</t>
        </is>
      </c>
      <c r="AF380" t="inlineStr">
        <is>
          <t>ubiquitin like 7</t>
        </is>
      </c>
      <c r="AG380" t="inlineStr">
        <is>
          <t>.</t>
        </is>
      </c>
      <c r="AH380" t="inlineStr">
        <is>
          <t>.</t>
        </is>
      </c>
      <c r="AI380" t="inlineStr">
        <is>
          <t>.</t>
        </is>
      </c>
      <c r="AJ380" t="inlineStr">
        <is>
          <t>.</t>
        </is>
      </c>
      <c r="AK380" t="inlineStr">
        <is>
          <t>.</t>
        </is>
      </c>
      <c r="AL380" t="inlineStr">
        <is>
          <t>.</t>
        </is>
      </c>
    </row>
    <row r="381">
      <c r="A381" t="inlineStr"/>
      <c r="B381">
        <f>HYPERLINK("https://genome.ucsc.edu/cgi-bin/hgTracks?db=hg19&amp;position=chr15%3A74908195%2D74908195", "chr15:74908195")</f>
        <v/>
      </c>
      <c r="C381" t="inlineStr">
        <is>
          <t>chr15</t>
        </is>
      </c>
      <c r="D381" t="n">
        <v>74908195</v>
      </c>
      <c r="E381" t="n">
        <v>74908195</v>
      </c>
      <c r="F381" t="inlineStr">
        <is>
          <t>C</t>
        </is>
      </c>
      <c r="G381" t="inlineStr">
        <is>
          <t>T</t>
        </is>
      </c>
      <c r="H381" t="inlineStr">
        <is>
          <t>32.64</t>
        </is>
      </c>
      <c r="I381" t="inlineStr">
        <is>
          <t>13</t>
        </is>
      </c>
      <c r="J381" t="inlineStr">
        <is>
          <t>11,2</t>
        </is>
      </c>
      <c r="K381" t="inlineStr">
        <is>
          <t>.</t>
        </is>
      </c>
      <c r="L381">
        <f>HYPERLINK("https://www.ncbi.nlm.nih.gov/snp/rs987216921", "rs987216921")</f>
        <v/>
      </c>
      <c r="M381">
        <f>HYPERLINK("https://www.genecards.org/Search/Keyword?queryString=%5Baliases%5D(%20CLK3%20)&amp;keywords=CLK3", "CLK3")</f>
        <v/>
      </c>
      <c r="N381" t="inlineStr">
        <is>
          <t>UTR5;exonic</t>
        </is>
      </c>
      <c r="O381" t="inlineStr">
        <is>
          <t>nonsynonymous SNV</t>
        </is>
      </c>
      <c r="P381" t="inlineStr">
        <is>
          <t>NM_001130028:c.-3343C&gt;T;CLK3:uc010ulm.1:exon1:c.C400T:p.R134W,CLK3:uc010uln.2:exon1:c.C400T:p.R134W;ENST00000395066.9_3:c.-3343C&gt;T</t>
        </is>
      </c>
      <c r="Q381" t="n">
        <v>-1</v>
      </c>
      <c r="R381" t="n">
        <v>-1</v>
      </c>
      <c r="S381" t="n">
        <v>-1</v>
      </c>
      <c r="T381" t="n">
        <v>-1</v>
      </c>
      <c r="U381" t="n">
        <v>-1</v>
      </c>
      <c r="V381" t="inlineStr">
        <is>
          <t>4/11</t>
        </is>
      </c>
      <c r="W381" t="inlineStr">
        <is>
          <t>.</t>
        </is>
      </c>
      <c r="X381" t="inlineStr">
        <is>
          <t>.</t>
        </is>
      </c>
      <c r="Y381" t="inlineStr">
        <is>
          <t>.</t>
        </is>
      </c>
      <c r="Z381" t="inlineStr">
        <is>
          <t>0/7</t>
        </is>
      </c>
      <c r="AA381" t="inlineStr">
        <is>
          <t>Uncertain significance</t>
        </is>
      </c>
      <c r="AB381" t="inlineStr">
        <is>
          <t>.</t>
        </is>
      </c>
      <c r="AC381" t="inlineStr">
        <is>
          <t>0/1</t>
        </is>
      </c>
      <c r="AD381" t="inlineStr">
        <is>
          <t>1</t>
        </is>
      </c>
      <c r="AE381" t="inlineStr">
        <is>
          <t>0.928146533223461</t>
        </is>
      </c>
      <c r="AF381" t="inlineStr">
        <is>
          <t>CDC like kinase 3</t>
        </is>
      </c>
      <c r="AG381" t="inlineStr">
        <is>
          <t xml:space="preserve">FUNCTION: Dual specificity kinase acting on both serine/threonine and tyrosine-containing substrates. Phosphorylates serine- and arginine-rich (SR) proteins of the spliceosomal complex. May be a constituent of a network of regulatory mechanisms that enable SR proteins to control RNA splicing and can cause redistribution of SR proteins from speckles to a diffuse nucleoplasmic distribution. Phosphorylates SRSF1 and SRSF3. Regulates the alternative splicing of tissue factor (F3) pre-mRNA in endothelial cells. {ECO:0000269|PubMed:19168442, ECO:0000269|PubMed:9637771}.; </t>
        </is>
      </c>
      <c r="AH381" t="inlineStr">
        <is>
          <t>.</t>
        </is>
      </c>
      <c r="AI381" t="inlineStr">
        <is>
          <t>.</t>
        </is>
      </c>
      <c r="AJ381" t="inlineStr">
        <is>
          <t>.</t>
        </is>
      </c>
      <c r="AK381" t="inlineStr">
        <is>
          <t>.</t>
        </is>
      </c>
      <c r="AL381" t="inlineStr">
        <is>
          <t>.</t>
        </is>
      </c>
    </row>
    <row r="382">
      <c r="A382" t="inlineStr"/>
      <c r="B382">
        <f>HYPERLINK("https://genome.ucsc.edu/cgi-bin/hgTracks?db=hg19&amp;position=chr15%3A76196398%2D76196398", "chr15:76196398")</f>
        <v/>
      </c>
      <c r="C382" t="inlineStr">
        <is>
          <t>chr15</t>
        </is>
      </c>
      <c r="D382" t="n">
        <v>76196398</v>
      </c>
      <c r="E382" t="n">
        <v>76196398</v>
      </c>
      <c r="F382" t="inlineStr">
        <is>
          <t>C</t>
        </is>
      </c>
      <c r="G382" t="inlineStr">
        <is>
          <t>T</t>
        </is>
      </c>
      <c r="H382" t="inlineStr">
        <is>
          <t>399.64</t>
        </is>
      </c>
      <c r="I382" t="inlineStr">
        <is>
          <t>81</t>
        </is>
      </c>
      <c r="J382" t="inlineStr">
        <is>
          <t>61,20</t>
        </is>
      </c>
      <c r="K382" t="inlineStr">
        <is>
          <t>.</t>
        </is>
      </c>
      <c r="L382">
        <f>HYPERLINK("https://www.ncbi.nlm.nih.gov/snp/rs751316871", "rs751316871")</f>
        <v/>
      </c>
      <c r="M382">
        <f>HYPERLINK("https://www.genecards.org/Search/Keyword?queryString=%5Baliases%5D(%20FBXO22%20)&amp;keywords=FBXO22", "FBXO22")</f>
        <v/>
      </c>
      <c r="N382" t="inlineStr">
        <is>
          <t>exonic</t>
        </is>
      </c>
      <c r="O382" t="inlineStr">
        <is>
          <t>nonsynonymous SNV</t>
        </is>
      </c>
      <c r="P382" t="inlineStr">
        <is>
          <t>FBXO22:NM_012170:exon1:c.C94T:p.R32C,FBXO22:NM_147188:exon1:c.C94T:p.R32C;FBXO22:uc002bbj.2:exon1:c.C94T:p.R32C,FBXO22:uc002bbk.3:exon1:c.C94T:p.R32C;FBXO22:ENST00000308275.8_7:exon1:c.C94T:p.R32C,FBXO22:ENST00000453211.6_4:exon1:c.C94T:p.R32C</t>
        </is>
      </c>
      <c r="Q382" t="n">
        <v>6.5e-06</v>
      </c>
      <c r="R382" t="n">
        <v>-1</v>
      </c>
      <c r="S382" t="n">
        <v>-1</v>
      </c>
      <c r="T382" t="n">
        <v>-1</v>
      </c>
      <c r="U382" t="n">
        <v>-1</v>
      </c>
      <c r="V382" t="inlineStr">
        <is>
          <t>6/12</t>
        </is>
      </c>
      <c r="W382" t="inlineStr">
        <is>
          <t>.</t>
        </is>
      </c>
      <c r="X382" t="inlineStr">
        <is>
          <t>.</t>
        </is>
      </c>
      <c r="Y382" t="inlineStr">
        <is>
          <t>.</t>
        </is>
      </c>
      <c r="Z382" t="inlineStr">
        <is>
          <t>2/7</t>
        </is>
      </c>
      <c r="AA382" t="inlineStr">
        <is>
          <t>Uncertain significance</t>
        </is>
      </c>
      <c r="AB382" t="inlineStr">
        <is>
          <t>.</t>
        </is>
      </c>
      <c r="AC382" t="inlineStr">
        <is>
          <t>0/1</t>
        </is>
      </c>
      <c r="AD382" t="inlineStr">
        <is>
          <t>1</t>
        </is>
      </c>
      <c r="AE382" t="inlineStr">
        <is>
          <t>0.893814403062287</t>
        </is>
      </c>
      <c r="AF382" t="inlineStr">
        <is>
          <t>F-box protein 22</t>
        </is>
      </c>
      <c r="AG382" t="inlineStr">
        <is>
          <t xml:space="preserve">FUNCTION: Substrate-recognition component of the SCF (SKP1-CUL1-F- box protein)-type E3 ubiquitin ligase complex. Promotes the proteasome-dependent degradation of key sarcomeric proteins, such as alpha-actinin (ACTN2) and filamin-C (FLNC), essential for maintenance of normal contractile function. {ECO:0000269|PubMed:22972877}.; </t>
        </is>
      </c>
      <c r="AH382" t="inlineStr">
        <is>
          <t>.</t>
        </is>
      </c>
      <c r="AI382" t="inlineStr">
        <is>
          <t>.</t>
        </is>
      </c>
      <c r="AJ382" t="inlineStr">
        <is>
          <t>.</t>
        </is>
      </c>
      <c r="AK382" t="inlineStr">
        <is>
          <t>.</t>
        </is>
      </c>
      <c r="AL382" t="inlineStr">
        <is>
          <t>.</t>
        </is>
      </c>
    </row>
    <row r="383">
      <c r="A383" t="inlineStr"/>
      <c r="B383">
        <f>HYPERLINK("https://genome.ucsc.edu/cgi-bin/hgTracks?db=hg19&amp;position=chr15%3A89453043%2D89453043", "chr15:89453043")</f>
        <v/>
      </c>
      <c r="C383" t="inlineStr">
        <is>
          <t>chr15</t>
        </is>
      </c>
      <c r="D383" t="n">
        <v>89453043</v>
      </c>
      <c r="E383" t="n">
        <v>89453043</v>
      </c>
      <c r="F383" t="inlineStr">
        <is>
          <t>G</t>
        </is>
      </c>
      <c r="G383" t="inlineStr">
        <is>
          <t>A</t>
        </is>
      </c>
      <c r="H383" t="inlineStr">
        <is>
          <t>1484.64</t>
        </is>
      </c>
      <c r="I383" t="inlineStr">
        <is>
          <t>107</t>
        </is>
      </c>
      <c r="J383" t="inlineStr">
        <is>
          <t>47,60</t>
        </is>
      </c>
      <c r="K383" t="inlineStr">
        <is>
          <t>.</t>
        </is>
      </c>
      <c r="L383">
        <f>HYPERLINK("https://www.ncbi.nlm.nih.gov/snp/rs34449331", "rs34449331")</f>
        <v/>
      </c>
      <c r="M383">
        <f>HYPERLINK("https://www.genecards.org/Search/Keyword?queryString=%5Baliases%5D(%20MFGE8%20)&amp;keywords=MFGE8", "MFGE8")</f>
        <v/>
      </c>
      <c r="N383" t="inlineStr">
        <is>
          <t>exonic</t>
        </is>
      </c>
      <c r="O383" t="inlineStr">
        <is>
          <t>nonsynonymous SNV</t>
        </is>
      </c>
      <c r="P383" t="inlineStr">
        <is>
          <t>MFGE8:NM_001114614:exon2:c.C185T:p.A62V,MFGE8:NM_005928:exon2:c.C185T:p.A62V,MFGE8:NM_001310320:exon3:c.C161T:p.A54V;MFGE8:uc002bng.4:exon2:c.C185T:p.A62V,MFGE8:uc002bnh.4:exon2:c.C185T:p.A62V,MFGE8:uc010bnn.3:exon3:c.C161T:p.A54V;MFGE8:ENST00000268150.13_6:exon2:c.C185T:p.A62V,MFGE8:ENST00000268151.11_4:exon2:c.C185T:p.A62V,MFGE8:ENST00000558029.6_7:exon2:c.C185T:p.A62V,MFGE8:ENST00000566497.5_4:exon2:c.C185T:p.A62V,MFGE8:ENST00000695567.1_1:exon2:c.C224T:p.A75V,MFGE8:ENST00000695568.1_1:exon2:c.C185T:p.A62V,MFGE8:ENST00000695569.1_1:exon2:c.C185T:p.A62V,MFGE8:ENST00000558018.5_4:exon3:c.C161T:p.A54V</t>
        </is>
      </c>
      <c r="Q383" t="n">
        <v>0.002</v>
      </c>
      <c r="R383" t="n">
        <v>0.0018</v>
      </c>
      <c r="S383" t="n">
        <v>0.0015</v>
      </c>
      <c r="T383" t="n">
        <v>-1</v>
      </c>
      <c r="U383" t="n">
        <v>0.0015</v>
      </c>
      <c r="V383" t="inlineStr">
        <is>
          <t>3/11</t>
        </is>
      </c>
      <c r="W383" t="inlineStr">
        <is>
          <t>.</t>
        </is>
      </c>
      <c r="X383" t="inlineStr">
        <is>
          <t>.</t>
        </is>
      </c>
      <c r="Y383" t="inlineStr">
        <is>
          <t>.</t>
        </is>
      </c>
      <c r="Z383" t="inlineStr">
        <is>
          <t>1/7</t>
        </is>
      </c>
      <c r="AA383" t="inlineStr">
        <is>
          <t>Likely benign</t>
        </is>
      </c>
      <c r="AB383" t="inlineStr">
        <is>
          <t>.</t>
        </is>
      </c>
      <c r="AC383" t="inlineStr">
        <is>
          <t>0/1</t>
        </is>
      </c>
      <c r="AD383" t="inlineStr">
        <is>
          <t>1</t>
        </is>
      </c>
      <c r="AE383" t="inlineStr">
        <is>
          <t>0.000594281860541287</t>
        </is>
      </c>
      <c r="AF383" t="inlineStr">
        <is>
          <t>milk fat globule-EGF factor 8 protein</t>
        </is>
      </c>
      <c r="AG383" t="inlineStr">
        <is>
          <t xml:space="preserve">FUNCTION: Plays an important role in the maintenance of intestinal epithelial homeostasis and the promotion of mucosal healing. Promotes VEGF-dependent neovascularization (By similarity). Contributes to phagocytic removal of apoptotic cells in many tissues. Specific ligand for the alpha-v/beta-3 and alpha-v/beta-5 receptors. Also binds to phosphatidylserine-enriched cell surfaces in a receptor-independent manner. Zona pellucida-binding protein which may play a role in gamete interaction. Binds specifically to rotavirus and inhibits its replication. {ECO:0000250, ECO:0000269|PubMed:19204935}.; </t>
        </is>
      </c>
      <c r="AH383" t="inlineStr">
        <is>
          <t>.</t>
        </is>
      </c>
      <c r="AI383" t="inlineStr">
        <is>
          <t>.</t>
        </is>
      </c>
      <c r="AJ383" t="inlineStr">
        <is>
          <t>.</t>
        </is>
      </c>
      <c r="AK383" t="inlineStr">
        <is>
          <t>.</t>
        </is>
      </c>
      <c r="AL383" t="inlineStr">
        <is>
          <t>.</t>
        </is>
      </c>
    </row>
    <row r="384">
      <c r="A384" t="inlineStr"/>
      <c r="B384">
        <f>HYPERLINK("https://genome.ucsc.edu/cgi-bin/hgTracks?db=hg19&amp;position=chr15%3A89822207%2D89822207", "chr15:89822207")</f>
        <v/>
      </c>
      <c r="C384" t="inlineStr">
        <is>
          <t>chr15</t>
        </is>
      </c>
      <c r="D384" t="n">
        <v>89822207</v>
      </c>
      <c r="E384" t="n">
        <v>89822207</v>
      </c>
      <c r="F384" t="inlineStr">
        <is>
          <t>T</t>
        </is>
      </c>
      <c r="G384" t="inlineStr">
        <is>
          <t>G</t>
        </is>
      </c>
      <c r="H384" t="inlineStr">
        <is>
          <t>46.64</t>
        </is>
      </c>
      <c r="I384" t="inlineStr">
        <is>
          <t>8</t>
        </is>
      </c>
      <c r="J384" t="inlineStr">
        <is>
          <t>6,2</t>
        </is>
      </c>
      <c r="K384" t="inlineStr">
        <is>
          <t>.</t>
        </is>
      </c>
      <c r="L384" t="inlineStr">
        <is>
          <t>.</t>
        </is>
      </c>
      <c r="M384">
        <f>HYPERLINK("https://www.genecards.org/Search/Keyword?queryString=%5Baliases%5D(%20FANCI%20)&amp;keywords=FANCI", "FANCI")</f>
        <v/>
      </c>
      <c r="N384" t="inlineStr">
        <is>
          <t>intronic</t>
        </is>
      </c>
      <c r="O384" t="inlineStr">
        <is>
          <t>.</t>
        </is>
      </c>
      <c r="P384" t="inlineStr">
        <is>
          <t>.</t>
        </is>
      </c>
      <c r="Q384" t="n">
        <v>-1</v>
      </c>
      <c r="R384" t="n">
        <v>-1</v>
      </c>
      <c r="S384" t="n">
        <v>-1</v>
      </c>
      <c r="T384" t="n">
        <v>-1</v>
      </c>
      <c r="U384" t="n">
        <v>-1</v>
      </c>
      <c r="V384" t="inlineStr">
        <is>
          <t>.</t>
        </is>
      </c>
      <c r="W384" t="inlineStr">
        <is>
          <t>.</t>
        </is>
      </c>
      <c r="X384" t="inlineStr">
        <is>
          <t>D</t>
        </is>
      </c>
      <c r="Y384" t="inlineStr">
        <is>
          <t>off</t>
        </is>
      </c>
      <c r="Z384" t="inlineStr">
        <is>
          <t>.</t>
        </is>
      </c>
      <c r="AA384" t="inlineStr">
        <is>
          <t>.</t>
        </is>
      </c>
      <c r="AB384" t="inlineStr">
        <is>
          <t>.</t>
        </is>
      </c>
      <c r="AC384" t="inlineStr">
        <is>
          <t>0/1</t>
        </is>
      </c>
      <c r="AD384" t="inlineStr">
        <is>
          <t>1</t>
        </is>
      </c>
      <c r="AE384" t="inlineStr">
        <is>
          <t>5.16501380164005e-19</t>
        </is>
      </c>
      <c r="AF384" t="inlineStr">
        <is>
          <t>Fanconi anemia complementation group I</t>
        </is>
      </c>
      <c r="AG384" t="inlineStr">
        <is>
          <t xml:space="preserve">FUNCTION: Plays an essential role in the repair of DNA double- strand breaks by homologous recombination and in the repair of interstrand DNA cross-links (ICLs) by promoting FANCD2 monoubiquitination by FANCL and participating in recruitment to DNA repair sites. Required for maintenance of chromosomal stability. Specifically binds branched DNA: binds both single- stranded DNA (ssDNA) and double-stranded DNA (dsDNA). Participates in S phase and G2 phase checkpoint activation upon DNA damage. {ECO:0000269|PubMed:17412408, ECO:0000269|PubMed:17452773, ECO:0000269|PubMed:17460694, ECO:0000269|PubMed:19111657}.; </t>
        </is>
      </c>
      <c r="AH384" t="inlineStr">
        <is>
          <t xml:space="preserve">DISEASE: Fanconi anemia complementation group I (FANCI) [MIM:609053]: A disorder affecting all bone marrow elements and resulting in anemia, leukopenia and thrombopenia. It is associated with cardiac, renal and limb malformations, dermal pigmentary changes, and a predisposition to the development of malignancies. At the cellular level it is associated with hypersensitivity to DNA-damaging agents, chromosomal instability (increased chromosome breakage) and defective DNA repair. {ECO:0000269|PubMed:17452773}. Note=The disease is caused by mutations affecting the gene represented in this entry.; </t>
        </is>
      </c>
      <c r="AI384" t="inlineStr">
        <is>
          <t>.</t>
        </is>
      </c>
      <c r="AJ384" t="inlineStr">
        <is>
          <t>.</t>
        </is>
      </c>
      <c r="AK384" t="inlineStr">
        <is>
          <t>.</t>
        </is>
      </c>
      <c r="AL384" t="inlineStr">
        <is>
          <t>.</t>
        </is>
      </c>
    </row>
    <row r="385">
      <c r="A385" t="inlineStr"/>
      <c r="B385">
        <f>HYPERLINK("https://genome.ucsc.edu/cgi-bin/hgTracks?db=hg19&amp;position=chr15%3A90611183%2D90611183", "chr15:90611183")</f>
        <v/>
      </c>
      <c r="C385" t="inlineStr">
        <is>
          <t>chr15</t>
        </is>
      </c>
      <c r="D385" t="n">
        <v>90611183</v>
      </c>
      <c r="E385" t="n">
        <v>90611183</v>
      </c>
      <c r="F385" t="inlineStr">
        <is>
          <t>G</t>
        </is>
      </c>
      <c r="G385" t="inlineStr">
        <is>
          <t>T</t>
        </is>
      </c>
      <c r="H385" t="inlineStr">
        <is>
          <t>607.64</t>
        </is>
      </c>
      <c r="I385" t="inlineStr">
        <is>
          <t>149</t>
        </is>
      </c>
      <c r="J385" t="inlineStr">
        <is>
          <t>112,37</t>
        </is>
      </c>
      <c r="K385" t="inlineStr">
        <is>
          <t>.</t>
        </is>
      </c>
      <c r="L385" t="inlineStr">
        <is>
          <t>.</t>
        </is>
      </c>
      <c r="M385">
        <f>HYPERLINK("https://www.genecards.org/Search/Keyword?queryString=%5Baliases%5D(%20ZNF710%20)&amp;keywords=ZNF710", "ZNF710")</f>
        <v/>
      </c>
      <c r="N385" t="inlineStr">
        <is>
          <t>exonic</t>
        </is>
      </c>
      <c r="O385" t="inlineStr">
        <is>
          <t>nonsynonymous SNV</t>
        </is>
      </c>
      <c r="P385" t="inlineStr">
        <is>
          <t>ZNF710:NM_198526:exon2:c.G814T:p.D272Y;ZNF710:uc002bov.2:exon2:c.G814T:p.D272Y;ZNF710:ENST00000268154.9_3:exon2:c.G814T:p.D272Y</t>
        </is>
      </c>
      <c r="Q385" t="n">
        <v>-1</v>
      </c>
      <c r="R385" t="n">
        <v>-1</v>
      </c>
      <c r="S385" t="n">
        <v>-1</v>
      </c>
      <c r="T385" t="n">
        <v>-1</v>
      </c>
      <c r="U385" t="n">
        <v>-1</v>
      </c>
      <c r="V385" t="inlineStr">
        <is>
          <t>6/12</t>
        </is>
      </c>
      <c r="W385" t="inlineStr">
        <is>
          <t>.</t>
        </is>
      </c>
      <c r="X385" t="inlineStr">
        <is>
          <t>.</t>
        </is>
      </c>
      <c r="Y385" t="inlineStr">
        <is>
          <t>.</t>
        </is>
      </c>
      <c r="Z385" t="inlineStr">
        <is>
          <t>5/7</t>
        </is>
      </c>
      <c r="AA385" t="inlineStr">
        <is>
          <t>Uncertain significance</t>
        </is>
      </c>
      <c r="AB385" t="inlineStr">
        <is>
          <t>.</t>
        </is>
      </c>
      <c r="AC385" t="inlineStr">
        <is>
          <t>0/1</t>
        </is>
      </c>
      <c r="AD385" t="inlineStr">
        <is>
          <t>1</t>
        </is>
      </c>
      <c r="AE385" t="inlineStr">
        <is>
          <t>0.943123584694422</t>
        </is>
      </c>
      <c r="AF385" t="inlineStr">
        <is>
          <t>zinc finger protein 710</t>
        </is>
      </c>
      <c r="AG385" t="inlineStr">
        <is>
          <t xml:space="preserve">FUNCTION: May be involved in transcriptional regulation.; </t>
        </is>
      </c>
      <c r="AH385" t="inlineStr">
        <is>
          <t>.</t>
        </is>
      </c>
      <c r="AI385" t="inlineStr">
        <is>
          <t>.</t>
        </is>
      </c>
      <c r="AJ385" t="inlineStr">
        <is>
          <t>.</t>
        </is>
      </c>
      <c r="AK385" t="inlineStr">
        <is>
          <t>.</t>
        </is>
      </c>
      <c r="AL385" t="inlineStr">
        <is>
          <t>.</t>
        </is>
      </c>
    </row>
    <row r="386">
      <c r="A386" t="inlineStr"/>
      <c r="B386">
        <f>HYPERLINK("https://genome.ucsc.edu/cgi-bin/hgTracks?db=hg19&amp;position=chr15%3A91355798%2D91355798", "chr15:91355798")</f>
        <v/>
      </c>
      <c r="C386" t="inlineStr">
        <is>
          <t>chr15</t>
        </is>
      </c>
      <c r="D386" t="n">
        <v>91355798</v>
      </c>
      <c r="E386" t="n">
        <v>91355798</v>
      </c>
      <c r="F386" t="inlineStr">
        <is>
          <t>T</t>
        </is>
      </c>
      <c r="G386" t="inlineStr">
        <is>
          <t>C</t>
        </is>
      </c>
      <c r="H386" t="inlineStr">
        <is>
          <t>45.64</t>
        </is>
      </c>
      <c r="I386" t="inlineStr">
        <is>
          <t>10</t>
        </is>
      </c>
      <c r="J386" t="inlineStr">
        <is>
          <t>8,2</t>
        </is>
      </c>
      <c r="K386" t="inlineStr">
        <is>
          <t>.</t>
        </is>
      </c>
      <c r="L386" t="inlineStr">
        <is>
          <t>.</t>
        </is>
      </c>
      <c r="M386">
        <f>HYPERLINK("https://www.genecards.org/Search/Keyword?queryString=%5Baliases%5D(%20BLM%20)&amp;keywords=BLM", "BLM")</f>
        <v/>
      </c>
      <c r="N386" t="inlineStr">
        <is>
          <t>intronic;ncRNA_exonic</t>
        </is>
      </c>
      <c r="O386" t="inlineStr">
        <is>
          <t>.</t>
        </is>
      </c>
      <c r="P386" t="inlineStr">
        <is>
          <t>.</t>
        </is>
      </c>
      <c r="Q386" t="n">
        <v>-1</v>
      </c>
      <c r="R386" t="n">
        <v>-1</v>
      </c>
      <c r="S386" t="n">
        <v>-1</v>
      </c>
      <c r="T386" t="n">
        <v>-1</v>
      </c>
      <c r="U386" t="n">
        <v>-1</v>
      </c>
      <c r="V386" t="inlineStr">
        <is>
          <t>.</t>
        </is>
      </c>
      <c r="W386" t="inlineStr">
        <is>
          <t>.</t>
        </is>
      </c>
      <c r="X386" t="inlineStr">
        <is>
          <t>.</t>
        </is>
      </c>
      <c r="Y386" t="inlineStr">
        <is>
          <t>.</t>
        </is>
      </c>
      <c r="Z386" t="inlineStr">
        <is>
          <t>.</t>
        </is>
      </c>
      <c r="AA386" t="inlineStr">
        <is>
          <t>.</t>
        </is>
      </c>
      <c r="AB386" t="inlineStr">
        <is>
          <t>.</t>
        </is>
      </c>
      <c r="AC386" t="inlineStr">
        <is>
          <t>0/1</t>
        </is>
      </c>
      <c r="AD386" t="inlineStr">
        <is>
          <t>2</t>
        </is>
      </c>
      <c r="AE386" t="inlineStr">
        <is>
          <t>4.13859674040892e-11</t>
        </is>
      </c>
      <c r="AF386" t="inlineStr">
        <is>
          <t>Bloom syndrome RecQ like helicase</t>
        </is>
      </c>
      <c r="AG386" t="inlineStr">
        <is>
          <t xml:space="preserve">FUNCTION: Participates in DNA replication and repair. Exhibits a magnesium-dependent ATP-dependent DNA-helicase activity that unwinds single- and double-stranded DNA in a 3'-5' direction. Involved in 5'-end resection of DNA during double-strand break (DSB) repair: unwinds DNA and recruits DNA2 which mediates the cleavage of 5'-ssDNA. Negatively regulates sister chromatid exchange (SCE). {ECO:0000269|PubMed:12019152, ECO:0000269|PubMed:21325134, ECO:0000269|PubMed:23509288, ECO:0000269|PubMed:9388193}.; </t>
        </is>
      </c>
      <c r="AH386" t="inlineStr">
        <is>
          <t xml:space="preserve">DISEASE: Bloom syndrome (BLM) [MIM:210900]: An autosomal recessive disorder. It is characterized by proportionate pre- and postnatal growth deficiency, sun-sensitive telangiectatic hypo- and hyperpigmented skin, predisposition to malignancy, and chromosomal instability. {ECO:0000269|PubMed:10862105, ECO:0000269|PubMed:7585968, ECO:0000269|PubMed:9285778}. Note=The disease is caused by mutations affecting the gene represented in this entry.; </t>
        </is>
      </c>
      <c r="AI386" t="inlineStr">
        <is>
          <t>.</t>
        </is>
      </c>
      <c r="AJ386" t="inlineStr">
        <is>
          <t>.</t>
        </is>
      </c>
      <c r="AK386" t="inlineStr">
        <is>
          <t>.</t>
        </is>
      </c>
      <c r="AL386" t="inlineStr">
        <is>
          <t>.</t>
        </is>
      </c>
    </row>
    <row r="387">
      <c r="A387" t="inlineStr"/>
      <c r="B387">
        <f>HYPERLINK("https://genome.ucsc.edu/cgi-bin/hgTracks?db=hg19&amp;position=chr15%3A91355982%2D91355982", "chr15:91355982")</f>
        <v/>
      </c>
      <c r="C387" t="inlineStr">
        <is>
          <t>chr15</t>
        </is>
      </c>
      <c r="D387" t="n">
        <v>91355982</v>
      </c>
      <c r="E387" t="n">
        <v>91355982</v>
      </c>
      <c r="F387" t="inlineStr">
        <is>
          <t>G</t>
        </is>
      </c>
      <c r="G387" t="inlineStr">
        <is>
          <t>A</t>
        </is>
      </c>
      <c r="H387" t="inlineStr">
        <is>
          <t>55.64</t>
        </is>
      </c>
      <c r="I387" t="inlineStr">
        <is>
          <t>6</t>
        </is>
      </c>
      <c r="J387" t="inlineStr">
        <is>
          <t>4,2</t>
        </is>
      </c>
      <c r="K387" t="inlineStr">
        <is>
          <t>.</t>
        </is>
      </c>
      <c r="L387" t="inlineStr">
        <is>
          <t>.</t>
        </is>
      </c>
      <c r="M387">
        <f>HYPERLINK("https://www.genecards.org/Search/Keyword?queryString=%5Baliases%5D(%20BLM%20)&amp;keywords=BLM", "BLM")</f>
        <v/>
      </c>
      <c r="N387" t="inlineStr">
        <is>
          <t>intronic;ncRNA_intronic</t>
        </is>
      </c>
      <c r="O387" t="inlineStr">
        <is>
          <t>.</t>
        </is>
      </c>
      <c r="P387" t="inlineStr">
        <is>
          <t>.</t>
        </is>
      </c>
      <c r="Q387" t="n">
        <v>-1</v>
      </c>
      <c r="R387" t="n">
        <v>-1</v>
      </c>
      <c r="S387" t="n">
        <v>-1</v>
      </c>
      <c r="T387" t="n">
        <v>-1</v>
      </c>
      <c r="U387" t="n">
        <v>-1</v>
      </c>
      <c r="V387" t="inlineStr">
        <is>
          <t>.</t>
        </is>
      </c>
      <c r="W387" t="inlineStr">
        <is>
          <t>.</t>
        </is>
      </c>
      <c r="X387" t="inlineStr">
        <is>
          <t>.</t>
        </is>
      </c>
      <c r="Y387" t="inlineStr">
        <is>
          <t>.</t>
        </is>
      </c>
      <c r="Z387" t="inlineStr">
        <is>
          <t>.</t>
        </is>
      </c>
      <c r="AA387" t="inlineStr">
        <is>
          <t>.</t>
        </is>
      </c>
      <c r="AB387" t="inlineStr">
        <is>
          <t>.</t>
        </is>
      </c>
      <c r="AC387" t="inlineStr">
        <is>
          <t>0/1</t>
        </is>
      </c>
      <c r="AD387" t="inlineStr">
        <is>
          <t>2</t>
        </is>
      </c>
      <c r="AE387" t="inlineStr">
        <is>
          <t>4.13859674040892e-11</t>
        </is>
      </c>
      <c r="AF387" t="inlineStr">
        <is>
          <t>Bloom syndrome RecQ like helicase</t>
        </is>
      </c>
      <c r="AG387" t="inlineStr">
        <is>
          <t xml:space="preserve">FUNCTION: Participates in DNA replication and repair. Exhibits a magnesium-dependent ATP-dependent DNA-helicase activity that unwinds single- and double-stranded DNA in a 3'-5' direction. Involved in 5'-end resection of DNA during double-strand break (DSB) repair: unwinds DNA and recruits DNA2 which mediates the cleavage of 5'-ssDNA. Negatively regulates sister chromatid exchange (SCE). {ECO:0000269|PubMed:12019152, ECO:0000269|PubMed:21325134, ECO:0000269|PubMed:23509288, ECO:0000269|PubMed:9388193}.; </t>
        </is>
      </c>
      <c r="AH387" t="inlineStr">
        <is>
          <t xml:space="preserve">DISEASE: Bloom syndrome (BLM) [MIM:210900]: An autosomal recessive disorder. It is characterized by proportionate pre- and postnatal growth deficiency, sun-sensitive telangiectatic hypo- and hyperpigmented skin, predisposition to malignancy, and chromosomal instability. {ECO:0000269|PubMed:10862105, ECO:0000269|PubMed:7585968, ECO:0000269|PubMed:9285778}. Note=The disease is caused by mutations affecting the gene represented in this entry.; </t>
        </is>
      </c>
      <c r="AI387" t="inlineStr">
        <is>
          <t>.</t>
        </is>
      </c>
      <c r="AJ387" t="inlineStr">
        <is>
          <t>.</t>
        </is>
      </c>
      <c r="AK387" t="inlineStr">
        <is>
          <t>.</t>
        </is>
      </c>
      <c r="AL387" t="inlineStr">
        <is>
          <t>.</t>
        </is>
      </c>
    </row>
    <row r="388">
      <c r="A388" t="inlineStr"/>
      <c r="B388">
        <f>HYPERLINK("https://genome.ucsc.edu/cgi-bin/hgTracks?db=hg19&amp;position=chr15%3A92690379%2D92690379", "chr15:92690379")</f>
        <v/>
      </c>
      <c r="C388" t="inlineStr">
        <is>
          <t>chr15</t>
        </is>
      </c>
      <c r="D388" t="n">
        <v>92690379</v>
      </c>
      <c r="E388" t="n">
        <v>92690379</v>
      </c>
      <c r="F388" t="inlineStr">
        <is>
          <t>A</t>
        </is>
      </c>
      <c r="G388" t="inlineStr">
        <is>
          <t>G</t>
        </is>
      </c>
      <c r="H388" t="inlineStr">
        <is>
          <t>1282.64</t>
        </is>
      </c>
      <c r="I388" t="inlineStr">
        <is>
          <t>78</t>
        </is>
      </c>
      <c r="J388" t="inlineStr">
        <is>
          <t>25,53</t>
        </is>
      </c>
      <c r="K388" t="inlineStr">
        <is>
          <t>.</t>
        </is>
      </c>
      <c r="L388">
        <f>HYPERLINK("https://www.ncbi.nlm.nih.gov/snp/rs141187463", "rs141187463")</f>
        <v/>
      </c>
      <c r="M388">
        <f>HYPERLINK("https://www.genecards.org/Search/Keyword?queryString=%5Baliases%5D(%20SLCO3A1%20)&amp;keywords=SLCO3A1", "SLCO3A1")</f>
        <v/>
      </c>
      <c r="N388" t="inlineStr">
        <is>
          <t>exonic</t>
        </is>
      </c>
      <c r="O388" t="inlineStr">
        <is>
          <t>nonsynonymous SNV</t>
        </is>
      </c>
      <c r="P388" t="inlineStr">
        <is>
          <t>SLCO3A1:NM_001145044:exon8:c.A1678G:p.I560V,SLCO3A1:NM_013272:exon8:c.A1678G:p.I560V;SLCO3A1:uc002bqx.2:exon8:c.A1678G:p.I560V,SLCO3A1:uc002bqy.2:exon8:c.A1678G:p.I560V,SLCO3A1:uc002bqz.1:exon9:c.A1504G:p.I502V;SLCO3A1:ENST00000318445.11_6:exon8:c.A1678G:p.I560V,SLCO3A1:ENST00000424469.2_3:exon8:c.A1678G:p.I560V</t>
        </is>
      </c>
      <c r="Q388" t="n">
        <v>0.017241</v>
      </c>
      <c r="R388" t="n">
        <v>0.0034</v>
      </c>
      <c r="S388" t="n">
        <v>0.0039</v>
      </c>
      <c r="T388" t="n">
        <v>-1</v>
      </c>
      <c r="U388" t="n">
        <v>0.0036</v>
      </c>
      <c r="V388" t="inlineStr">
        <is>
          <t>4/11</t>
        </is>
      </c>
      <c r="W388" t="inlineStr">
        <is>
          <t>.</t>
        </is>
      </c>
      <c r="X388" t="inlineStr">
        <is>
          <t>.</t>
        </is>
      </c>
      <c r="Y388" t="inlineStr">
        <is>
          <t>.</t>
        </is>
      </c>
      <c r="Z388" t="inlineStr">
        <is>
          <t>6/7</t>
        </is>
      </c>
      <c r="AA388" t="inlineStr">
        <is>
          <t>Uncertain significance</t>
        </is>
      </c>
      <c r="AB388" t="inlineStr">
        <is>
          <t>.</t>
        </is>
      </c>
      <c r="AC388" t="inlineStr">
        <is>
          <t>0/1</t>
        </is>
      </c>
      <c r="AD388" t="inlineStr">
        <is>
          <t>1</t>
        </is>
      </c>
      <c r="AE388" t="inlineStr">
        <is>
          <t>0.732171682691697</t>
        </is>
      </c>
      <c r="AF388" t="inlineStr">
        <is>
          <t>solute carrier organic anion transporter family member 3A1</t>
        </is>
      </c>
      <c r="AG388" t="inlineStr">
        <is>
          <t xml:space="preserve">FUNCTION: Mediates the Na(+)-independent transport of organic anions such as estrone-3-sulfate (PubMed:10873595). Mediates transport of prostaglandins (PG) E1 and E2, thyroxine (T4), deltorphin II, BQ-123 and vasopressin, but not DPDPE (a derivative of enkephalin lacking an N-terminal tyrosine residue), estrone-3- sulfate, taurocholate, digoxin nor DHEAS (PubMed:16971491). {ECO:0000269|PubMed:10873595, ECO:0000269|PubMed:16971491}.; </t>
        </is>
      </c>
      <c r="AH388" t="inlineStr">
        <is>
          <t>.</t>
        </is>
      </c>
      <c r="AI388" t="inlineStr">
        <is>
          <t>.</t>
        </is>
      </c>
      <c r="AJ388" t="inlineStr">
        <is>
          <t>.</t>
        </is>
      </c>
      <c r="AK388" t="inlineStr">
        <is>
          <t>.</t>
        </is>
      </c>
      <c r="AL388" t="inlineStr">
        <is>
          <t>.</t>
        </is>
      </c>
    </row>
    <row r="389">
      <c r="A389" t="inlineStr"/>
      <c r="B389">
        <f>HYPERLINK("https://genome.ucsc.edu/cgi-bin/hgTracks?db=hg19&amp;position=chr15%3A99192759%2D99192763", "chr15:99192759")</f>
        <v/>
      </c>
      <c r="C389" t="inlineStr">
        <is>
          <t>chr15</t>
        </is>
      </c>
      <c r="D389" t="n">
        <v>99192759</v>
      </c>
      <c r="E389" t="n">
        <v>99192763</v>
      </c>
      <c r="F389" t="inlineStr">
        <is>
          <t>TTTTT</t>
        </is>
      </c>
      <c r="G389" t="inlineStr">
        <is>
          <t>-</t>
        </is>
      </c>
      <c r="H389" t="inlineStr">
        <is>
          <t>608.02</t>
        </is>
      </c>
      <c r="I389" t="inlineStr">
        <is>
          <t>27</t>
        </is>
      </c>
      <c r="J389" t="inlineStr">
        <is>
          <t>3,10,5</t>
        </is>
      </c>
      <c r="K389" t="inlineStr">
        <is>
          <t>.</t>
        </is>
      </c>
      <c r="L389" t="inlineStr">
        <is>
          <t>.</t>
        </is>
      </c>
      <c r="M389">
        <f>HYPERLINK("https://www.genecards.org/Search/Keyword?queryString=%5Baliases%5D(%20IGF1R%20)%20OR%20%5Baliases%5D(%20IRAIN%20)&amp;keywords=IGF1R,IRAIN", "IGF1R;IRAIN")</f>
        <v/>
      </c>
      <c r="N389" t="inlineStr">
        <is>
          <t>UTR5;ncRNA_exonic</t>
        </is>
      </c>
      <c r="O389" t="inlineStr">
        <is>
          <t>.</t>
        </is>
      </c>
      <c r="P389" t="inlineStr">
        <is>
          <t>uc010urq.2:c.-50_-48delins-;uc002bul.3:c.-50_-48delins-;uc010bon.3:c.-50_-48delins-;ENST00000649865.1_3:c.-52_-48del-;ENST00000650285.1_7:c.-52_-48del-</t>
        </is>
      </c>
      <c r="Q389" t="n">
        <v>-1</v>
      </c>
      <c r="R389" t="n">
        <v>-1</v>
      </c>
      <c r="S389" t="n">
        <v>-1</v>
      </c>
      <c r="T389" t="n">
        <v>-1</v>
      </c>
      <c r="U389" t="n">
        <v>-1</v>
      </c>
      <c r="V389" t="inlineStr">
        <is>
          <t>.</t>
        </is>
      </c>
      <c r="W389" t="inlineStr">
        <is>
          <t>.</t>
        </is>
      </c>
      <c r="X389" t="inlineStr">
        <is>
          <t>.</t>
        </is>
      </c>
      <c r="Y389" t="inlineStr">
        <is>
          <t>.</t>
        </is>
      </c>
      <c r="Z389" t="inlineStr">
        <is>
          <t>.</t>
        </is>
      </c>
      <c r="AA389" t="inlineStr">
        <is>
          <t>.</t>
        </is>
      </c>
      <c r="AB389" t="inlineStr">
        <is>
          <t>.</t>
        </is>
      </c>
      <c r="AC389" t="inlineStr">
        <is>
          <t>1/2</t>
        </is>
      </c>
      <c r="AD389" t="inlineStr">
        <is>
          <t>2;1</t>
        </is>
      </c>
      <c r="AE389" t="inlineStr">
        <is>
          <t>0.552974259646112</t>
        </is>
      </c>
      <c r="AF389" t="inlineStr">
        <is>
          <t>IGF1R antisense imprinted non-protein coding RNA;insulin like growth factor 1 receptor</t>
        </is>
      </c>
      <c r="AG389" t="inlineStr">
        <is>
          <t xml:space="preserve">FUNCTION: Receptor tyrosine kinase which mediates actions of insulin-like growth factor 1 (IGF1). Binds IGF1 with high affinity and IGF2 and insulin (INS) with a lower affinity. The activated IGF1R is involved in cell growth and survival control. IGF1R is crucial for tumor transformation and survival of malignant cell. Ligand binding activates the receptor kinase, leading to receptor autophosphorylation, and tyrosines phosphorylation of multiple substrates, that function as signaling adapter proteins including, the insulin-receptor substrates (IRS1/2), Shc and 14-3-3 proteins. Phosphorylation of IRSs proteins lead to the activation of two main signaling pathways: the PI3K-AKT/PKB pathway and the Ras-MAPK pathway. The result of activating the MAPK pathway is increased cellular proliferation, whereas activating the PI3K pathway inhibits apoptosis and stimulates protein synthesis. Phosphorylated IRS1 can activate the 85 kDa regulatory subunit of PI3K (PIK3R1), leading to activation of several downstream substrates, including protein AKT/PKB. AKT phosphorylation, in turn, enhances protein synthesis through mTOR activation and triggers the antiapoptotic effects of IGFIR through phosphorylation and inactivation of BAD. In parallel to PI3K- driven signaling, recruitment of Grb2/SOS by phosphorylated IRS1 or Shc leads to recruitment of Ras and activation of the ras-MAPK pathway. In addition to these two main signaling pathways IGF1R signals also through the Janus kinase/signal transducer and activator of transcription pathway (JAK/STAT). Phosphorylation of JAK proteins can lead to phosphorylation/activation of signal transducers and activators of transcription (STAT) proteins. In particular activation of STAT3, may be essential for the transforming activity of IGF1R. The JAK/STAT pathway activates gene transcription and may be responsible for the transforming activity. JNK kinases can also be activated by the IGF1R. IGF1 exerts inhibiting activities on JNK activation via phosphorylation and inhibition of MAP3K5/ASK1, which is able to directly associate with the IGF1R.; </t>
        </is>
      </c>
      <c r="AH389" t="inlineStr">
        <is>
          <t xml:space="preserve">DISEASE: Insulin-like growth factor 1 resistance (IGF1RES) [MIM:270450]: A disorder characterized by intrauterine growth retardation, poor postnatal growth and increased plasma IGF1 levels. {ECO:0000269|PubMed:14657428, ECO:0000269|PubMed:15928254}. Note=The disease is caused by mutations affecting the gene represented in this entry.; </t>
        </is>
      </c>
      <c r="AI389" t="inlineStr">
        <is>
          <t>.</t>
        </is>
      </c>
      <c r="AJ389" t="inlineStr">
        <is>
          <t>.</t>
        </is>
      </c>
      <c r="AK389" t="inlineStr">
        <is>
          <t>.</t>
        </is>
      </c>
      <c r="AL389" t="inlineStr">
        <is>
          <t>.</t>
        </is>
      </c>
    </row>
    <row r="390">
      <c r="A390" t="inlineStr"/>
      <c r="B390">
        <f>HYPERLINK("https://genome.ucsc.edu/cgi-bin/hgTracks?db=hg19&amp;position=chr15%3A99506444%2D99506444", "chr15:99506444")</f>
        <v/>
      </c>
      <c r="C390" t="inlineStr">
        <is>
          <t>chr15</t>
        </is>
      </c>
      <c r="D390" t="n">
        <v>99506444</v>
      </c>
      <c r="E390" t="n">
        <v>99506444</v>
      </c>
      <c r="F390" t="inlineStr">
        <is>
          <t>T</t>
        </is>
      </c>
      <c r="G390" t="inlineStr">
        <is>
          <t>-</t>
        </is>
      </c>
      <c r="H390" t="inlineStr">
        <is>
          <t>1101.02</t>
        </is>
      </c>
      <c r="I390" t="inlineStr">
        <is>
          <t>69</t>
        </is>
      </c>
      <c r="J390" t="inlineStr">
        <is>
          <t>9,15,38</t>
        </is>
      </c>
      <c r="K390" t="inlineStr">
        <is>
          <t>.</t>
        </is>
      </c>
      <c r="L390" t="inlineStr">
        <is>
          <t>.</t>
        </is>
      </c>
      <c r="M390">
        <f>HYPERLINK("https://www.genecards.org/Search/Keyword?queryString=%5Baliases%5D(%20IGF1R%20)&amp;keywords=IGF1R", "IGF1R")</f>
        <v/>
      </c>
      <c r="N390" t="inlineStr">
        <is>
          <t>UTR3;ncRNA_intronic</t>
        </is>
      </c>
      <c r="O390" t="inlineStr">
        <is>
          <t>.</t>
        </is>
      </c>
      <c r="P390" t="inlineStr">
        <is>
          <t>NM_000875:c.*5773delT;NM_001291858:c.*5773delT;uc002bul.3:c.*5773delT;uc010bon.3:c.*5773delT</t>
        </is>
      </c>
      <c r="Q390" t="n">
        <v>-1</v>
      </c>
      <c r="R390" t="n">
        <v>-1</v>
      </c>
      <c r="S390" t="n">
        <v>-1</v>
      </c>
      <c r="T390" t="n">
        <v>-1</v>
      </c>
      <c r="U390" t="n">
        <v>-1</v>
      </c>
      <c r="V390" t="inlineStr">
        <is>
          <t>.</t>
        </is>
      </c>
      <c r="W390" t="inlineStr">
        <is>
          <t>.</t>
        </is>
      </c>
      <c r="X390" t="inlineStr">
        <is>
          <t>.</t>
        </is>
      </c>
      <c r="Y390" t="inlineStr">
        <is>
          <t>.</t>
        </is>
      </c>
      <c r="Z390" t="inlineStr">
        <is>
          <t>.</t>
        </is>
      </c>
      <c r="AA390" t="inlineStr">
        <is>
          <t>.</t>
        </is>
      </c>
      <c r="AB390" t="inlineStr">
        <is>
          <t>.</t>
        </is>
      </c>
      <c r="AC390" t="inlineStr">
        <is>
          <t>1/2</t>
        </is>
      </c>
      <c r="AD390" t="inlineStr">
        <is>
          <t>2</t>
        </is>
      </c>
      <c r="AE390" t="inlineStr">
        <is>
          <t>0.552974259646112</t>
        </is>
      </c>
      <c r="AF390" t="inlineStr">
        <is>
          <t>insulin like growth factor 1 receptor</t>
        </is>
      </c>
      <c r="AG390" t="inlineStr">
        <is>
          <t xml:space="preserve">FUNCTION: Receptor tyrosine kinase which mediates actions of insulin-like growth factor 1 (IGF1). Binds IGF1 with high affinity and IGF2 and insulin (INS) with a lower affinity. The activated IGF1R is involved in cell growth and survival control. IGF1R is crucial for tumor transformation and survival of malignant cell. Ligand binding activates the receptor kinase, leading to receptor autophosphorylation, and tyrosines phosphorylation of multiple substrates, that function as signaling adapter proteins including, the insulin-receptor substrates (IRS1/2), Shc and 14-3-3 proteins. Phosphorylation of IRSs proteins lead to the activation of two main signaling pathways: the PI3K-AKT/PKB pathway and the Ras-MAPK pathway. The result of activating the MAPK pathway is increased cellular proliferation, whereas activating the PI3K pathway inhibits apoptosis and stimulates protein synthesis. Phosphorylated IRS1 can activate the 85 kDa regulatory subunit of PI3K (PIK3R1), leading to activation of several downstream substrates, including protein AKT/PKB. AKT phosphorylation, in turn, enhances protein synthesis through mTOR activation and triggers the antiapoptotic effects of IGFIR through phosphorylation and inactivation of BAD. In parallel to PI3K- driven signaling, recruitment of Grb2/SOS by phosphorylated IRS1 or Shc leads to recruitment of Ras and activation of the ras-MAPK pathway. In addition to these two main signaling pathways IGF1R signals also through the Janus kinase/signal transducer and activator of transcription pathway (JAK/STAT). Phosphorylation of JAK proteins can lead to phosphorylation/activation of signal transducers and activators of transcription (STAT) proteins. In particular activation of STAT3, may be essential for the transforming activity of IGF1R. The JAK/STAT pathway activates gene transcription and may be responsible for the transforming activity. JNK kinases can also be activated by the IGF1R. IGF1 exerts inhibiting activities on JNK activation via phosphorylation and inhibition of MAP3K5/ASK1, which is able to directly associate with the IGF1R.; </t>
        </is>
      </c>
      <c r="AH390" t="inlineStr">
        <is>
          <t xml:space="preserve">DISEASE: Insulin-like growth factor 1 resistance (IGF1RES) [MIM:270450]: A disorder characterized by intrauterine growth retardation, poor postnatal growth and increased plasma IGF1 levels. {ECO:0000269|PubMed:14657428, ECO:0000269|PubMed:15928254}. Note=The disease is caused by mutations affecting the gene represented in this entry.; </t>
        </is>
      </c>
      <c r="AI390" t="inlineStr">
        <is>
          <t>.</t>
        </is>
      </c>
      <c r="AJ390" t="inlineStr">
        <is>
          <t>.</t>
        </is>
      </c>
      <c r="AK390" t="inlineStr">
        <is>
          <t>.</t>
        </is>
      </c>
      <c r="AL390" t="inlineStr">
        <is>
          <t>.</t>
        </is>
      </c>
    </row>
    <row r="391">
      <c r="A391" t="inlineStr"/>
      <c r="B391">
        <f>HYPERLINK("https://genome.ucsc.edu/cgi-bin/hgTracks?db=hg19&amp;position=chr15%3A101775202%2D101775202", "chr15:101775202")</f>
        <v/>
      </c>
      <c r="C391" t="inlineStr">
        <is>
          <t>chr15</t>
        </is>
      </c>
      <c r="D391" t="n">
        <v>101775202</v>
      </c>
      <c r="E391" t="n">
        <v>101775202</v>
      </c>
      <c r="F391" t="inlineStr">
        <is>
          <t>T</t>
        </is>
      </c>
      <c r="G391" t="inlineStr">
        <is>
          <t>C</t>
        </is>
      </c>
      <c r="H391" t="inlineStr">
        <is>
          <t>832.64</t>
        </is>
      </c>
      <c r="I391" t="inlineStr">
        <is>
          <t>49</t>
        </is>
      </c>
      <c r="J391" t="inlineStr">
        <is>
          <t>18,31</t>
        </is>
      </c>
      <c r="K391" t="inlineStr">
        <is>
          <t>.</t>
        </is>
      </c>
      <c r="L391">
        <f>HYPERLINK("https://www.ncbi.nlm.nih.gov/snp/rs989288161", "rs989288161")</f>
        <v/>
      </c>
      <c r="M391">
        <f>HYPERLINK("https://www.genecards.org/Search/Keyword?queryString=%5Baliases%5D(%20CHSY1%20)&amp;keywords=CHSY1", "CHSY1")</f>
        <v/>
      </c>
      <c r="N391" t="inlineStr">
        <is>
          <t>intronic</t>
        </is>
      </c>
      <c r="O391" t="inlineStr">
        <is>
          <t>.</t>
        </is>
      </c>
      <c r="P391" t="inlineStr">
        <is>
          <t>.</t>
        </is>
      </c>
      <c r="Q391" t="n">
        <v>-1</v>
      </c>
      <c r="R391" t="n">
        <v>-1</v>
      </c>
      <c r="S391" t="n">
        <v>-1</v>
      </c>
      <c r="T391" t="n">
        <v>-1</v>
      </c>
      <c r="U391" t="n">
        <v>-1</v>
      </c>
      <c r="V391" t="inlineStr">
        <is>
          <t>.</t>
        </is>
      </c>
      <c r="W391" t="inlineStr">
        <is>
          <t>.</t>
        </is>
      </c>
      <c r="X391" t="inlineStr">
        <is>
          <t>PD</t>
        </is>
      </c>
      <c r="Y391" t="inlineStr">
        <is>
          <t>off</t>
        </is>
      </c>
      <c r="Z391" t="inlineStr">
        <is>
          <t>.</t>
        </is>
      </c>
      <c r="AA391" t="inlineStr">
        <is>
          <t>.</t>
        </is>
      </c>
      <c r="AB391" t="inlineStr">
        <is>
          <t>.</t>
        </is>
      </c>
      <c r="AC391" t="inlineStr">
        <is>
          <t>0/1</t>
        </is>
      </c>
      <c r="AD391" t="inlineStr">
        <is>
          <t>1</t>
        </is>
      </c>
      <c r="AE391" t="inlineStr">
        <is>
          <t>0.913667234012375</t>
        </is>
      </c>
      <c r="AF391" t="inlineStr">
        <is>
          <t>chondroitin sulfate synthase 1</t>
        </is>
      </c>
      <c r="AG391" t="inlineStr">
        <is>
          <t xml:space="preserve">FUNCTION: Has both beta-1,3-glucuronic acid and beta-1,4-N- acetylgalactosamine transferase activity. Transfers glucuronic acid (GlcUA) from UDP-GlcUA and N-acetylgalactosamine (GalNAc) from UDP-GalNAc to the non-reducing end of the elongating chondroitin polymer. Involved in the negative control of osteogenesis likely through the modulation of NOTCH signaling. {ECO:0000269|PubMed:11514575, ECO:0000269|PubMed:21129727}.; </t>
        </is>
      </c>
      <c r="AH391" t="inlineStr">
        <is>
          <t>.</t>
        </is>
      </c>
      <c r="AI391" t="inlineStr">
        <is>
          <t>.</t>
        </is>
      </c>
      <c r="AJ391" t="inlineStr">
        <is>
          <t>.</t>
        </is>
      </c>
      <c r="AK391" t="inlineStr">
        <is>
          <t>.</t>
        </is>
      </c>
      <c r="AL391" t="inlineStr">
        <is>
          <t>.</t>
        </is>
      </c>
    </row>
    <row r="392">
      <c r="A392" t="inlineStr"/>
      <c r="B392">
        <f>HYPERLINK("https://genome.ucsc.edu/cgi-bin/hgTracks?db=hg19&amp;position=chr16%3A1509336%2D1509336", "chr16:1509336")</f>
        <v/>
      </c>
      <c r="C392" t="inlineStr">
        <is>
          <t>chr16</t>
        </is>
      </c>
      <c r="D392" t="n">
        <v>1509336</v>
      </c>
      <c r="E392" t="n">
        <v>1509336</v>
      </c>
      <c r="F392" t="inlineStr">
        <is>
          <t>C</t>
        </is>
      </c>
      <c r="G392" t="inlineStr">
        <is>
          <t>T</t>
        </is>
      </c>
      <c r="H392" t="inlineStr">
        <is>
          <t>103.64</t>
        </is>
      </c>
      <c r="I392" t="inlineStr">
        <is>
          <t>8</t>
        </is>
      </c>
      <c r="J392" t="inlineStr">
        <is>
          <t>5,3</t>
        </is>
      </c>
      <c r="K392" t="inlineStr">
        <is>
          <t>.</t>
        </is>
      </c>
      <c r="L392">
        <f>HYPERLINK("https://www.ncbi.nlm.nih.gov/snp/rs75438786", "rs75438786")</f>
        <v/>
      </c>
      <c r="M392">
        <f>HYPERLINK("https://www.genecards.org/Search/Keyword?queryString=%5Baliases%5D(%20CLCN7%20)&amp;keywords=CLCN7", "CLCN7")</f>
        <v/>
      </c>
      <c r="N392" t="inlineStr">
        <is>
          <t>intronic</t>
        </is>
      </c>
      <c r="O392" t="inlineStr">
        <is>
          <t>.</t>
        </is>
      </c>
      <c r="P392" t="inlineStr">
        <is>
          <t>.</t>
        </is>
      </c>
      <c r="Q392" t="n">
        <v>0.029</v>
      </c>
      <c r="R392" t="n">
        <v>0.0236</v>
      </c>
      <c r="S392" t="n">
        <v>0.026</v>
      </c>
      <c r="T392" t="n">
        <v>-1</v>
      </c>
      <c r="U392" t="n">
        <v>0.0312</v>
      </c>
      <c r="V392" t="inlineStr">
        <is>
          <t>.</t>
        </is>
      </c>
      <c r="W392" t="inlineStr">
        <is>
          <t>.</t>
        </is>
      </c>
      <c r="X392" t="inlineStr">
        <is>
          <t>PD</t>
        </is>
      </c>
      <c r="Y392" t="inlineStr">
        <is>
          <t>off</t>
        </is>
      </c>
      <c r="Z392" t="inlineStr">
        <is>
          <t>.</t>
        </is>
      </c>
      <c r="AA392" t="inlineStr">
        <is>
          <t>.</t>
        </is>
      </c>
      <c r="AB392" t="inlineStr">
        <is>
          <t>.</t>
        </is>
      </c>
      <c r="AC392" t="inlineStr">
        <is>
          <t>.</t>
        </is>
      </c>
      <c r="AD392" t="inlineStr">
        <is>
          <t>1</t>
        </is>
      </c>
      <c r="AE392" t="inlineStr">
        <is>
          <t>0.981282976462541</t>
        </is>
      </c>
      <c r="AF392" t="inlineStr">
        <is>
          <t>chloride voltage-gated channel 7</t>
        </is>
      </c>
      <c r="AG392" t="inlineStr">
        <is>
          <t xml:space="preserve">FUNCTION: Slowly voltage-gated channel mediating the exchange of chloride ions against protons. Functions as antiporter and contributes to the acidification of the lysosome lumen. {ECO:0000269|PubMed:18449189, ECO:0000269|PubMed:21527911}.; </t>
        </is>
      </c>
      <c r="AH392" t="inlineStr">
        <is>
          <t xml:space="preserve">DISEASE: Osteopetrosis, autosomal dominant 2 (OPTA2) [MIM:166600]: A rare genetic disease characterized by abnormally dense bone, due to defective resorption of immature bone. Osteopetrosis occurs in two forms: a severe autosomal recessive form occurring in utero, infancy, or childhood, and a benign autosomal dominant form occurring in adolescence or adulthood. OPTA2 is the most common form of osteopetrosis, occurring in adolescence or adulthood. It is characterized by sclerosis, predominantly involving the spine, the pelvis and the skull base. {ECO:0000269|PubMed:11741829, ECO:0000269|PubMed:14584882, ECO:0000269|PubMed:19953639}. Note=The disease is caused by mutations affecting the gene represented in this entry.; </t>
        </is>
      </c>
      <c r="AI392" t="inlineStr">
        <is>
          <t>.</t>
        </is>
      </c>
      <c r="AJ392" t="inlineStr">
        <is>
          <t>.</t>
        </is>
      </c>
      <c r="AK392" t="inlineStr">
        <is>
          <t>.</t>
        </is>
      </c>
      <c r="AL392" t="inlineStr">
        <is>
          <t>.</t>
        </is>
      </c>
    </row>
    <row r="393">
      <c r="A393" t="inlineStr"/>
      <c r="B393">
        <f>HYPERLINK("https://genome.ucsc.edu/cgi-bin/hgTracks?db=hg19&amp;position=chr16%3A1657462%2D1657462", "chr16:1657462")</f>
        <v/>
      </c>
      <c r="C393" t="inlineStr">
        <is>
          <t>chr16</t>
        </is>
      </c>
      <c r="D393" t="n">
        <v>1657462</v>
      </c>
      <c r="E393" t="n">
        <v>1657462</v>
      </c>
      <c r="F393" t="inlineStr">
        <is>
          <t>A</t>
        </is>
      </c>
      <c r="G393" t="inlineStr">
        <is>
          <t>G</t>
        </is>
      </c>
      <c r="H393" t="inlineStr">
        <is>
          <t>53.64</t>
        </is>
      </c>
      <c r="I393" t="inlineStr">
        <is>
          <t>6</t>
        </is>
      </c>
      <c r="J393" t="inlineStr">
        <is>
          <t>4,2</t>
        </is>
      </c>
      <c r="K393" t="inlineStr">
        <is>
          <t>.</t>
        </is>
      </c>
      <c r="L393" t="inlineStr">
        <is>
          <t>.</t>
        </is>
      </c>
      <c r="M393">
        <f>HYPERLINK("https://www.genecards.org/Search/Keyword?queryString=%5Baliases%5D(%20IFT140%20)%20OR%20%5Baliases%5D(%20LOC105371046%20)&amp;keywords=IFT140,LOC105371046", "IFT140;LOC105371046")</f>
        <v/>
      </c>
      <c r="N393" t="inlineStr">
        <is>
          <t>intronic;ncRNA_intronic</t>
        </is>
      </c>
      <c r="O393" t="inlineStr">
        <is>
          <t>.</t>
        </is>
      </c>
      <c r="P393" t="inlineStr">
        <is>
          <t>.</t>
        </is>
      </c>
      <c r="Q393" t="n">
        <v>-1</v>
      </c>
      <c r="R393" t="n">
        <v>-1</v>
      </c>
      <c r="S393" t="n">
        <v>-1</v>
      </c>
      <c r="T393" t="n">
        <v>-1</v>
      </c>
      <c r="U393" t="n">
        <v>-1</v>
      </c>
      <c r="V393" t="inlineStr">
        <is>
          <t>.</t>
        </is>
      </c>
      <c r="W393" t="inlineStr">
        <is>
          <t>.</t>
        </is>
      </c>
      <c r="X393" t="inlineStr">
        <is>
          <t>B</t>
        </is>
      </c>
      <c r="Y393" t="inlineStr">
        <is>
          <t>off</t>
        </is>
      </c>
      <c r="Z393" t="inlineStr">
        <is>
          <t>.</t>
        </is>
      </c>
      <c r="AA393" t="inlineStr">
        <is>
          <t>.</t>
        </is>
      </c>
      <c r="AB393" t="inlineStr">
        <is>
          <t>.</t>
        </is>
      </c>
      <c r="AC393" t="inlineStr">
        <is>
          <t>0/1</t>
        </is>
      </c>
      <c r="AD393" t="inlineStr">
        <is>
          <t>1;1</t>
        </is>
      </c>
      <c r="AE393" t="inlineStr">
        <is>
          <t>9.13769895125714e-18</t>
        </is>
      </c>
      <c r="AF393" t="inlineStr">
        <is>
          <t>intraflagellar transport 140</t>
        </is>
      </c>
      <c r="AG393" t="inlineStr">
        <is>
          <t xml:space="preserve">FUNCTION: Component of the IFT complex A (IFT-A), a complex required for retrograde ciliary transport. Plays a pivotal role in proper development and function of ciliated cells. Involved in ciliogenesis and cilia maintenance. {ECO:0000269|PubMed:22503633}.; </t>
        </is>
      </c>
      <c r="AH393" t="inlineStr">
        <is>
          <t xml:space="preserve">DISEASE: Short-rib thoracic dysplasia 9 with or without polydactyly (SRTD9) [MIM:266920]: A form of short-rib thoracic dysplasia, a group of autosomal recessive ciliopathies that are characterized by a constricted thoracic cage, short ribs, shortened tubular bones, and a 'trident' appearance of the acetabular roof. Polydactyly is variably present. Non-skeletal involvement can include cleft lip/palate as well as anomalies of major organs such as the brain, eye, heart, kidneys, liver, pancreas, intestines, and genitalia. Some forms of the disease are lethal in the neonatal period due to respiratory insufficiency secondary to a severely restricted thoracic cage, whereas others are compatible with life. Disease spectrum encompasses Ellis-van Creveld syndrome, asphyxiating thoracic dystrophy (Jeune syndrome), Mainzer-Saldino syndrome, and short rib-polydactyly syndrome. SRTD9 is characterized by phalangeal cone-shaped epiphyses, chronic renal disease, nearly constant retinal dystrophy, and mild radiographic abnormality of the proximal femur. Occasional features include short stature, cerebellar ataxia, and hepatic fibrosis. {ECO:0000269|PubMed:22503633, ECO:0000269|PubMed:23418020}. Note=The disease is caused by mutations affecting the gene represented in this entry.; </t>
        </is>
      </c>
      <c r="AI393" t="inlineStr">
        <is>
          <t>.</t>
        </is>
      </c>
      <c r="AJ393" t="inlineStr">
        <is>
          <t>.</t>
        </is>
      </c>
      <c r="AK393" t="inlineStr">
        <is>
          <t>.</t>
        </is>
      </c>
      <c r="AL393" t="inlineStr">
        <is>
          <t>.</t>
        </is>
      </c>
    </row>
    <row r="394">
      <c r="A394" t="inlineStr"/>
      <c r="B394">
        <f>HYPERLINK("https://genome.ucsc.edu/cgi-bin/hgTracks?db=hg19&amp;position=chr16%3A1841559%2D1841559", "chr16:1841559")</f>
        <v/>
      </c>
      <c r="C394" t="inlineStr">
        <is>
          <t>chr16</t>
        </is>
      </c>
      <c r="D394" t="n">
        <v>1841559</v>
      </c>
      <c r="E394" t="n">
        <v>1841559</v>
      </c>
      <c r="F394" t="inlineStr">
        <is>
          <t>G</t>
        </is>
      </c>
      <c r="G394" t="inlineStr">
        <is>
          <t>A</t>
        </is>
      </c>
      <c r="H394" t="inlineStr">
        <is>
          <t>626.64</t>
        </is>
      </c>
      <c r="I394" t="inlineStr">
        <is>
          <t>96</t>
        </is>
      </c>
      <c r="J394" t="inlineStr">
        <is>
          <t>69,27</t>
        </is>
      </c>
      <c r="K394" t="inlineStr">
        <is>
          <t>CM126481</t>
        </is>
      </c>
      <c r="L394">
        <f>HYPERLINK("https://www.ncbi.nlm.nih.gov/snp/rs35706152", "rs35706152")</f>
        <v/>
      </c>
      <c r="M394">
        <f>HYPERLINK("https://www.genecards.org/Search/Keyword?queryString=%5Baliases%5D(%20IGFALS%20)&amp;keywords=IGFALS", "IGFALS")</f>
        <v/>
      </c>
      <c r="N394" t="inlineStr">
        <is>
          <t>exonic</t>
        </is>
      </c>
      <c r="O394" t="inlineStr">
        <is>
          <t>nonsynonymous SNV</t>
        </is>
      </c>
      <c r="P394" t="inlineStr">
        <is>
          <t>IGFALS:NM_001146006:exon2:c.C974T:p.P325L,IGFALS:NM_004970:exon2:c.C860T:p.P287L;IGFALS:uc002cmy.3:exon2:c.C860T:p.P287L,IGFALS:uc010uvn.2:exon2:c.C974T:p.P325L;IGFALS:ENST00000215539.4_7:exon2:c.C860T:p.P287L,IGFALS:ENST00000415638.3_5:exon2:c.C974T:p.P325L</t>
        </is>
      </c>
      <c r="Q394" t="n">
        <v>0.0089</v>
      </c>
      <c r="R394" t="n">
        <v>0.0069</v>
      </c>
      <c r="S394" t="n">
        <v>0.0068</v>
      </c>
      <c r="T394" t="n">
        <v>-1</v>
      </c>
      <c r="U394" t="n">
        <v>0.0071</v>
      </c>
      <c r="V394" t="inlineStr">
        <is>
          <t>3/11</t>
        </is>
      </c>
      <c r="W394" t="inlineStr">
        <is>
          <t>.</t>
        </is>
      </c>
      <c r="X394" t="inlineStr">
        <is>
          <t>.</t>
        </is>
      </c>
      <c r="Y394" t="inlineStr">
        <is>
          <t>.</t>
        </is>
      </c>
      <c r="Z394" t="inlineStr">
        <is>
          <t>1/7</t>
        </is>
      </c>
      <c r="AA394" t="inlineStr">
        <is>
          <t>Uncertain significance</t>
        </is>
      </c>
      <c r="AB394" t="inlineStr">
        <is>
          <t>Likely_benign</t>
        </is>
      </c>
      <c r="AC394" t="inlineStr">
        <is>
          <t>0/1</t>
        </is>
      </c>
      <c r="AD394" t="inlineStr">
        <is>
          <t>1</t>
        </is>
      </c>
      <c r="AE394" t="inlineStr">
        <is>
          <t>2.79990921598618e-05</t>
        </is>
      </c>
      <c r="AF394" t="inlineStr">
        <is>
          <t>insulin like growth factor binding protein acid labile subunit</t>
        </is>
      </c>
      <c r="AG394" t="inlineStr">
        <is>
          <t xml:space="preserve">FUNCTION: Involved in protein-protein interactions that result in protein complexes, receptor-ligand binding or cell adhesion.; </t>
        </is>
      </c>
      <c r="AH394" t="inlineStr">
        <is>
          <t>.</t>
        </is>
      </c>
      <c r="AI394" t="inlineStr">
        <is>
          <t>.</t>
        </is>
      </c>
      <c r="AJ394" t="inlineStr">
        <is>
          <t>.</t>
        </is>
      </c>
      <c r="AK394" t="inlineStr">
        <is>
          <t>.</t>
        </is>
      </c>
      <c r="AL394" t="inlineStr">
        <is>
          <t>.</t>
        </is>
      </c>
    </row>
    <row r="395">
      <c r="A395" t="inlineStr"/>
      <c r="B395">
        <f>HYPERLINK("https://genome.ucsc.edu/cgi-bin/hgTracks?db=hg19&amp;position=chr16%3A2154537%2D2154537", "chr16:2154537")</f>
        <v/>
      </c>
      <c r="C395" t="inlineStr">
        <is>
          <t>chr16</t>
        </is>
      </c>
      <c r="D395" t="n">
        <v>2154537</v>
      </c>
      <c r="E395" t="n">
        <v>2154537</v>
      </c>
      <c r="F395" t="inlineStr">
        <is>
          <t>G</t>
        </is>
      </c>
      <c r="G395" t="inlineStr">
        <is>
          <t>A</t>
        </is>
      </c>
      <c r="H395" t="inlineStr">
        <is>
          <t>595.64</t>
        </is>
      </c>
      <c r="I395" t="inlineStr">
        <is>
          <t>53</t>
        </is>
      </c>
      <c r="J395" t="inlineStr">
        <is>
          <t>26,27</t>
        </is>
      </c>
      <c r="K395" t="inlineStr">
        <is>
          <t>.</t>
        </is>
      </c>
      <c r="L395">
        <f>HYPERLINK("https://www.ncbi.nlm.nih.gov/snp/rs147350387", "rs147350387")</f>
        <v/>
      </c>
      <c r="M395">
        <f>HYPERLINK("https://www.genecards.org/Search/Keyword?queryString=%5Baliases%5D(%20PKD1%20)&amp;keywords=PKD1", "PKD1")</f>
        <v/>
      </c>
      <c r="N395" t="inlineStr">
        <is>
          <t>exonic</t>
        </is>
      </c>
      <c r="O395" t="inlineStr">
        <is>
          <t>nonsynonymous SNV</t>
        </is>
      </c>
      <c r="P395" t="inlineStr">
        <is>
          <t>PKD1:NM_000296:exon22:c.C8123T:p.T2708M,PKD1:NM_001009944:exon22:c.C8123T:p.T2708M;PKD1:uc002cos.1:exon22:c.C8123T:p.T2708M,PKD1:uc002cot.1:exon22:c.C8123T:p.T2708M;PKD1:ENST00000262304.9_7:exon22:c.C8123T:p.T2708M,PKD1:ENST00000423118.5_7:exon22:c.C8123T:p.T2708M</t>
        </is>
      </c>
      <c r="Q395" t="n">
        <v>0.0183</v>
      </c>
      <c r="R395" t="n">
        <v>0.0187</v>
      </c>
      <c r="S395" t="n">
        <v>0.018</v>
      </c>
      <c r="T395" t="n">
        <v>-1</v>
      </c>
      <c r="U395" t="n">
        <v>0.0167</v>
      </c>
      <c r="V395" t="inlineStr">
        <is>
          <t>7/10</t>
        </is>
      </c>
      <c r="W395" t="inlineStr">
        <is>
          <t>.</t>
        </is>
      </c>
      <c r="X395" t="inlineStr">
        <is>
          <t>.</t>
        </is>
      </c>
      <c r="Y395" t="inlineStr">
        <is>
          <t>.</t>
        </is>
      </c>
      <c r="Z395" t="inlineStr">
        <is>
          <t>3/7</t>
        </is>
      </c>
      <c r="AA395" t="inlineStr">
        <is>
          <t>Likely benign</t>
        </is>
      </c>
      <c r="AB395" t="inlineStr">
        <is>
          <t>Benign/Likely_benign</t>
        </is>
      </c>
      <c r="AC395" t="inlineStr">
        <is>
          <t>0/1</t>
        </is>
      </c>
      <c r="AD395" t="inlineStr">
        <is>
          <t>1</t>
        </is>
      </c>
      <c r="AE395" t="inlineStr">
        <is>
          <t>0.999905331991465</t>
        </is>
      </c>
      <c r="AF395" t="inlineStr">
        <is>
          <t>polycystin 1, transient receptor potential channel interacting</t>
        </is>
      </c>
      <c r="AG395" t="inlineStr">
        <is>
          <t xml:space="preserve">FUNCTION: Involved in renal tubulogenesis (PubMed:12482949). Involved in fluid-flow mechanosensation by the primary cilium in renal epithelium (By similarity). Acts as a regulator of cilium length, together with PKD2 (By similarity). The dynamic control of cilium length is essential in the regulation of mechanotransductive signaling (By similarity). The cilium length response creates a negative feedback loop whereby fluid shear- mediated deflection of the primary cilium, which decreases intracellular cAMP, leads to cilium shortening and thus decreases flow-induced signaling (By similarity). May be an ion-channel regulator. Involved in adhesive protein-protein and protein- carbohydrate interactions. {ECO:0000250|UniProtKB:O08852, ECO:0000269|PubMed:12482949}.; </t>
        </is>
      </c>
      <c r="AH395" t="inlineStr">
        <is>
          <t xml:space="preserve">DISEASE: Polycystic kidney disease 1 (PKD1) [MIM:173900]: A disorder characterized by renal cysts, liver cysts and intracranial aneurysm. Clinical variability is due to differences in the rate of loss of glomerular filtration, the age of reaching end-stage renal disease and the occurrence of hypertension, symptomatic extrarenal cysts, and subarachnoid hemorrhage from intracranial 'berry' aneurysm. {ECO:0000269|PubMed:10200984, ECO:0000269|PubMed:10364515, ECO:0000269|PubMed:10577909, ECO:0000269|PubMed:10647901, ECO:0000269|PubMed:10729710, ECO:0000269|PubMed:10854095, ECO:0000269|PubMed:10923040, ECO:0000269|PubMed:10987650, ECO:0000269|PubMed:11012875, ECO:0000269|PubMed:11058904, ECO:0000269|PubMed:11115377, ECO:0000269|PubMed:11216660, ECO:0000269|PubMed:11316854, ECO:0000269|PubMed:11558899, ECO:0000269|PubMed:11571556, ECO:0000269|PubMed:11691639, ECO:0000269|PubMed:11773467, ECO:0000269|PubMed:11857740, ECO:0000269|PubMed:11967008, ECO:0000269|PubMed:12007219, ECO:0000269|PubMed:12070253, ECO:0000269|PubMed:12220456, ECO:0000269|PubMed:12842373, ECO:0000269|PubMed:15772804, ECO:0000269|PubMed:18837007, ECO:0000269|PubMed:21115670, ECO:0000269|PubMed:22508176, ECO:0000269|PubMed:8554072, ECO:0000269|PubMed:9199561, ECO:0000269|PubMed:9259200, ECO:0000269|PubMed:9285784, ECO:0000269|PubMed:9521593, ECO:0000269|PubMed:9921908}. Note=The disease is caused by mutations affecting the gene represented in this entry.; </t>
        </is>
      </c>
      <c r="AI395" t="inlineStr">
        <is>
          <t>.</t>
        </is>
      </c>
      <c r="AJ395" t="inlineStr">
        <is>
          <t>.</t>
        </is>
      </c>
      <c r="AK395" t="inlineStr">
        <is>
          <t>.</t>
        </is>
      </c>
      <c r="AL395" t="inlineStr">
        <is>
          <t>NGS_LowStringency</t>
        </is>
      </c>
    </row>
    <row r="396">
      <c r="A396" t="inlineStr"/>
      <c r="B396">
        <f>HYPERLINK("https://genome.ucsc.edu/cgi-bin/hgTracks?db=hg19&amp;position=chr16%3A2201591%2D2201591", "chr16:2201591")</f>
        <v/>
      </c>
      <c r="C396" t="inlineStr">
        <is>
          <t>chr16</t>
        </is>
      </c>
      <c r="D396" t="n">
        <v>2201591</v>
      </c>
      <c r="E396" t="n">
        <v>2201591</v>
      </c>
      <c r="F396" t="inlineStr">
        <is>
          <t>G</t>
        </is>
      </c>
      <c r="G396" t="inlineStr">
        <is>
          <t>A</t>
        </is>
      </c>
      <c r="H396" t="inlineStr">
        <is>
          <t>519.64</t>
        </is>
      </c>
      <c r="I396" t="inlineStr">
        <is>
          <t>75</t>
        </is>
      </c>
      <c r="J396" t="inlineStr">
        <is>
          <t>51,24</t>
        </is>
      </c>
      <c r="K396" t="inlineStr">
        <is>
          <t>.</t>
        </is>
      </c>
      <c r="L396" t="inlineStr">
        <is>
          <t>.</t>
        </is>
      </c>
      <c r="M396">
        <f>HYPERLINK("https://www.genecards.org/Search/Keyword?queryString=%5Baliases%5D(%20RAB26%20)&amp;keywords=RAB26", "RAB26")</f>
        <v/>
      </c>
      <c r="N396" t="inlineStr">
        <is>
          <t>exonic</t>
        </is>
      </c>
      <c r="O396" t="inlineStr">
        <is>
          <t>nonsynonymous SNV</t>
        </is>
      </c>
      <c r="P396" t="inlineStr">
        <is>
          <t>RAB26:NM_014353:exon3:c.G328A:p.G110S,RAB26:NM_001308053:exon4:c.G130A:p.G44S;RAB26:uc002cou.3:exon3:c.G328A:p.G110S,RAB26:uc010bsf.3:exon4:c.G130A:p.G44S;RAB26:ENST00000210187.11_7:exon3:c.G328A:p.G110S,RAB26:ENST00000541451.5_5:exon4:c.G130A:p.G44S</t>
        </is>
      </c>
      <c r="Q396" t="n">
        <v>-1</v>
      </c>
      <c r="R396" t="n">
        <v>-1</v>
      </c>
      <c r="S396" t="n">
        <v>-1</v>
      </c>
      <c r="T396" t="n">
        <v>-1</v>
      </c>
      <c r="U396" t="n">
        <v>-1</v>
      </c>
      <c r="V396" t="inlineStr">
        <is>
          <t>9/12</t>
        </is>
      </c>
      <c r="W396" t="inlineStr">
        <is>
          <t>.</t>
        </is>
      </c>
      <c r="X396" t="inlineStr">
        <is>
          <t>.</t>
        </is>
      </c>
      <c r="Y396" t="inlineStr">
        <is>
          <t>.</t>
        </is>
      </c>
      <c r="Z396" t="inlineStr">
        <is>
          <t>3/7</t>
        </is>
      </c>
      <c r="AA396" t="inlineStr">
        <is>
          <t>Uncertain significance</t>
        </is>
      </c>
      <c r="AB396" t="inlineStr">
        <is>
          <t>.</t>
        </is>
      </c>
      <c r="AC396" t="inlineStr">
        <is>
          <t>0/1</t>
        </is>
      </c>
      <c r="AD396" t="inlineStr">
        <is>
          <t>1</t>
        </is>
      </c>
      <c r="AE396" t="inlineStr">
        <is>
          <t>3.5573777860374e-06</t>
        </is>
      </c>
      <c r="AF396" t="inlineStr">
        <is>
          <t>RAB26, member RAS oncogene family</t>
        </is>
      </c>
      <c r="AG396" t="inlineStr">
        <is>
          <t xml:space="preserve">FUNCTION: The small GTPases Rab are key regulators of intracellular membrane trafficking, from the formation of transport vesicles to their fusion with membranes. Rabs cycle between an inactive GDP-bound form and an active GTP-bound form that is able to recruit to membranes different set of downstream effectors directly responsible for vesicle formation, movement, tethering and fusion. Mediates transport of ADRA2A and ADRA2B from the Golgi to the cell membrane. Plays a role in the maturation of zymogenic granules and in pepsinogen secretion in the stomach. Plays a role in the secretion of amylase from acinar granules in the parotid gland. {ECO:0000269|PubMed:20038531, ECO:0000269|PubMed:23105096}.; </t>
        </is>
      </c>
      <c r="AH396" t="inlineStr">
        <is>
          <t>.</t>
        </is>
      </c>
      <c r="AI396" t="inlineStr">
        <is>
          <t>.</t>
        </is>
      </c>
      <c r="AJ396" t="inlineStr">
        <is>
          <t>.</t>
        </is>
      </c>
      <c r="AK396" t="inlineStr">
        <is>
          <t>.</t>
        </is>
      </c>
      <c r="AL396" t="inlineStr">
        <is>
          <t>.</t>
        </is>
      </c>
    </row>
    <row r="397">
      <c r="A397" t="inlineStr"/>
      <c r="B397">
        <f>HYPERLINK("https://genome.ucsc.edu/cgi-bin/hgTracks?db=hg19&amp;position=chr16%3A4412114%2D4412114", "chr16:4412114")</f>
        <v/>
      </c>
      <c r="C397" t="inlineStr">
        <is>
          <t>chr16</t>
        </is>
      </c>
      <c r="D397" t="n">
        <v>4412114</v>
      </c>
      <c r="E397" t="n">
        <v>4412114</v>
      </c>
      <c r="F397" t="inlineStr">
        <is>
          <t>C</t>
        </is>
      </c>
      <c r="G397" t="inlineStr">
        <is>
          <t>T</t>
        </is>
      </c>
      <c r="H397" t="inlineStr">
        <is>
          <t>1481.64</t>
        </is>
      </c>
      <c r="I397" t="inlineStr">
        <is>
          <t>93</t>
        </is>
      </c>
      <c r="J397" t="inlineStr">
        <is>
          <t>35,58</t>
        </is>
      </c>
      <c r="K397" t="inlineStr">
        <is>
          <t>.</t>
        </is>
      </c>
      <c r="L397" t="inlineStr">
        <is>
          <t>.</t>
        </is>
      </c>
      <c r="M397">
        <f>HYPERLINK("https://www.genecards.org/Search/Keyword?queryString=%5Baliases%5D(%20CORO7%20)%20OR%20%5Baliases%5D(%20CORO7-PAM16%20)&amp;keywords=CORO7,CORO7-PAM16", "CORO7;CORO7-PAM16")</f>
        <v/>
      </c>
      <c r="N397" t="inlineStr">
        <is>
          <t>exonic</t>
        </is>
      </c>
      <c r="O397" t="inlineStr">
        <is>
          <t>nonsynonymous SNV</t>
        </is>
      </c>
      <c r="P397" t="inlineStr">
        <is>
          <t>CORO7:NM_001201473:exon14:c.G1195A:p.D399N,CORO7:NM_001201472:exon16:c.G1396A:p.D466N,CORO7-PAM16:NM_001201479:exon16:c.G1450A:p.D484N,CORO7:NM_001351729:exon16:c.G790A:p.D264N,CORO7:NM_024535:exon16:c.G1450A:p.D484N;CORO7-PAM16:uc002cwi.1:exon12:c.G790A:p.D264N,CORO7:uc010uxi.2:exon14:c.G1195A:p.D399N,CORO7-PAM16:uc002cwf.3:exon16:c.G1450A:p.D484N,CORO7:uc002cwg.4:exon16:c.G790A:p.D264N,CORO7:uc002cwh.4:exon16:c.G1450A:p.D484N,CORO7-PAM16:uc010btp.1:exon16:c.G790A:p.D264N,CORO7:uc010uxh.2:exon16:c.G1396A:p.D466N;CORO7:ENST00000574025.5_3:exon14:c.G1195A:p.D399N,CORO7:ENST00000251166.9_5:exon16:c.G1450A:p.D484N,CORO7:ENST00000537233.6_3:exon16:c.G1396A:p.D466N,CORO7-PAM16:ENST00000572467.5_6:exon16:c.G1450A:p.D484N</t>
        </is>
      </c>
      <c r="Q397" t="n">
        <v>-1</v>
      </c>
      <c r="R397" t="n">
        <v>-1</v>
      </c>
      <c r="S397" t="n">
        <v>-1</v>
      </c>
      <c r="T397" t="n">
        <v>-1</v>
      </c>
      <c r="U397" t="n">
        <v>-1</v>
      </c>
      <c r="V397" t="inlineStr">
        <is>
          <t>5/12</t>
        </is>
      </c>
      <c r="W397" t="inlineStr">
        <is>
          <t>.</t>
        </is>
      </c>
      <c r="X397" t="inlineStr">
        <is>
          <t>.</t>
        </is>
      </c>
      <c r="Y397" t="inlineStr">
        <is>
          <t>.</t>
        </is>
      </c>
      <c r="Z397" t="inlineStr">
        <is>
          <t>2/7</t>
        </is>
      </c>
      <c r="AA397" t="inlineStr">
        <is>
          <t>Uncertain significance</t>
        </is>
      </c>
      <c r="AB397" t="inlineStr">
        <is>
          <t>.</t>
        </is>
      </c>
      <c r="AC397" t="inlineStr">
        <is>
          <t>0/1</t>
        </is>
      </c>
      <c r="AD397" t="inlineStr">
        <is>
          <t>1;1</t>
        </is>
      </c>
      <c r="AE397" t="inlineStr">
        <is>
          <t>1.62821439778502e-12;7.31151184071541e-12</t>
        </is>
      </c>
      <c r="AF397" t="inlineStr">
        <is>
          <t>CORO7-PAM16 readthrough;coronin 7</t>
        </is>
      </c>
      <c r="AG397" t="inlineStr">
        <is>
          <t xml:space="preserve">FUNCTION: F-actin regulator involved in anterograde Golgi to endosome transport: upon ubiquitination via 'Lys-33'-linked ubiquitin chains by the BCR(KLHL20) E3 ubiquitin ligase complex, interacts with EPS15 and localizes to the trans-Golgi network, where it promotes actin polymerization, thereby facilitating post- Golgi trafficking. May play a role in the maintenance of the Golgi apparatus morphology. {ECO:0000269|PubMed:16905771, ECO:0000269|PubMed:24768539}.; ;FUNCTION: F-actin regulator involved in anterograde Golgi to endosome transport: upon ubiquitination via 'Lys-33'-linked ubiquitin chains by the BCR(KLHL20) E3 ubiquitin ligase complex, interacts with EPS15 and localizes to the trans-Golgi network, where it promotes actin polymerization, thereby facilitating post- Golgi trafficking. May play a role in the maintenance of the Golgi apparatus morphology. {ECO:0000269|PubMed:16905771, ECO:0000269|PubMed:24768539}.; </t>
        </is>
      </c>
      <c r="AH397" t="inlineStr">
        <is>
          <t>.</t>
        </is>
      </c>
      <c r="AI397" t="inlineStr">
        <is>
          <t>.</t>
        </is>
      </c>
      <c r="AJ397" t="inlineStr">
        <is>
          <t>.</t>
        </is>
      </c>
      <c r="AK397" t="inlineStr">
        <is>
          <t>.</t>
        </is>
      </c>
      <c r="AL397" t="inlineStr">
        <is>
          <t>.</t>
        </is>
      </c>
    </row>
    <row r="398">
      <c r="A398" t="inlineStr"/>
      <c r="B398">
        <f>HYPERLINK("https://genome.ucsc.edu/cgi-bin/hgTracks?db=hg19&amp;position=chr16%3A4864661%2D4864661", "chr16:4864661")</f>
        <v/>
      </c>
      <c r="C398" t="inlineStr">
        <is>
          <t>chr16</t>
        </is>
      </c>
      <c r="D398" t="n">
        <v>4864661</v>
      </c>
      <c r="E398" t="n">
        <v>4864661</v>
      </c>
      <c r="F398" t="inlineStr">
        <is>
          <t>C</t>
        </is>
      </c>
      <c r="G398" t="inlineStr">
        <is>
          <t>T</t>
        </is>
      </c>
      <c r="H398" t="inlineStr">
        <is>
          <t>832.64</t>
        </is>
      </c>
      <c r="I398" t="inlineStr">
        <is>
          <t>53</t>
        </is>
      </c>
      <c r="J398" t="inlineStr">
        <is>
          <t>17,36</t>
        </is>
      </c>
      <c r="K398" t="inlineStr">
        <is>
          <t>.</t>
        </is>
      </c>
      <c r="L398" t="inlineStr">
        <is>
          <t>.</t>
        </is>
      </c>
      <c r="M398">
        <f>HYPERLINK("https://www.genecards.org/Search/Keyword?queryString=%5Baliases%5D(%20GLYR1%20)&amp;keywords=GLYR1", "GLYR1")</f>
        <v/>
      </c>
      <c r="N398" t="inlineStr">
        <is>
          <t>intronic</t>
        </is>
      </c>
      <c r="O398" t="inlineStr">
        <is>
          <t>.</t>
        </is>
      </c>
      <c r="P398" t="inlineStr">
        <is>
          <t>.</t>
        </is>
      </c>
      <c r="Q398" t="n">
        <v>-1</v>
      </c>
      <c r="R398" t="n">
        <v>-1</v>
      </c>
      <c r="S398" t="n">
        <v>-1</v>
      </c>
      <c r="T398" t="n">
        <v>-1</v>
      </c>
      <c r="U398" t="n">
        <v>-1</v>
      </c>
      <c r="V398" t="inlineStr">
        <is>
          <t>.</t>
        </is>
      </c>
      <c r="W398" t="inlineStr">
        <is>
          <t>.</t>
        </is>
      </c>
      <c r="X398" t="inlineStr">
        <is>
          <t>PD</t>
        </is>
      </c>
      <c r="Y398" t="inlineStr">
        <is>
          <t>on</t>
        </is>
      </c>
      <c r="Z398" t="inlineStr">
        <is>
          <t>.</t>
        </is>
      </c>
      <c r="AA398" t="inlineStr">
        <is>
          <t>.</t>
        </is>
      </c>
      <c r="AB398" t="inlineStr">
        <is>
          <t>.</t>
        </is>
      </c>
      <c r="AC398" t="inlineStr">
        <is>
          <t>0/1</t>
        </is>
      </c>
      <c r="AD398" t="inlineStr">
        <is>
          <t>1</t>
        </is>
      </c>
      <c r="AE398" t="inlineStr">
        <is>
          <t>0.999877719491225</t>
        </is>
      </c>
      <c r="AF398" t="inlineStr">
        <is>
          <t>glyoxylate reductase 1 homolog (Arabidopsis)</t>
        </is>
      </c>
      <c r="AG398" t="inlineStr">
        <is>
          <t xml:space="preserve">FUNCTION: May have oxidoreductase activity. Regulates p38 MAP kinase activity by mediating stress activation of p38alpha/MAPK14 and specifically regulating MAPK14 signaling. Indirectly promotes phosphorylation of MAPK14 and activation of ATF2. The phosphorylation of MAPK14 requires upstream activity of MAP2K4 and MAP2K6. Recruited on chromatin, recognizes and binds trimethylated 'Lys-36' of histone H3 (H3K36me3). {ECO:0000269|PubMed:16352664, ECO:0000269|PubMed:20850016}.; </t>
        </is>
      </c>
      <c r="AH398" t="inlineStr">
        <is>
          <t>.</t>
        </is>
      </c>
      <c r="AI398" t="inlineStr">
        <is>
          <t>.</t>
        </is>
      </c>
      <c r="AJ398" t="inlineStr">
        <is>
          <t>.</t>
        </is>
      </c>
      <c r="AK398" t="inlineStr">
        <is>
          <t>.</t>
        </is>
      </c>
      <c r="AL398" t="inlineStr">
        <is>
          <t>.</t>
        </is>
      </c>
    </row>
    <row r="399">
      <c r="A399" t="inlineStr"/>
      <c r="B399">
        <f>HYPERLINK("https://genome.ucsc.edu/cgi-bin/hgTracks?db=hg19&amp;position=chr16%3A10129580%2D10129583", "chr16:10129580")</f>
        <v/>
      </c>
      <c r="C399" t="inlineStr">
        <is>
          <t>chr16</t>
        </is>
      </c>
      <c r="D399" t="n">
        <v>10129580</v>
      </c>
      <c r="E399" t="n">
        <v>10129583</v>
      </c>
      <c r="F399" t="inlineStr">
        <is>
          <t>TTTT</t>
        </is>
      </c>
      <c r="G399" t="inlineStr">
        <is>
          <t>-</t>
        </is>
      </c>
      <c r="H399" t="inlineStr">
        <is>
          <t>52.60</t>
        </is>
      </c>
      <c r="I399" t="inlineStr">
        <is>
          <t>10</t>
        </is>
      </c>
      <c r="J399" t="inlineStr">
        <is>
          <t>7,2</t>
        </is>
      </c>
      <c r="K399" t="inlineStr">
        <is>
          <t>.</t>
        </is>
      </c>
      <c r="L399">
        <f>HYPERLINK("https://www.ncbi.nlm.nih.gov/snp/rs757351203", "rs757351203")</f>
        <v/>
      </c>
      <c r="M399">
        <f>HYPERLINK("https://www.genecards.org/Search/Keyword?queryString=%5Baliases%5D(%20GRIN2A%20)&amp;keywords=GRIN2A", "GRIN2A")</f>
        <v/>
      </c>
      <c r="N399" t="inlineStr">
        <is>
          <t>intronic;ncRNA_intronic</t>
        </is>
      </c>
      <c r="O399" t="inlineStr">
        <is>
          <t>.</t>
        </is>
      </c>
      <c r="P399" t="inlineStr">
        <is>
          <t>.</t>
        </is>
      </c>
      <c r="Q399" t="n">
        <v>0.0182</v>
      </c>
      <c r="R399" t="n">
        <v>0.0192</v>
      </c>
      <c r="S399" t="n">
        <v>0.0134</v>
      </c>
      <c r="T399" t="n">
        <v>-1</v>
      </c>
      <c r="U399" t="n">
        <v>0.0144</v>
      </c>
      <c r="V399" t="inlineStr">
        <is>
          <t>.</t>
        </is>
      </c>
      <c r="W399" t="inlineStr">
        <is>
          <t>.</t>
        </is>
      </c>
      <c r="X399" t="inlineStr">
        <is>
          <t>.</t>
        </is>
      </c>
      <c r="Y399" t="inlineStr">
        <is>
          <t>.</t>
        </is>
      </c>
      <c r="Z399" t="inlineStr">
        <is>
          <t>.</t>
        </is>
      </c>
      <c r="AA399" t="inlineStr">
        <is>
          <t>.</t>
        </is>
      </c>
      <c r="AB399" t="inlineStr">
        <is>
          <t>.</t>
        </is>
      </c>
      <c r="AC399" t="inlineStr">
        <is>
          <t>0/1</t>
        </is>
      </c>
      <c r="AD399" t="inlineStr">
        <is>
          <t>1</t>
        </is>
      </c>
      <c r="AE399" t="inlineStr">
        <is>
          <t>0.99804480805101</t>
        </is>
      </c>
      <c r="AF399" t="inlineStr">
        <is>
          <t>glutamate ionotropic receptor NMDA type subunit 2A</t>
        </is>
      </c>
      <c r="AG399" t="inlineStr">
        <is>
          <t xml:space="preserve">FUNCTION: NMDA receptor subtype of glutamate-gated ion channels possesses high calcium permeability and voltage-dependent sensitivity to magnesium. Activation requires binding of agonist to both types of subunits.; </t>
        </is>
      </c>
      <c r="AH399" t="inlineStr">
        <is>
          <t xml:space="preserve">DISEASE: Epilepsy, focal, with speech disorder and with or without mental retardation (FESD) [MIM:245570]: A highly variable neurologic disorder with features ranging from severe early-onset seizures associated with delayed psychomotor development, persistent speech difficulties, and mental retardation to a more benign entity characterized by childhood onset of mild or asymptomatic seizures associated with transient speech difficulties followed by remission of seizures in adolescence and normal psychomotor development. The disorder encompasses several clinical entities, including Landau-Kleffner syndrome, epileptic encephalopathy with continuous spike and wave during slow-wave sleep, autosomal dominant rolandic epilepsy, mental retardation and speech dyspraxia, and benign epilepsy with centrotemporal spikes. {ECO:0000269|PubMed:20890276, ECO:0000269|PubMed:23033978, ECO:0000269|PubMed:23933818, ECO:0000269|PubMed:23933819, ECO:0000269|PubMed:23933820, ECO:0000269|PubMed:24504326, ECO:0000269|PubMed:24903190}. Note=The disease is caused by mutations affecting the gene represented in this entry.; DISEASE: Note=A chromosomal aberration involving GRIN2A has been found in a family with epilepsy and neurodevelopmental defects. Translocation t(16;17)(p13.2;q11.2).; DISEASE: Note=GRIN2A somatic mutations have been frequently found in cutaneous malignant melanoma, suggesting that the glutamate signaling pathway may play a role in the pathogenesis of melanoma. {ECO:0000269|PubMed:21499247, ECO:0000269|PubMed:24455489}.; </t>
        </is>
      </c>
      <c r="AI399" t="inlineStr">
        <is>
          <t>.</t>
        </is>
      </c>
      <c r="AJ399" t="inlineStr">
        <is>
          <t>.</t>
        </is>
      </c>
      <c r="AK399" t="inlineStr">
        <is>
          <t>.</t>
        </is>
      </c>
      <c r="AL399" t="inlineStr">
        <is>
          <t>.</t>
        </is>
      </c>
    </row>
    <row r="400">
      <c r="A400" t="inlineStr"/>
      <c r="B400">
        <f>HYPERLINK("https://genome.ucsc.edu/cgi-bin/hgTracks?db=hg19&amp;position=chr16%3A14989386%2D14989386", "chr16:14989386")</f>
        <v/>
      </c>
      <c r="C400" t="inlineStr">
        <is>
          <t>chr16</t>
        </is>
      </c>
      <c r="D400" t="n">
        <v>14989386</v>
      </c>
      <c r="E400" t="n">
        <v>14989386</v>
      </c>
      <c r="F400" t="inlineStr">
        <is>
          <t>C</t>
        </is>
      </c>
      <c r="G400" t="inlineStr">
        <is>
          <t>A</t>
        </is>
      </c>
      <c r="H400" t="inlineStr">
        <is>
          <t>393.64</t>
        </is>
      </c>
      <c r="I400" t="inlineStr">
        <is>
          <t>122</t>
        </is>
      </c>
      <c r="J400" t="inlineStr">
        <is>
          <t>93,29</t>
        </is>
      </c>
      <c r="K400" t="inlineStr">
        <is>
          <t>.</t>
        </is>
      </c>
      <c r="L400">
        <f>HYPERLINK("https://www.ncbi.nlm.nih.gov/snp/rs144600894", "rs144600894")</f>
        <v/>
      </c>
      <c r="M400">
        <f>HYPERLINK("https://www.genecards.org/Search/Keyword?queryString=%5Baliases%5D(%20NOMO1%20)&amp;keywords=NOMO1", "NOMO1")</f>
        <v/>
      </c>
      <c r="N400" t="inlineStr">
        <is>
          <t>exonic</t>
        </is>
      </c>
      <c r="O400" t="inlineStr">
        <is>
          <t>nonsynonymous SNV</t>
        </is>
      </c>
      <c r="P400" t="inlineStr">
        <is>
          <t>NOMO1:NM_014287:exon31:c.C3553A:p.L1185M;NOMO1:uc002dcv.3:exon31:c.C3553A:p.L1185M;NOMO1:ENST00000287667.12_6:exon31:c.C3553A:p.L1185M</t>
        </is>
      </c>
      <c r="Q400" t="n">
        <v>0.0005999999999999999</v>
      </c>
      <c r="R400" t="n">
        <v>0.0005</v>
      </c>
      <c r="S400" t="n">
        <v>0.0007</v>
      </c>
      <c r="T400" t="n">
        <v>-1</v>
      </c>
      <c r="U400" t="n">
        <v>0.0008</v>
      </c>
      <c r="V400" t="inlineStr">
        <is>
          <t>3/11</t>
        </is>
      </c>
      <c r="W400" t="inlineStr">
        <is>
          <t>.</t>
        </is>
      </c>
      <c r="X400" t="inlineStr">
        <is>
          <t>.</t>
        </is>
      </c>
      <c r="Y400" t="inlineStr">
        <is>
          <t>.</t>
        </is>
      </c>
      <c r="Z400" t="inlineStr">
        <is>
          <t>1/7</t>
        </is>
      </c>
      <c r="AA400" t="inlineStr">
        <is>
          <t>Uncertain significance</t>
        </is>
      </c>
      <c r="AB400" t="inlineStr">
        <is>
          <t>.</t>
        </is>
      </c>
      <c r="AC400" t="inlineStr">
        <is>
          <t>0/1</t>
        </is>
      </c>
      <c r="AD400" t="inlineStr">
        <is>
          <t>1</t>
        </is>
      </c>
      <c r="AE400" t="inlineStr">
        <is>
          <t>.</t>
        </is>
      </c>
      <c r="AF400" t="inlineStr">
        <is>
          <t>NODAL modulator 1</t>
        </is>
      </c>
      <c r="AG400" t="inlineStr">
        <is>
          <t xml:space="preserve">FUNCTION: May antagonize Nodal signaling. {ECO:0000250}.; </t>
        </is>
      </c>
      <c r="AH400" t="inlineStr">
        <is>
          <t>.</t>
        </is>
      </c>
      <c r="AI400" t="inlineStr">
        <is>
          <t>.</t>
        </is>
      </c>
      <c r="AJ400" t="inlineStr">
        <is>
          <t>.</t>
        </is>
      </c>
      <c r="AK400" t="inlineStr">
        <is>
          <t>.</t>
        </is>
      </c>
      <c r="AL400" t="inlineStr">
        <is>
          <t>NGS_HighStringency</t>
        </is>
      </c>
    </row>
    <row r="401">
      <c r="A401" t="inlineStr"/>
      <c r="B401">
        <f>HYPERLINK("https://genome.ucsc.edu/cgi-bin/hgTracks?db=hg19&amp;position=chr16%3A18437845%2D18437894", "chr16:18437845")</f>
        <v/>
      </c>
      <c r="C401" t="inlineStr">
        <is>
          <t>chr16</t>
        </is>
      </c>
      <c r="D401" t="n">
        <v>18437845</v>
      </c>
      <c r="E401" t="n">
        <v>18437894</v>
      </c>
      <c r="F401" t="inlineStr">
        <is>
          <t>TGCTGAACGTACGTGCAGCCCACCGCTGCAGGCAGAAGGGATGGTGAGGG</t>
        </is>
      </c>
      <c r="G401" t="inlineStr">
        <is>
          <t>-</t>
        </is>
      </c>
      <c r="H401" t="inlineStr">
        <is>
          <t>30.60</t>
        </is>
      </c>
      <c r="I401" t="inlineStr">
        <is>
          <t>11</t>
        </is>
      </c>
      <c r="J401" t="inlineStr">
        <is>
          <t>9,2</t>
        </is>
      </c>
      <c r="K401" t="inlineStr">
        <is>
          <t>.</t>
        </is>
      </c>
      <c r="L401" t="inlineStr">
        <is>
          <t>.</t>
        </is>
      </c>
      <c r="M401">
        <f>HYPERLINK("https://www.genecards.org/Search/Keyword?queryString=%5Baliases%5D(%20AK304826%20)%20OR%20%5Baliases%5D(%20LOC100288162%20)%20OR%20%5Baliases%5D(%20MIR6511A1%20)%20OR%20%5Baliases%5D(%20MIR6511A2%20)%20OR%20%5Baliases%5D(%20MIR6511A3%20)%20OR%20%5Baliases%5D(%20MIR6511A4%20)%20OR%20%5Baliases%5D(%20PKD1P4-NPIPA8%20)&amp;keywords=AK304826,LOC100288162,MIR6511A1,MIR6511A2,MIR6511A3,MIR6511A4,PKD1P4-NPIPA8", "AK304826;LOC100288162;MIR6511A1;MIR6511A2;MIR6511A3;MIR6511A4;PKD1P4-NPIPA8")</f>
        <v/>
      </c>
      <c r="N401" t="inlineStr">
        <is>
          <t>exonic;ncRNA_exonic</t>
        </is>
      </c>
      <c r="O401" t="inlineStr">
        <is>
          <t>frameshift deletion</t>
        </is>
      </c>
      <c r="P401" t="inlineStr">
        <is>
          <t>AK304826:uc010bvw.2:exon12:c.1715_1739del:p.A572Dfs*19</t>
        </is>
      </c>
      <c r="Q401" t="n">
        <v>-1</v>
      </c>
      <c r="R401" t="n">
        <v>-1</v>
      </c>
      <c r="S401" t="n">
        <v>-1</v>
      </c>
      <c r="T401" t="n">
        <v>-1</v>
      </c>
      <c r="U401" t="n">
        <v>-1</v>
      </c>
      <c r="V401" t="inlineStr">
        <is>
          <t>.</t>
        </is>
      </c>
      <c r="W401" t="inlineStr">
        <is>
          <t>.</t>
        </is>
      </c>
      <c r="X401" t="inlineStr">
        <is>
          <t>.</t>
        </is>
      </c>
      <c r="Y401" t="inlineStr">
        <is>
          <t>.</t>
        </is>
      </c>
      <c r="Z401" t="inlineStr">
        <is>
          <t>.</t>
        </is>
      </c>
      <c r="AA401" t="inlineStr">
        <is>
          <t>.</t>
        </is>
      </c>
      <c r="AB401" t="inlineStr">
        <is>
          <t>.</t>
        </is>
      </c>
      <c r="AC401" t="inlineStr">
        <is>
          <t>0/1</t>
        </is>
      </c>
      <c r="AD401" t="inlineStr">
        <is>
          <t>1;1;1;1;1;1;1</t>
        </is>
      </c>
      <c r="AE401" t="inlineStr">
        <is>
          <t>.</t>
        </is>
      </c>
      <c r="AF401" t="inlineStr">
        <is>
          <t>microRNA 6511a-1;microRNA 6511a-2;microRNA 6511a-3;microRNA 6511a-4</t>
        </is>
      </c>
      <c r="AG401" t="inlineStr">
        <is>
          <t>.</t>
        </is>
      </c>
      <c r="AH401" t="inlineStr">
        <is>
          <t>.</t>
        </is>
      </c>
      <c r="AI401" t="inlineStr">
        <is>
          <t>.</t>
        </is>
      </c>
      <c r="AJ401" t="inlineStr">
        <is>
          <t>.</t>
        </is>
      </c>
      <c r="AK401" t="inlineStr">
        <is>
          <t>.</t>
        </is>
      </c>
      <c r="AL401" t="inlineStr">
        <is>
          <t>.</t>
        </is>
      </c>
    </row>
    <row r="402">
      <c r="A402" t="inlineStr"/>
      <c r="B402">
        <f>HYPERLINK("https://genome.ucsc.edu/cgi-bin/hgTracks?db=hg19&amp;position=chr16%3A19869820%2D19869820", "chr16:19869820")</f>
        <v/>
      </c>
      <c r="C402" t="inlineStr">
        <is>
          <t>chr16</t>
        </is>
      </c>
      <c r="D402" t="n">
        <v>19869820</v>
      </c>
      <c r="E402" t="n">
        <v>19869820</v>
      </c>
      <c r="F402" t="inlineStr">
        <is>
          <t>T</t>
        </is>
      </c>
      <c r="G402" t="inlineStr">
        <is>
          <t>C</t>
        </is>
      </c>
      <c r="H402" t="inlineStr">
        <is>
          <t>464.64</t>
        </is>
      </c>
      <c r="I402" t="inlineStr">
        <is>
          <t>77</t>
        </is>
      </c>
      <c r="J402" t="inlineStr">
        <is>
          <t>55,22</t>
        </is>
      </c>
      <c r="K402" t="inlineStr">
        <is>
          <t>.</t>
        </is>
      </c>
      <c r="L402" t="inlineStr">
        <is>
          <t>.</t>
        </is>
      </c>
      <c r="M402">
        <f>HYPERLINK("https://www.genecards.org/Search/Keyword?queryString=%5Baliases%5D(%20GPRC5B%20)&amp;keywords=GPRC5B", "GPRC5B")</f>
        <v/>
      </c>
      <c r="N402" t="inlineStr">
        <is>
          <t>UTR3;exonic</t>
        </is>
      </c>
      <c r="O402" t="inlineStr">
        <is>
          <t>stoploss</t>
        </is>
      </c>
      <c r="P402" t="inlineStr">
        <is>
          <t>NM_016235:c.*2002A&gt;G;GPRC5B:uc021tef.1:exon3:c.A1191G:p.X397W;GPRC5B:ENST00000535671.5_3:exon3:c.A1215G:p.X405W</t>
        </is>
      </c>
      <c r="Q402" t="n">
        <v>-1</v>
      </c>
      <c r="R402" t="n">
        <v>-1</v>
      </c>
      <c r="S402" t="n">
        <v>-1</v>
      </c>
      <c r="T402" t="n">
        <v>-1</v>
      </c>
      <c r="U402" t="n">
        <v>-1</v>
      </c>
      <c r="V402" t="inlineStr">
        <is>
          <t>2/2</t>
        </is>
      </c>
      <c r="W402" t="inlineStr">
        <is>
          <t>.</t>
        </is>
      </c>
      <c r="X402" t="inlineStr">
        <is>
          <t>.</t>
        </is>
      </c>
      <c r="Y402" t="inlineStr">
        <is>
          <t>.</t>
        </is>
      </c>
      <c r="Z402" t="inlineStr">
        <is>
          <t>2/7</t>
        </is>
      </c>
      <c r="AA402" t="inlineStr">
        <is>
          <t>.</t>
        </is>
      </c>
      <c r="AB402" t="inlineStr">
        <is>
          <t>.</t>
        </is>
      </c>
      <c r="AC402" t="inlineStr">
        <is>
          <t>0/1</t>
        </is>
      </c>
      <c r="AD402" t="inlineStr">
        <is>
          <t>1</t>
        </is>
      </c>
      <c r="AE402" t="inlineStr">
        <is>
          <t>0.527206905590426</t>
        </is>
      </c>
      <c r="AF402" t="inlineStr">
        <is>
          <t>G protein-coupled receptor class C group 5 member B</t>
        </is>
      </c>
      <c r="AG402" t="inlineStr">
        <is>
          <t xml:space="preserve">FUNCTION: Unknown. This retinoic acid-inducible G-protein coupled receptor provide evidence for a possible interaction between retinoid and G-protein signaling pathways.; </t>
        </is>
      </c>
      <c r="AH402" t="inlineStr">
        <is>
          <t>.</t>
        </is>
      </c>
      <c r="AI402" t="inlineStr">
        <is>
          <t>.</t>
        </is>
      </c>
      <c r="AJ402" t="inlineStr">
        <is>
          <t>.</t>
        </is>
      </c>
      <c r="AK402" t="inlineStr">
        <is>
          <t>.</t>
        </is>
      </c>
      <c r="AL402" t="inlineStr">
        <is>
          <t>.</t>
        </is>
      </c>
    </row>
    <row r="403">
      <c r="A403" t="inlineStr"/>
      <c r="B403">
        <f>HYPERLINK("https://genome.ucsc.edu/cgi-bin/hgTracks?db=hg19&amp;position=chr16%3A20803715%2D20803715", "chr16:20803715")</f>
        <v/>
      </c>
      <c r="C403" t="inlineStr">
        <is>
          <t>chr16</t>
        </is>
      </c>
      <c r="D403" t="n">
        <v>20803715</v>
      </c>
      <c r="E403" t="n">
        <v>20803715</v>
      </c>
      <c r="F403" t="inlineStr">
        <is>
          <t>C</t>
        </is>
      </c>
      <c r="G403" t="inlineStr">
        <is>
          <t>G</t>
        </is>
      </c>
      <c r="H403" t="inlineStr">
        <is>
          <t>434.64</t>
        </is>
      </c>
      <c r="I403" t="inlineStr">
        <is>
          <t>22</t>
        </is>
      </c>
      <c r="J403" t="inlineStr">
        <is>
          <t>8,14</t>
        </is>
      </c>
      <c r="K403" t="inlineStr">
        <is>
          <t>.</t>
        </is>
      </c>
      <c r="L403">
        <f>HYPERLINK("https://www.ncbi.nlm.nih.gov/snp/rs145354182", "rs145354182")</f>
        <v/>
      </c>
      <c r="M403">
        <f>HYPERLINK("https://www.genecards.org/Search/Keyword?queryString=%5Baliases%5D(%20ACSM3%20)%20OR%20%5Baliases%5D(%20ERI2%20)&amp;keywords=ACSM3,ERI2", "ACSM3;ERI2")</f>
        <v/>
      </c>
      <c r="N403" t="inlineStr">
        <is>
          <t>intronic</t>
        </is>
      </c>
      <c r="O403" t="inlineStr">
        <is>
          <t>.</t>
        </is>
      </c>
      <c r="P403" t="inlineStr">
        <is>
          <t>.</t>
        </is>
      </c>
      <c r="Q403" t="n">
        <v>0.0118</v>
      </c>
      <c r="R403" t="n">
        <v>0.0123</v>
      </c>
      <c r="S403" t="n">
        <v>0.008999999999999999</v>
      </c>
      <c r="T403" t="n">
        <v>-1</v>
      </c>
      <c r="U403" t="n">
        <v>0.0074</v>
      </c>
      <c r="V403" t="inlineStr">
        <is>
          <t>.</t>
        </is>
      </c>
      <c r="W403" t="inlineStr">
        <is>
          <t>.</t>
        </is>
      </c>
      <c r="X403" t="inlineStr">
        <is>
          <t>D</t>
        </is>
      </c>
      <c r="Y403" t="inlineStr">
        <is>
          <t>off</t>
        </is>
      </c>
      <c r="Z403" t="inlineStr">
        <is>
          <t>.</t>
        </is>
      </c>
      <c r="AA403" t="inlineStr">
        <is>
          <t>.</t>
        </is>
      </c>
      <c r="AB403" t="inlineStr">
        <is>
          <t>.</t>
        </is>
      </c>
      <c r="AC403" t="inlineStr">
        <is>
          <t>0/1</t>
        </is>
      </c>
      <c r="AD403" t="inlineStr">
        <is>
          <t>1;2</t>
        </is>
      </c>
      <c r="AE403" t="inlineStr">
        <is>
          <t>4.97906453643603e-09;6.38834089545038e-05</t>
        </is>
      </c>
      <c r="AF403" t="inlineStr">
        <is>
          <t>ERI1 exoribonuclease family member 2;acyl-CoA synthetase medium-chain family member 3</t>
        </is>
      </c>
      <c r="AG403" t="inlineStr">
        <is>
          <t xml:space="preserve">FUNCTION: Has medium-chain fatty acid:CoA ligase activity with broad substrate specificity (in vitro). Acts on acids from C(4) to C(11) and on the corresponding 3-hydroxy- and 2,3- or 3,4- unsaturated acids (in vitro) (By similarity). {ECO:0000250}.; </t>
        </is>
      </c>
      <c r="AH403" t="inlineStr">
        <is>
          <t>.</t>
        </is>
      </c>
      <c r="AI403" t="inlineStr">
        <is>
          <t>.</t>
        </is>
      </c>
      <c r="AJ403" t="inlineStr">
        <is>
          <t>.</t>
        </is>
      </c>
      <c r="AK403" t="inlineStr">
        <is>
          <t>.</t>
        </is>
      </c>
      <c r="AL403" t="inlineStr">
        <is>
          <t>.</t>
        </is>
      </c>
    </row>
    <row r="404">
      <c r="A404" t="inlineStr"/>
      <c r="B404">
        <f>HYPERLINK("https://genome.ucsc.edu/cgi-bin/hgTracks?db=hg19&amp;position=chr16%3A20810122%2D20810153", "chr16:20810122")</f>
        <v/>
      </c>
      <c r="C404" t="inlineStr">
        <is>
          <t>chr16</t>
        </is>
      </c>
      <c r="D404" t="n">
        <v>20810122</v>
      </c>
      <c r="E404" t="n">
        <v>20810153</v>
      </c>
      <c r="F404" t="inlineStr">
        <is>
          <t>TAGTATTAAAAAGAGGTAAGGAACTTTTGACA</t>
        </is>
      </c>
      <c r="G404" t="inlineStr">
        <is>
          <t>-</t>
        </is>
      </c>
      <c r="H404" t="inlineStr">
        <is>
          <t>667.60</t>
        </is>
      </c>
      <c r="I404" t="inlineStr">
        <is>
          <t>137</t>
        </is>
      </c>
      <c r="J404" t="inlineStr">
        <is>
          <t>113,24</t>
        </is>
      </c>
      <c r="K404" t="inlineStr">
        <is>
          <t>.</t>
        </is>
      </c>
      <c r="L404" t="inlineStr">
        <is>
          <t>.</t>
        </is>
      </c>
      <c r="M404">
        <f>HYPERLINK("https://www.genecards.org/Search/Keyword?queryString=%5Baliases%5D(%20ERI2%20)&amp;keywords=ERI2", "ERI2")</f>
        <v/>
      </c>
      <c r="N404" t="inlineStr">
        <is>
          <t>exonic</t>
        </is>
      </c>
      <c r="O404" t="inlineStr">
        <is>
          <t>frameshift deletion</t>
        </is>
      </c>
      <c r="P404" t="inlineStr">
        <is>
          <t>ERI2:NM_001142725:exon9:c.969_1000del:p.N323Kfs*27;ERI2:uc010vbc.1:exon8:c.285_316del:p.N95Kfs*27,ERI2:uc010vbb.1:exon9:c.969_1000del:p.N323Kfs*27,ERI2:uc002dht.3:exon10:c.690_721del:p.N230Kfs*27,ERI2:uc010bwh.2:exon10:c.690_721del:p.N230Kfs*27;ERI2:ENST00000357967.9_6:exon9:c.969_1000del:p.N323Kfs*27,ERI2:ENST00000563117.5_4:exon10:c.690_721del:p.N230Kfs*27,ERI2:ENST00000564349.5_4:exon10:c.690_721del:p.N230Kfs*27</t>
        </is>
      </c>
      <c r="Q404" t="n">
        <v>-1</v>
      </c>
      <c r="R404" t="n">
        <v>-1</v>
      </c>
      <c r="S404" t="n">
        <v>-1</v>
      </c>
      <c r="T404" t="n">
        <v>-1</v>
      </c>
      <c r="U404" t="n">
        <v>-1</v>
      </c>
      <c r="V404" t="inlineStr">
        <is>
          <t>.</t>
        </is>
      </c>
      <c r="W404" t="inlineStr">
        <is>
          <t>.</t>
        </is>
      </c>
      <c r="X404" t="inlineStr">
        <is>
          <t>.</t>
        </is>
      </c>
      <c r="Y404" t="inlineStr">
        <is>
          <t>.</t>
        </is>
      </c>
      <c r="Z404" t="inlineStr">
        <is>
          <t>.</t>
        </is>
      </c>
      <c r="AA404" t="inlineStr">
        <is>
          <t>.</t>
        </is>
      </c>
      <c r="AB404" t="inlineStr">
        <is>
          <t>.</t>
        </is>
      </c>
      <c r="AC404" t="inlineStr">
        <is>
          <t>0/1</t>
        </is>
      </c>
      <c r="AD404" t="inlineStr">
        <is>
          <t>2</t>
        </is>
      </c>
      <c r="AE404" t="inlineStr">
        <is>
          <t>6.38834089545038e-05</t>
        </is>
      </c>
      <c r="AF404" t="inlineStr">
        <is>
          <t>ERI1 exoribonuclease family member 2</t>
        </is>
      </c>
      <c r="AG404" t="inlineStr">
        <is>
          <t>.</t>
        </is>
      </c>
      <c r="AH404" t="inlineStr">
        <is>
          <t>.</t>
        </is>
      </c>
      <c r="AI404" t="inlineStr">
        <is>
          <t>.</t>
        </is>
      </c>
      <c r="AJ404" t="inlineStr">
        <is>
          <t>.</t>
        </is>
      </c>
      <c r="AK404" t="inlineStr">
        <is>
          <t>.</t>
        </is>
      </c>
      <c r="AL404" t="inlineStr">
        <is>
          <t>.</t>
        </is>
      </c>
    </row>
    <row r="405">
      <c r="A405" t="inlineStr"/>
      <c r="B405">
        <f>HYPERLINK("https://genome.ucsc.edu/cgi-bin/hgTracks?db=hg19&amp;position=chr16%3A24124353%2D24124353", "chr16:24124353")</f>
        <v/>
      </c>
      <c r="C405" t="inlineStr">
        <is>
          <t>chr16</t>
        </is>
      </c>
      <c r="D405" t="n">
        <v>24124353</v>
      </c>
      <c r="E405" t="n">
        <v>24124353</v>
      </c>
      <c r="F405" t="inlineStr">
        <is>
          <t>G</t>
        </is>
      </c>
      <c r="G405" t="inlineStr">
        <is>
          <t>A</t>
        </is>
      </c>
      <c r="H405" t="inlineStr">
        <is>
          <t>1237.64</t>
        </is>
      </c>
      <c r="I405" t="inlineStr">
        <is>
          <t>86</t>
        </is>
      </c>
      <c r="J405" t="inlineStr">
        <is>
          <t>33,53</t>
        </is>
      </c>
      <c r="K405" t="inlineStr">
        <is>
          <t>.</t>
        </is>
      </c>
      <c r="L405">
        <f>HYPERLINK("https://www.ncbi.nlm.nih.gov/snp/rs199901715", "rs199901715")</f>
        <v/>
      </c>
      <c r="M405">
        <f>HYPERLINK("https://www.genecards.org/Search/Keyword?queryString=%5Baliases%5D(%20PRKCB%20)&amp;keywords=PRKCB", "PRKCB")</f>
        <v/>
      </c>
      <c r="N405" t="inlineStr">
        <is>
          <t>exonic</t>
        </is>
      </c>
      <c r="O405" t="inlineStr">
        <is>
          <t>nonsynonymous SNV</t>
        </is>
      </c>
      <c r="P405" t="inlineStr">
        <is>
          <t>PRKCB:NM_002738:exon8:c.G881A:p.G294E,PRKCB:NM_212535:exon8:c.G881A:p.G294E;PRKCB:uc002dmd.3:exon8:c.G881A:p.G294E,PRKCB:uc002dme.3:exon8:c.G881A:p.G294E;PRKCB:ENST00000321728.12_5:exon8:c.G881A:p.G294E,PRKCB:ENST00000643927.1_4:exon8:c.G881A:p.G294E</t>
        </is>
      </c>
      <c r="Q405" t="n">
        <v>0.000821</v>
      </c>
      <c r="R405" t="n">
        <v>0.0001</v>
      </c>
      <c r="S405" t="n">
        <v>0.0003</v>
      </c>
      <c r="T405" t="n">
        <v>-1</v>
      </c>
      <c r="U405" t="n">
        <v>-1</v>
      </c>
      <c r="V405" t="inlineStr">
        <is>
          <t>5/11</t>
        </is>
      </c>
      <c r="W405" t="inlineStr">
        <is>
          <t>.</t>
        </is>
      </c>
      <c r="X405" t="inlineStr">
        <is>
          <t>.</t>
        </is>
      </c>
      <c r="Y405" t="inlineStr">
        <is>
          <t>.</t>
        </is>
      </c>
      <c r="Z405" t="inlineStr">
        <is>
          <t>4/7</t>
        </is>
      </c>
      <c r="AA405" t="inlineStr">
        <is>
          <t>Uncertain significance</t>
        </is>
      </c>
      <c r="AB405" t="inlineStr">
        <is>
          <t>.</t>
        </is>
      </c>
      <c r="AC405" t="inlineStr">
        <is>
          <t>0/1</t>
        </is>
      </c>
      <c r="AD405" t="inlineStr">
        <is>
          <t>1</t>
        </is>
      </c>
      <c r="AE405" t="inlineStr">
        <is>
          <t>0.999908070013039</t>
        </is>
      </c>
      <c r="AF405" t="inlineStr">
        <is>
          <t>protein kinase C beta</t>
        </is>
      </c>
      <c r="AG405" t="inlineStr">
        <is>
          <t xml:space="preserve">FUNCTION: Calcium-activated, phospholipid- and diacylglycerol (DAG)-dependent serine/threonine-protein kinase involved in various cellular processes such as regulation of the B-cell receptor (BCR) signalosome, oxidative stress-induced apoptosis, androgen receptor-dependent transcription regulation, insulin signaling and endothelial cells proliferation. Plays a key role in B-cell activation by regulating BCR-induced NF-kappa-B activation. Mediates the activation of the canonical NF-kappa-B pathway (NFKB1) by direct phosphorylation of CARD11/CARMA1 at 'Ser-559', 'Ser-644' and 'Ser-652'. Phosphorylation induces CARD11/CARMA1 association with lipid rafts and recruitment of the BCL10-MALT1 complex as well as MAP3K7/TAK1, which then activates IKK complex, resulting in nuclear translocation and activation of NFKB1. Plays a direct role in the negative feedback regulation of the BCR signaling, by down-modulating BTK function via direct phosphorylation of BTK at 'Ser-180', which results in the alteration of BTK plasma membrane localization and in turn inhibition of BTK activity. Involved in apoptosis following oxidative damage: in case of oxidative conditions, specifically phosphorylates 'Ser-36' of isoform p66Shc of SHC1, leading to mitochondrial accumulation of p66Shc, where p66Shc acts as a reactive oxygen species producer. Acts as a coactivator of androgen receptor (ANDR)-dependent transcription, by being recruited to ANDR target genes and specifically mediating phosphorylation of 'Thr-6' of histone H3 (H3T6ph), a specific tag for epigenetic transcriptional activation that prevents demethylation of histone H3 'Lys-4' (H3K4me) by LSD1/KDM1A. In insulin signaling, may function downstream of IRS1 in muscle cells and mediate insulin-dependent DNA synthesis through the RAF1- MAPK/ERK signaling cascade. May participate in the regulation of glucose transport in adipocytes by negatively modulating the insulin-stimulated translocation of the glucose transporter SLC2A4/GLUT4. Under high glucose in pancreatic beta-cells, is probably involved in the inhibition of the insulin gene transcription, via regulation of MYC expression. In endothelial cells, activation of PRKCB induces increased phosphorylation of RB1, increased VEGFA-induced cell proliferation, and inhibits PI3K/AKT-dependent nitric oxide synthase (NOS3/eNOS) regulation by insulin, which causes endothelial dysfunction. Also involved in triglyceride homeostasis (By similarity). Phosphorylates ATF2 which promotes cooperation between ATF2 and JUN, activating transcription. {ECO:0000250, ECO:0000269|PubMed:11598012, ECO:0000269|PubMed:19176525, ECO:0000269|PubMed:20228790}.; </t>
        </is>
      </c>
      <c r="AH405" t="inlineStr">
        <is>
          <t>.</t>
        </is>
      </c>
      <c r="AI405" t="inlineStr">
        <is>
          <t>.</t>
        </is>
      </c>
      <c r="AJ405" t="inlineStr">
        <is>
          <t>.</t>
        </is>
      </c>
      <c r="AK405" t="inlineStr">
        <is>
          <t>.</t>
        </is>
      </c>
      <c r="AL405" t="inlineStr">
        <is>
          <t>.</t>
        </is>
      </c>
    </row>
    <row r="406">
      <c r="A406" t="inlineStr"/>
      <c r="B406">
        <f>HYPERLINK("https://genome.ucsc.edu/cgi-bin/hgTracks?db=hg19&amp;position=chr16%3A30794622%2D30794622", "chr16:30794622")</f>
        <v/>
      </c>
      <c r="C406" t="inlineStr">
        <is>
          <t>chr16</t>
        </is>
      </c>
      <c r="D406" t="n">
        <v>30794622</v>
      </c>
      <c r="E406" t="n">
        <v>30794622</v>
      </c>
      <c r="F406" t="inlineStr">
        <is>
          <t>C</t>
        </is>
      </c>
      <c r="G406" t="inlineStr">
        <is>
          <t>G</t>
        </is>
      </c>
      <c r="H406" t="inlineStr">
        <is>
          <t>3107.64</t>
        </is>
      </c>
      <c r="I406" t="inlineStr">
        <is>
          <t>176</t>
        </is>
      </c>
      <c r="J406" t="inlineStr">
        <is>
          <t>63,113</t>
        </is>
      </c>
      <c r="K406" t="inlineStr">
        <is>
          <t>.</t>
        </is>
      </c>
      <c r="L406" t="inlineStr">
        <is>
          <t>.</t>
        </is>
      </c>
      <c r="M406">
        <f>HYPERLINK("https://www.genecards.org/Search/Keyword?queryString=%5Baliases%5D(%20ZNF629%20)&amp;keywords=ZNF629", "ZNF629")</f>
        <v/>
      </c>
      <c r="N406" t="inlineStr">
        <is>
          <t>exonic</t>
        </is>
      </c>
      <c r="O406" t="inlineStr">
        <is>
          <t>nonsynonymous SNV</t>
        </is>
      </c>
      <c r="P406" t="inlineStr">
        <is>
          <t>ZNF629:NM_001080417:exon3:c.G1027C:p.E343Q,ZNF629:NM_001345970:exon3:c.G985C:p.E329Q;ZNF629:uc002dzs.1:exon3:c.G1027C:p.E343Q;ZNF629:ENST00000262525.6_5:exon3:c.G1027C:p.E343Q</t>
        </is>
      </c>
      <c r="Q406" t="n">
        <v>-1</v>
      </c>
      <c r="R406" t="n">
        <v>-1</v>
      </c>
      <c r="S406" t="n">
        <v>-1</v>
      </c>
      <c r="T406" t="n">
        <v>-1</v>
      </c>
      <c r="U406" t="n">
        <v>-1</v>
      </c>
      <c r="V406" t="inlineStr">
        <is>
          <t>6/12</t>
        </is>
      </c>
      <c r="W406" t="inlineStr">
        <is>
          <t>.</t>
        </is>
      </c>
      <c r="X406" t="inlineStr">
        <is>
          <t>.</t>
        </is>
      </c>
      <c r="Y406" t="inlineStr">
        <is>
          <t>.</t>
        </is>
      </c>
      <c r="Z406" t="inlineStr">
        <is>
          <t>3/7</t>
        </is>
      </c>
      <c r="AA406" t="inlineStr">
        <is>
          <t>Uncertain significance</t>
        </is>
      </c>
      <c r="AB406" t="inlineStr">
        <is>
          <t>.</t>
        </is>
      </c>
      <c r="AC406" t="inlineStr">
        <is>
          <t>0/1</t>
        </is>
      </c>
      <c r="AD406" t="inlineStr">
        <is>
          <t>1</t>
        </is>
      </c>
      <c r="AE406" t="inlineStr">
        <is>
          <t>0.992317751805668</t>
        </is>
      </c>
      <c r="AF406" t="inlineStr">
        <is>
          <t>zinc finger protein 629</t>
        </is>
      </c>
      <c r="AG406" t="inlineStr">
        <is>
          <t xml:space="preserve">FUNCTION: May be involved in transcriptional regulation.; </t>
        </is>
      </c>
      <c r="AH406" t="inlineStr">
        <is>
          <t>.</t>
        </is>
      </c>
      <c r="AI406" t="inlineStr">
        <is>
          <t>.</t>
        </is>
      </c>
      <c r="AJ406" t="inlineStr">
        <is>
          <t>.</t>
        </is>
      </c>
      <c r="AK406" t="inlineStr">
        <is>
          <t>.</t>
        </is>
      </c>
      <c r="AL406" t="inlineStr">
        <is>
          <t>.</t>
        </is>
      </c>
    </row>
    <row r="407">
      <c r="A407" t="inlineStr"/>
      <c r="B407">
        <f>HYPERLINK("https://genome.ucsc.edu/cgi-bin/hgTracks?db=hg19&amp;position=chr16%3A31072582%2D31072582", "chr16:31072582")</f>
        <v/>
      </c>
      <c r="C407" t="inlineStr">
        <is>
          <t>chr16</t>
        </is>
      </c>
      <c r="D407" t="n">
        <v>31072582</v>
      </c>
      <c r="E407" t="n">
        <v>31072582</v>
      </c>
      <c r="F407" t="inlineStr">
        <is>
          <t>C</t>
        </is>
      </c>
      <c r="G407" t="inlineStr">
        <is>
          <t>G</t>
        </is>
      </c>
      <c r="H407" t="inlineStr">
        <is>
          <t>1910.64</t>
        </is>
      </c>
      <c r="I407" t="inlineStr">
        <is>
          <t>112</t>
        </is>
      </c>
      <c r="J407" t="inlineStr">
        <is>
          <t>31,81</t>
        </is>
      </c>
      <c r="K407" t="inlineStr">
        <is>
          <t>.</t>
        </is>
      </c>
      <c r="L407">
        <f>HYPERLINK("https://www.ncbi.nlm.nih.gov/snp/rs148738674", "rs148738674")</f>
        <v/>
      </c>
      <c r="M407">
        <f>HYPERLINK("https://www.genecards.org/Search/Keyword?queryString=%5Baliases%5D(%20ZNF668%20)&amp;keywords=ZNF668", "ZNF668")</f>
        <v/>
      </c>
      <c r="N407" t="inlineStr">
        <is>
          <t>exonic</t>
        </is>
      </c>
      <c r="O407" t="inlineStr">
        <is>
          <t>nonsynonymous SNV</t>
        </is>
      </c>
      <c r="P407" t="inlineStr">
        <is>
          <t>ZNF668:NM_001172668:exon3:c.G1667C:p.R556P,ZNF668:NM_001172670:exon3:c.G1667C:p.R556P,ZNF668:NM_024706:exon3:c.G1667C:p.R556P,ZNF668:NM_001172669:exon4:c.G1736C:p.R579P;ZNF668:uc002eao.3:exon3:c.G1667C:p.R556P,ZNF668:uc010caf.3:exon3:c.G1667C:p.R556P,ZNF668:uc010cag.2:exon3:c.G1667C:p.R556P,ZNF668:uc021tgt.1:exon4:c.G1736C:p.R579P;ZNF668:ENST00000300849.5_6:exon3:c.G1667C:p.R556P,ZNF668:ENST00000394983.6_4:exon3:c.G1667C:p.R556P,ZNF668:ENST00000535577.5_4:exon3:c.G1667C:p.R556P,ZNF668:ENST00000538906.5_4:exon3:c.G1667C:p.R556P,ZNF668:ENST00000426488.6_4:exon4:c.G1736C:p.R579P,ZNF668:ENST00000539836.3_4:exon4:c.G1736C:p.R579P</t>
        </is>
      </c>
      <c r="Q407" t="n">
        <v>0.0014</v>
      </c>
      <c r="R407" t="n">
        <v>0.0003</v>
      </c>
      <c r="S407" t="n">
        <v>0.0001</v>
      </c>
      <c r="T407" t="n">
        <v>-1</v>
      </c>
      <c r="U407" t="n">
        <v>0.0002</v>
      </c>
      <c r="V407" t="inlineStr">
        <is>
          <t>4/11</t>
        </is>
      </c>
      <c r="W407" t="inlineStr">
        <is>
          <t>.</t>
        </is>
      </c>
      <c r="X407" t="inlineStr">
        <is>
          <t>.</t>
        </is>
      </c>
      <c r="Y407" t="inlineStr">
        <is>
          <t>.</t>
        </is>
      </c>
      <c r="Z407" t="inlineStr">
        <is>
          <t>2/7</t>
        </is>
      </c>
      <c r="AA407" t="inlineStr">
        <is>
          <t>Uncertain significance</t>
        </is>
      </c>
      <c r="AB407" t="inlineStr">
        <is>
          <t>.</t>
        </is>
      </c>
      <c r="AC407" t="inlineStr">
        <is>
          <t>0/1</t>
        </is>
      </c>
      <c r="AD407" t="inlineStr">
        <is>
          <t>1</t>
        </is>
      </c>
      <c r="AE407" t="inlineStr">
        <is>
          <t>0.26889237334633</t>
        </is>
      </c>
      <c r="AF407" t="inlineStr">
        <is>
          <t>zinc finger protein 668</t>
        </is>
      </c>
      <c r="AG407" t="inlineStr">
        <is>
          <t xml:space="preserve">FUNCTION: May be involved in transcriptional regulation. {ECO:0000250}.; </t>
        </is>
      </c>
      <c r="AH407" t="inlineStr">
        <is>
          <t>.</t>
        </is>
      </c>
      <c r="AI407" t="inlineStr">
        <is>
          <t>.</t>
        </is>
      </c>
      <c r="AJ407" t="inlineStr">
        <is>
          <t>.</t>
        </is>
      </c>
      <c r="AK407" t="inlineStr">
        <is>
          <t>.</t>
        </is>
      </c>
      <c r="AL407" t="inlineStr">
        <is>
          <t>.</t>
        </is>
      </c>
    </row>
    <row r="408">
      <c r="A408" t="inlineStr"/>
      <c r="B408">
        <f>HYPERLINK("https://genome.ucsc.edu/cgi-bin/hgTracks?db=hg19&amp;position=chr16%3A31098287%2D31098287", "chr16:31098287")</f>
        <v/>
      </c>
      <c r="C408" t="inlineStr">
        <is>
          <t>chr16</t>
        </is>
      </c>
      <c r="D408" t="n">
        <v>31098287</v>
      </c>
      <c r="E408" t="n">
        <v>31098287</v>
      </c>
      <c r="F408" t="inlineStr">
        <is>
          <t>C</t>
        </is>
      </c>
      <c r="G408" t="inlineStr">
        <is>
          <t>T</t>
        </is>
      </c>
      <c r="H408" t="inlineStr">
        <is>
          <t>372.64</t>
        </is>
      </c>
      <c r="I408" t="inlineStr">
        <is>
          <t>21</t>
        </is>
      </c>
      <c r="J408" t="inlineStr">
        <is>
          <t>6,15</t>
        </is>
      </c>
      <c r="K408" t="inlineStr">
        <is>
          <t>.</t>
        </is>
      </c>
      <c r="L408">
        <f>HYPERLINK("https://www.ncbi.nlm.nih.gov/snp/rs534280793", "rs534280793")</f>
        <v/>
      </c>
      <c r="M408">
        <f>HYPERLINK("https://www.genecards.org/Search/Keyword?queryString=%5Baliases%5D(%20PRSS53%20)&amp;keywords=PRSS53", "PRSS53")</f>
        <v/>
      </c>
      <c r="N408" t="inlineStr">
        <is>
          <t>intronic</t>
        </is>
      </c>
      <c r="O408" t="inlineStr">
        <is>
          <t>.</t>
        </is>
      </c>
      <c r="P408" t="inlineStr">
        <is>
          <t>.</t>
        </is>
      </c>
      <c r="Q408" t="n">
        <v>0.0014</v>
      </c>
      <c r="R408" t="n">
        <v>0.0003</v>
      </c>
      <c r="S408" t="n">
        <v>0.0001</v>
      </c>
      <c r="T408" t="n">
        <v>-1</v>
      </c>
      <c r="U408" t="n">
        <v>0.0002</v>
      </c>
      <c r="V408" t="inlineStr">
        <is>
          <t>.</t>
        </is>
      </c>
      <c r="W408" t="inlineStr">
        <is>
          <t>.</t>
        </is>
      </c>
      <c r="X408" t="inlineStr">
        <is>
          <t>D</t>
        </is>
      </c>
      <c r="Y408" t="inlineStr">
        <is>
          <t>off</t>
        </is>
      </c>
      <c r="Z408" t="inlineStr">
        <is>
          <t>.</t>
        </is>
      </c>
      <c r="AA408" t="inlineStr">
        <is>
          <t>.</t>
        </is>
      </c>
      <c r="AB408" t="inlineStr">
        <is>
          <t>.</t>
        </is>
      </c>
      <c r="AC408" t="inlineStr">
        <is>
          <t>0/1</t>
        </is>
      </c>
      <c r="AD408" t="inlineStr">
        <is>
          <t>1</t>
        </is>
      </c>
      <c r="AE408" t="inlineStr">
        <is>
          <t>7.27161895996479e-11</t>
        </is>
      </c>
      <c r="AF408" t="inlineStr">
        <is>
          <t>protease, serine 53</t>
        </is>
      </c>
      <c r="AG408" t="inlineStr">
        <is>
          <t xml:space="preserve">FUNCTION: In vitro can degrade the fibrinogen alpha chain of as well as pro-urokinase-type plasminogen activator. {ECO:0000269|PubMed:16566820}.; </t>
        </is>
      </c>
      <c r="AH408" t="inlineStr">
        <is>
          <t>.</t>
        </is>
      </c>
      <c r="AI408" t="inlineStr">
        <is>
          <t>.</t>
        </is>
      </c>
      <c r="AJ408" t="inlineStr">
        <is>
          <t>.</t>
        </is>
      </c>
      <c r="AK408" t="inlineStr">
        <is>
          <t>.</t>
        </is>
      </c>
      <c r="AL408" t="inlineStr">
        <is>
          <t>.</t>
        </is>
      </c>
    </row>
    <row r="409">
      <c r="A409" t="inlineStr"/>
      <c r="B409">
        <f>HYPERLINK("https://genome.ucsc.edu/cgi-bin/hgTracks?db=hg19&amp;position=chr16%3A31226343%2D31226343", "chr16:31226343")</f>
        <v/>
      </c>
      <c r="C409" t="inlineStr">
        <is>
          <t>chr16</t>
        </is>
      </c>
      <c r="D409" t="n">
        <v>31226343</v>
      </c>
      <c r="E409" t="n">
        <v>31226343</v>
      </c>
      <c r="F409" t="inlineStr">
        <is>
          <t>T</t>
        </is>
      </c>
      <c r="G409" t="inlineStr">
        <is>
          <t>G</t>
        </is>
      </c>
      <c r="H409" t="inlineStr">
        <is>
          <t>1637.64</t>
        </is>
      </c>
      <c r="I409" t="inlineStr">
        <is>
          <t>84</t>
        </is>
      </c>
      <c r="J409" t="inlineStr">
        <is>
          <t>21,63</t>
        </is>
      </c>
      <c r="K409" t="inlineStr">
        <is>
          <t>.</t>
        </is>
      </c>
      <c r="L409">
        <f>HYPERLINK("https://www.ncbi.nlm.nih.gov/snp/rs567360429", "rs567360429")</f>
        <v/>
      </c>
      <c r="M409">
        <f>HYPERLINK("https://www.genecards.org/Search/Keyword?queryString=%5Baliases%5D(%20TRIM72%20)&amp;keywords=TRIM72", "TRIM72")</f>
        <v/>
      </c>
      <c r="N409" t="inlineStr">
        <is>
          <t>exonic</t>
        </is>
      </c>
      <c r="O409" t="inlineStr">
        <is>
          <t>nonsynonymous SNV</t>
        </is>
      </c>
      <c r="P409" t="inlineStr">
        <is>
          <t>TRIM72:NM_001008274:exon2:c.T284G:p.I95S;TRIM72:uc002ebn.2:exon2:c.T284G:p.I95S;TRIM72:ENST00000322122.8_4:exon2:c.T284G:p.I95S,TRIM72:ENST00000613872.1_1:exon2:c.T284G:p.I95S</t>
        </is>
      </c>
      <c r="Q409" t="n">
        <v>-1</v>
      </c>
      <c r="R409" t="n">
        <v>-1</v>
      </c>
      <c r="S409" t="n">
        <v>-1</v>
      </c>
      <c r="T409" t="n">
        <v>-1</v>
      </c>
      <c r="U409" t="n">
        <v>-1</v>
      </c>
      <c r="V409" t="inlineStr">
        <is>
          <t>7/12</t>
        </is>
      </c>
      <c r="W409" t="inlineStr">
        <is>
          <t>.</t>
        </is>
      </c>
      <c r="X409" t="inlineStr">
        <is>
          <t>.</t>
        </is>
      </c>
      <c r="Y409" t="inlineStr">
        <is>
          <t>.</t>
        </is>
      </c>
      <c r="Z409" t="inlineStr">
        <is>
          <t>1/7</t>
        </is>
      </c>
      <c r="AA409" t="inlineStr">
        <is>
          <t>Uncertain significance</t>
        </is>
      </c>
      <c r="AB409" t="inlineStr">
        <is>
          <t>.</t>
        </is>
      </c>
      <c r="AC409" t="inlineStr">
        <is>
          <t>0/1</t>
        </is>
      </c>
      <c r="AD409" t="inlineStr">
        <is>
          <t>1</t>
        </is>
      </c>
      <c r="AE409" t="inlineStr">
        <is>
          <t>0.000530648274852266</t>
        </is>
      </c>
      <c r="AF409" t="inlineStr">
        <is>
          <t>tripartite motif containing 72, E3 ubiquitin protein ligase</t>
        </is>
      </c>
      <c r="AG409" t="inlineStr">
        <is>
          <t xml:space="preserve">FUNCTION: Muscle-specific protein that plays a central role in cell membrane repair by nucleating the assembly of the repair machinery at injury sites. Specifically binds phosphatidylserine. Acts as a sensor of oxidation: upon membrane damage, entry of extracellular oxidative environment results in disulfide bond formation and homooligomerization at the injury site. This oligomerization acts as a nucleation site for recruitment of TRIM72-containing vesicles to the injury site, leading to membrane patch formation. Probably acts upstream of the Ca(2+)-dependent membrane resealing process. Required for transport of DYSF to sites of cell injury during repair patch formation. Regulates membrane budding and exocytosis. May be involved in the regulation of the mobility of KCNB1-containing endocytic vesicles (By similarity). {ECO:0000250}.; </t>
        </is>
      </c>
      <c r="AH409" t="inlineStr">
        <is>
          <t>.</t>
        </is>
      </c>
      <c r="AI409" t="inlineStr">
        <is>
          <t>.</t>
        </is>
      </c>
      <c r="AJ409" t="inlineStr">
        <is>
          <t>.</t>
        </is>
      </c>
      <c r="AK409" t="inlineStr">
        <is>
          <t>.</t>
        </is>
      </c>
      <c r="AL409" t="inlineStr">
        <is>
          <t>.</t>
        </is>
      </c>
    </row>
    <row r="410">
      <c r="A410" t="inlineStr"/>
      <c r="B410">
        <f>HYPERLINK("https://genome.ucsc.edu/cgi-bin/hgTracks?db=hg19&amp;position=chr16%3A55703498%2D55703498", "chr16:55703498")</f>
        <v/>
      </c>
      <c r="C410" t="inlineStr">
        <is>
          <t>chr16</t>
        </is>
      </c>
      <c r="D410" t="n">
        <v>55703498</v>
      </c>
      <c r="E410" t="n">
        <v>55703498</v>
      </c>
      <c r="F410" t="inlineStr">
        <is>
          <t>C</t>
        </is>
      </c>
      <c r="G410" t="inlineStr">
        <is>
          <t>T</t>
        </is>
      </c>
      <c r="H410" t="inlineStr">
        <is>
          <t>616.64</t>
        </is>
      </c>
      <c r="I410" t="inlineStr">
        <is>
          <t>122</t>
        </is>
      </c>
      <c r="J410" t="inlineStr">
        <is>
          <t>88,34</t>
        </is>
      </c>
      <c r="K410" t="inlineStr">
        <is>
          <t>.</t>
        </is>
      </c>
      <c r="L410">
        <f>HYPERLINK("https://www.ncbi.nlm.nih.gov/snp/rs1805065", "rs1805065")</f>
        <v/>
      </c>
      <c r="M410">
        <f>HYPERLINK("https://www.genecards.org/Search/Keyword?queryString=%5Baliases%5D(%20SLC6A2%20)&amp;keywords=SLC6A2", "SLC6A2")</f>
        <v/>
      </c>
      <c r="N410" t="inlineStr">
        <is>
          <t>exonic</t>
        </is>
      </c>
      <c r="O410" t="inlineStr">
        <is>
          <t>nonsynonymous SNV</t>
        </is>
      </c>
      <c r="P410" t="inlineStr">
        <is>
          <t>SLC6A2:NM_001043:exon2:c.C296T:p.T99I,SLC6A2:NM_001172504:exon2:c.C296T:p.T99I,SLC6A2:NM_001172501:exon3:c.C296T:p.T99I;SLC6A2:uc002eig.3:exon2:c.C296T:p.T99I,SLC6A2:uc021tio.1:exon2:c.C296T:p.T99I,SLC6A2:uc002eif.3:exon3:c.C296T:p.T99I;SLC6A2:ENST00000219833.13_3:exon2:c.C296T:p.T99I,SLC6A2:ENST00000379906.6_1:exon2:c.C296T:p.T99I,SLC6A2:ENST00000561820.5_1:exon2:c.C296T:p.T99I,SLC6A2:ENST00000566163.5_1:exon2:c.C296T:p.T99I,SLC6A2:ENST00000414754.7_1:exon3:c.C296T:p.T99I,SLC6A2:ENST00000568943.6_2:exon3:c.C296T:p.T99I</t>
        </is>
      </c>
      <c r="Q410" t="n">
        <v>0.0144</v>
      </c>
      <c r="R410" t="n">
        <v>0.0124</v>
      </c>
      <c r="S410" t="n">
        <v>0.0135</v>
      </c>
      <c r="T410" t="n">
        <v>-1</v>
      </c>
      <c r="U410" t="n">
        <v>0.0089</v>
      </c>
      <c r="V410" t="inlineStr">
        <is>
          <t>3/10</t>
        </is>
      </c>
      <c r="W410" t="inlineStr">
        <is>
          <t>.</t>
        </is>
      </c>
      <c r="X410" t="inlineStr">
        <is>
          <t>.</t>
        </is>
      </c>
      <c r="Y410" t="inlineStr">
        <is>
          <t>.</t>
        </is>
      </c>
      <c r="Z410" t="inlineStr">
        <is>
          <t>0/7</t>
        </is>
      </c>
      <c r="AA410" t="inlineStr">
        <is>
          <t>Uncertain significance</t>
        </is>
      </c>
      <c r="AB410" t="inlineStr">
        <is>
          <t>Benign</t>
        </is>
      </c>
      <c r="AC410" t="inlineStr">
        <is>
          <t>0/1</t>
        </is>
      </c>
      <c r="AD410" t="inlineStr">
        <is>
          <t>1</t>
        </is>
      </c>
      <c r="AE410" t="inlineStr">
        <is>
          <t>0.277118300003759</t>
        </is>
      </c>
      <c r="AF410" t="inlineStr">
        <is>
          <t>solute carrier family 6 member 2</t>
        </is>
      </c>
      <c r="AG410" t="inlineStr">
        <is>
          <t xml:space="preserve">FUNCTION: Amine transporter. Terminates the action of noradrenaline by its high affinity sodium-dependent reuptake into presynaptic terminals. {ECO:0000269|PubMed:2008212}.; </t>
        </is>
      </c>
      <c r="AH410" t="inlineStr">
        <is>
          <t xml:space="preserve">DISEASE: Orthostatic intolerance (OI) [MIM:604715]: Syndrome characterized by lightheadedness, fatigue, altered mentation and syncope. It is associated with postural tachycardia. Plasma norepinephrine concentration is abnormally high. {ECO:0000269|PubMed:10684912}. Note=The disease is caused by mutations affecting the gene represented in this entry.; </t>
        </is>
      </c>
      <c r="AI410" t="inlineStr">
        <is>
          <t>.</t>
        </is>
      </c>
      <c r="AJ410" t="inlineStr">
        <is>
          <t>.</t>
        </is>
      </c>
      <c r="AK410" t="inlineStr">
        <is>
          <t>.</t>
        </is>
      </c>
      <c r="AL410" t="inlineStr">
        <is>
          <t>.</t>
        </is>
      </c>
    </row>
    <row r="411">
      <c r="A411" t="inlineStr"/>
      <c r="B411">
        <f>HYPERLINK("https://genome.ucsc.edu/cgi-bin/hgTracks?db=hg19&amp;position=chr16%3A66511303%2D66511303", "chr16:66511303")</f>
        <v/>
      </c>
      <c r="C411" t="inlineStr">
        <is>
          <t>chr16</t>
        </is>
      </c>
      <c r="D411" t="n">
        <v>66511303</v>
      </c>
      <c r="E411" t="n">
        <v>66511303</v>
      </c>
      <c r="F411" t="inlineStr">
        <is>
          <t>T</t>
        </is>
      </c>
      <c r="G411" t="inlineStr">
        <is>
          <t>C</t>
        </is>
      </c>
      <c r="H411" t="inlineStr">
        <is>
          <t>31.64</t>
        </is>
      </c>
      <c r="I411" t="inlineStr">
        <is>
          <t>10</t>
        </is>
      </c>
      <c r="J411" t="inlineStr">
        <is>
          <t>8,2</t>
        </is>
      </c>
      <c r="K411" t="inlineStr">
        <is>
          <t>.</t>
        </is>
      </c>
      <c r="L411" t="inlineStr">
        <is>
          <t>.</t>
        </is>
      </c>
      <c r="M411">
        <f>HYPERLINK("https://www.genecards.org/Search/Keyword?queryString=%5Baliases%5D(%20BEAN1%20)&amp;keywords=BEAN1", "BEAN1")</f>
        <v/>
      </c>
      <c r="N411" t="inlineStr">
        <is>
          <t>intronic;ncRNA_intronic</t>
        </is>
      </c>
      <c r="O411" t="inlineStr">
        <is>
          <t>.</t>
        </is>
      </c>
      <c r="P411" t="inlineStr">
        <is>
          <t>.</t>
        </is>
      </c>
      <c r="Q411" t="n">
        <v>-1</v>
      </c>
      <c r="R411" t="n">
        <v>-1</v>
      </c>
      <c r="S411" t="n">
        <v>-1</v>
      </c>
      <c r="T411" t="n">
        <v>-1</v>
      </c>
      <c r="U411" t="n">
        <v>-1</v>
      </c>
      <c r="V411" t="inlineStr">
        <is>
          <t>.</t>
        </is>
      </c>
      <c r="W411" t="inlineStr">
        <is>
          <t>.</t>
        </is>
      </c>
      <c r="X411" t="inlineStr">
        <is>
          <t>B</t>
        </is>
      </c>
      <c r="Y411" t="inlineStr">
        <is>
          <t>off</t>
        </is>
      </c>
      <c r="Z411" t="inlineStr">
        <is>
          <t>.</t>
        </is>
      </c>
      <c r="AA411" t="inlineStr">
        <is>
          <t>.</t>
        </is>
      </c>
      <c r="AB411" t="inlineStr">
        <is>
          <t>.</t>
        </is>
      </c>
      <c r="AC411" t="inlineStr">
        <is>
          <t>0/1</t>
        </is>
      </c>
      <c r="AD411" t="inlineStr">
        <is>
          <t>1</t>
        </is>
      </c>
      <c r="AE411" t="inlineStr">
        <is>
          <t>.</t>
        </is>
      </c>
      <c r="AF411" t="inlineStr">
        <is>
          <t>brain expressed, associated with NEDD4, 1</t>
        </is>
      </c>
      <c r="AG411" t="inlineStr">
        <is>
          <t>.</t>
        </is>
      </c>
      <c r="AH411" t="inlineStr">
        <is>
          <t xml:space="preserve">DISEASE: Spinocerebellar ataxia 31 (SCA31) [MIM:117210]: A form of spinocerebellar ataxia, a clinically and genetically heterogeneous group of cerebellar disorders. Patients show progressive incoordination of gait and often poor coordination of hands, speech and eye movements, due to degeneration of the cerebellum with variable involvement of the brainstem and spinal cord. SCA31 belongs to the autosomal dominant cerebellar ataxias type III (ADCA III) which are characterized by pure cerebellar ataxia without additional signs. {ECO:0000269|PubMed:19878914}. Note=The disease is caused by mutations affecting the gene represented in this entry.; </t>
        </is>
      </c>
      <c r="AI411" t="inlineStr">
        <is>
          <t>.</t>
        </is>
      </c>
      <c r="AJ411" t="inlineStr">
        <is>
          <t>.</t>
        </is>
      </c>
      <c r="AK411" t="inlineStr">
        <is>
          <t>.</t>
        </is>
      </c>
      <c r="AL411" t="inlineStr">
        <is>
          <t>.</t>
        </is>
      </c>
    </row>
    <row r="412">
      <c r="A412" t="inlineStr"/>
      <c r="B412">
        <f>HYPERLINK("https://genome.ucsc.edu/cgi-bin/hgTracks?db=hg19&amp;position=chr16%3A67037806%2D67037806", "chr16:67037806")</f>
        <v/>
      </c>
      <c r="C412" t="inlineStr">
        <is>
          <t>chr16</t>
        </is>
      </c>
      <c r="D412" t="n">
        <v>67037806</v>
      </c>
      <c r="E412" t="n">
        <v>67037806</v>
      </c>
      <c r="F412" t="inlineStr">
        <is>
          <t>T</t>
        </is>
      </c>
      <c r="G412" t="inlineStr">
        <is>
          <t>G</t>
        </is>
      </c>
      <c r="H412" t="inlineStr">
        <is>
          <t>35.64</t>
        </is>
      </c>
      <c r="I412" t="inlineStr">
        <is>
          <t>7</t>
        </is>
      </c>
      <c r="J412" t="inlineStr">
        <is>
          <t>5,2</t>
        </is>
      </c>
      <c r="K412" t="inlineStr">
        <is>
          <t>.</t>
        </is>
      </c>
      <c r="L412" t="inlineStr">
        <is>
          <t>.</t>
        </is>
      </c>
      <c r="M412">
        <f>HYPERLINK("https://www.genecards.org/Search/Keyword?queryString=%5Baliases%5D(%20CES4A%20)&amp;keywords=CES4A", "CES4A")</f>
        <v/>
      </c>
      <c r="N412" t="inlineStr">
        <is>
          <t>intronic</t>
        </is>
      </c>
      <c r="O412" t="inlineStr">
        <is>
          <t>.</t>
        </is>
      </c>
      <c r="P412" t="inlineStr">
        <is>
          <t>.</t>
        </is>
      </c>
      <c r="Q412" t="n">
        <v>-1</v>
      </c>
      <c r="R412" t="n">
        <v>-1</v>
      </c>
      <c r="S412" t="n">
        <v>-1</v>
      </c>
      <c r="T412" t="n">
        <v>-1</v>
      </c>
      <c r="U412" t="n">
        <v>-1</v>
      </c>
      <c r="V412" t="inlineStr">
        <is>
          <t>.</t>
        </is>
      </c>
      <c r="W412" t="inlineStr">
        <is>
          <t>.</t>
        </is>
      </c>
      <c r="X412" t="inlineStr">
        <is>
          <t>D</t>
        </is>
      </c>
      <c r="Y412" t="inlineStr">
        <is>
          <t>off</t>
        </is>
      </c>
      <c r="Z412" t="inlineStr">
        <is>
          <t>.</t>
        </is>
      </c>
      <c r="AA412" t="inlineStr">
        <is>
          <t>.</t>
        </is>
      </c>
      <c r="AB412" t="inlineStr">
        <is>
          <t>.</t>
        </is>
      </c>
      <c r="AC412" t="inlineStr">
        <is>
          <t>0/1</t>
        </is>
      </c>
      <c r="AD412" t="inlineStr">
        <is>
          <t>1</t>
        </is>
      </c>
      <c r="AE412" t="inlineStr">
        <is>
          <t>0.000495399061913583</t>
        </is>
      </c>
      <c r="AF412" t="inlineStr">
        <is>
          <t>carboxylesterase 4A</t>
        </is>
      </c>
      <c r="AG412" t="inlineStr">
        <is>
          <t xml:space="preserve">FUNCTION: Probable carboxylesterase. {ECO:0000250}.; </t>
        </is>
      </c>
      <c r="AH412" t="inlineStr">
        <is>
          <t>.</t>
        </is>
      </c>
      <c r="AI412" t="inlineStr">
        <is>
          <t>.</t>
        </is>
      </c>
      <c r="AJ412" t="inlineStr">
        <is>
          <t>.</t>
        </is>
      </c>
      <c r="AK412" t="inlineStr">
        <is>
          <t>.</t>
        </is>
      </c>
      <c r="AL412" t="inlineStr">
        <is>
          <t>.</t>
        </is>
      </c>
    </row>
    <row r="413">
      <c r="A413" t="inlineStr"/>
      <c r="B413">
        <f>HYPERLINK("https://genome.ucsc.edu/cgi-bin/hgTracks?db=hg19&amp;position=chr16%3A70883694%2D70883694", "chr16:70883694")</f>
        <v/>
      </c>
      <c r="C413" t="inlineStr">
        <is>
          <t>chr16</t>
        </is>
      </c>
      <c r="D413" t="n">
        <v>70883694</v>
      </c>
      <c r="E413" t="n">
        <v>70883694</v>
      </c>
      <c r="F413" t="inlineStr">
        <is>
          <t>G</t>
        </is>
      </c>
      <c r="G413" t="inlineStr">
        <is>
          <t>A</t>
        </is>
      </c>
      <c r="H413" t="inlineStr">
        <is>
          <t>380.64</t>
        </is>
      </c>
      <c r="I413" t="inlineStr">
        <is>
          <t>244</t>
        </is>
      </c>
      <c r="J413" t="inlineStr">
        <is>
          <t>207,37</t>
        </is>
      </c>
      <c r="K413" t="inlineStr">
        <is>
          <t>.</t>
        </is>
      </c>
      <c r="L413">
        <f>HYPERLINK("https://www.ncbi.nlm.nih.gov/snp/rs111318087", "rs111318087")</f>
        <v/>
      </c>
      <c r="M413">
        <f>HYPERLINK("https://www.genecards.org/Search/Keyword?queryString=%5Baliases%5D(%20HYDIN%20)&amp;keywords=HYDIN", "HYDIN")</f>
        <v/>
      </c>
      <c r="N413" t="inlineStr">
        <is>
          <t>exonic</t>
        </is>
      </c>
      <c r="O413" t="inlineStr">
        <is>
          <t>nonsynonymous SNV</t>
        </is>
      </c>
      <c r="P413" t="inlineStr">
        <is>
          <t>HYDIN:NM_001270974:exon75:c.C12808T:p.H4270Y;HYDIN:uc031qwy.1:exon75:c.C12808T:p.H4270Y;HYDIN:ENST00000393567.7_8:exon75:c.C12808T:p.H4270Y</t>
        </is>
      </c>
      <c r="Q413" t="n">
        <v>0.0060737</v>
      </c>
      <c r="R413" t="n">
        <v>-1</v>
      </c>
      <c r="S413" t="n">
        <v>-1</v>
      </c>
      <c r="T413" t="n">
        <v>-1</v>
      </c>
      <c r="U413" t="n">
        <v>-1</v>
      </c>
      <c r="V413" t="inlineStr">
        <is>
          <t>3/11</t>
        </is>
      </c>
      <c r="W413" t="inlineStr">
        <is>
          <t>.</t>
        </is>
      </c>
      <c r="X413" t="inlineStr">
        <is>
          <t>.</t>
        </is>
      </c>
      <c r="Y413" t="inlineStr">
        <is>
          <t>.</t>
        </is>
      </c>
      <c r="Z413" t="inlineStr">
        <is>
          <t>1/7</t>
        </is>
      </c>
      <c r="AA413" t="inlineStr">
        <is>
          <t>Uncertain significance</t>
        </is>
      </c>
      <c r="AB413" t="inlineStr">
        <is>
          <t>.</t>
        </is>
      </c>
      <c r="AC413" t="inlineStr">
        <is>
          <t>0/1</t>
        </is>
      </c>
      <c r="AD413" t="inlineStr">
        <is>
          <t>6</t>
        </is>
      </c>
      <c r="AE413" t="inlineStr">
        <is>
          <t>.</t>
        </is>
      </c>
      <c r="AF413" t="inlineStr">
        <is>
          <t>HYDIN, axonemal central pair apparatus protein</t>
        </is>
      </c>
      <c r="AG413" t="inlineStr">
        <is>
          <t xml:space="preserve">FUNCTION: Required for ciliary motility. {ECO:0000250}.; </t>
        </is>
      </c>
      <c r="AH413" t="inlineStr">
        <is>
          <t xml:space="preserve">DISEASE: Ciliary dyskinesia, primary, 5 (CILD5) [MIM:608647]: An autosomal recessive form of primary dyskinesia, a disorder characterized by abnormalities of motile cilia. Respiratory infections leading to chronic inflammation and bronchiectasis are recurrent, due to defects in the respiratory cilia; reduced fertility is often observed in male patients due to abnormalities of sperm tails. Half of the patients exhibit randomization of left-right body asymmetry and situs inversus, due to dysfunction of monocilia at the embryonic node. Primary ciliary dyskinesia associated with situs inversus is referred to as Kartagener syndrome. CILD5 is characterized by early onset of a progressive decline in lung function due to an inability to clear mucus and particles from the airways. Affected individuals have recurrent infections of the sinuses, ears, airways, and lungs. Sperm motility is also decreased. Individuals with CILD5 do not have situs inversus. {ECO:0000269|PubMed:23022101, ECO:0000269|PubMed:25186273}. Note=The disease is caused by mutations affecting the gene represented in this entry.; </t>
        </is>
      </c>
      <c r="AI413" t="inlineStr">
        <is>
          <t>.</t>
        </is>
      </c>
      <c r="AJ413" t="inlineStr">
        <is>
          <t>.</t>
        </is>
      </c>
      <c r="AK413" t="inlineStr">
        <is>
          <t>.</t>
        </is>
      </c>
      <c r="AL413" t="inlineStr">
        <is>
          <t>NGS_HighStringency</t>
        </is>
      </c>
    </row>
    <row r="414">
      <c r="A414" t="inlineStr"/>
      <c r="B414">
        <f>HYPERLINK("https://genome.ucsc.edu/cgi-bin/hgTracks?db=hg19&amp;position=chr16%3A70894087%2D70894087", "chr16:70894087")</f>
        <v/>
      </c>
      <c r="C414" t="inlineStr">
        <is>
          <t>chr16</t>
        </is>
      </c>
      <c r="D414" t="n">
        <v>70894087</v>
      </c>
      <c r="E414" t="n">
        <v>70894087</v>
      </c>
      <c r="F414" t="inlineStr">
        <is>
          <t>T</t>
        </is>
      </c>
      <c r="G414" t="inlineStr">
        <is>
          <t>C</t>
        </is>
      </c>
      <c r="H414" t="inlineStr">
        <is>
          <t>1453.64</t>
        </is>
      </c>
      <c r="I414" t="inlineStr">
        <is>
          <t>182</t>
        </is>
      </c>
      <c r="J414" t="inlineStr">
        <is>
          <t>116,66</t>
        </is>
      </c>
      <c r="K414" t="inlineStr">
        <is>
          <t>.</t>
        </is>
      </c>
      <c r="L414">
        <f>HYPERLINK("https://www.ncbi.nlm.nih.gov/snp/rs1539302", "rs1539302")</f>
        <v/>
      </c>
      <c r="M414">
        <f>HYPERLINK("https://www.genecards.org/Search/Keyword?queryString=%5Baliases%5D(%20HYDIN%20)&amp;keywords=HYDIN", "HYDIN")</f>
        <v/>
      </c>
      <c r="N414" t="inlineStr">
        <is>
          <t>exonic</t>
        </is>
      </c>
      <c r="O414" t="inlineStr">
        <is>
          <t>nonsynonymous SNV</t>
        </is>
      </c>
      <c r="P414" t="inlineStr">
        <is>
          <t>HYDIN:NM_001270974:exon71:c.A12013G:p.T4005A;HYDIN:uc031qwy.1:exon71:c.A12013G:p.T4005A;HYDIN:ENST00000393567.7_8:exon71:c.A12013G:p.T4005A</t>
        </is>
      </c>
      <c r="Q414" t="n">
        <v>0.0286995</v>
      </c>
      <c r="R414" t="n">
        <v>0.0047</v>
      </c>
      <c r="S414" t="n">
        <v>0.0023</v>
      </c>
      <c r="T414" t="n">
        <v>-1</v>
      </c>
      <c r="U414" t="n">
        <v>0.0056</v>
      </c>
      <c r="V414" t="inlineStr">
        <is>
          <t>6/11</t>
        </is>
      </c>
      <c r="W414" t="inlineStr">
        <is>
          <t>.</t>
        </is>
      </c>
      <c r="X414" t="inlineStr">
        <is>
          <t>.</t>
        </is>
      </c>
      <c r="Y414" t="inlineStr">
        <is>
          <t>.</t>
        </is>
      </c>
      <c r="Z414" t="inlineStr">
        <is>
          <t>5/7</t>
        </is>
      </c>
      <c r="AA414" t="inlineStr">
        <is>
          <t>Uncertain significance</t>
        </is>
      </c>
      <c r="AB414" t="inlineStr">
        <is>
          <t>.</t>
        </is>
      </c>
      <c r="AC414" t="inlineStr">
        <is>
          <t>0/1</t>
        </is>
      </c>
      <c r="AD414" t="inlineStr">
        <is>
          <t>6</t>
        </is>
      </c>
      <c r="AE414" t="inlineStr">
        <is>
          <t>.</t>
        </is>
      </c>
      <c r="AF414" t="inlineStr">
        <is>
          <t>HYDIN, axonemal central pair apparatus protein</t>
        </is>
      </c>
      <c r="AG414" t="inlineStr">
        <is>
          <t xml:space="preserve">FUNCTION: Required for ciliary motility. {ECO:0000250}.; </t>
        </is>
      </c>
      <c r="AH414" t="inlineStr">
        <is>
          <t xml:space="preserve">DISEASE: Ciliary dyskinesia, primary, 5 (CILD5) [MIM:608647]: An autosomal recessive form of primary dyskinesia, a disorder characterized by abnormalities of motile cilia. Respiratory infections leading to chronic inflammation and bronchiectasis are recurrent, due to defects in the respiratory cilia; reduced fertility is often observed in male patients due to abnormalities of sperm tails. Half of the patients exhibit randomization of left-right body asymmetry and situs inversus, due to dysfunction of monocilia at the embryonic node. Primary ciliary dyskinesia associated with situs inversus is referred to as Kartagener syndrome. CILD5 is characterized by early onset of a progressive decline in lung function due to an inability to clear mucus and particles from the airways. Affected individuals have recurrent infections of the sinuses, ears, airways, and lungs. Sperm motility is also decreased. Individuals with CILD5 do not have situs inversus. {ECO:0000269|PubMed:23022101, ECO:0000269|PubMed:25186273}. Note=The disease is caused by mutations affecting the gene represented in this entry.; </t>
        </is>
      </c>
      <c r="AI414" t="inlineStr">
        <is>
          <t>GenotypeConflict</t>
        </is>
      </c>
      <c r="AJ414" t="inlineStr">
        <is>
          <t>.</t>
        </is>
      </c>
      <c r="AK414" t="inlineStr">
        <is>
          <t>.</t>
        </is>
      </c>
      <c r="AL414" t="inlineStr">
        <is>
          <t>NGS_HighStringency</t>
        </is>
      </c>
    </row>
    <row r="415">
      <c r="A415" t="inlineStr"/>
      <c r="B415">
        <f>HYPERLINK("https://genome.ucsc.edu/cgi-bin/hgTracks?db=hg19&amp;position=chr16%3A70896016%2D70896016", "chr16:70896016")</f>
        <v/>
      </c>
      <c r="C415" t="inlineStr">
        <is>
          <t>chr16</t>
        </is>
      </c>
      <c r="D415" t="n">
        <v>70896016</v>
      </c>
      <c r="E415" t="n">
        <v>70896016</v>
      </c>
      <c r="F415" t="inlineStr">
        <is>
          <t>A</t>
        </is>
      </c>
      <c r="G415" t="inlineStr">
        <is>
          <t>-</t>
        </is>
      </c>
      <c r="H415" t="inlineStr">
        <is>
          <t>2249.60</t>
        </is>
      </c>
      <c r="I415" t="inlineStr">
        <is>
          <t>169</t>
        </is>
      </c>
      <c r="J415" t="inlineStr">
        <is>
          <t>95,74</t>
        </is>
      </c>
      <c r="K415" t="inlineStr">
        <is>
          <t>.</t>
        </is>
      </c>
      <c r="L415">
        <f>HYPERLINK("https://www.ncbi.nlm.nih.gov/snp/rs11337008", "rs11337008")</f>
        <v/>
      </c>
      <c r="M415">
        <f>HYPERLINK("https://www.genecards.org/Search/Keyword?queryString=%5Baliases%5D(%20HYDIN%20)&amp;keywords=HYDIN", "HYDIN")</f>
        <v/>
      </c>
      <c r="N415" t="inlineStr">
        <is>
          <t>exonic</t>
        </is>
      </c>
      <c r="O415" t="inlineStr">
        <is>
          <t>frameshift deletion</t>
        </is>
      </c>
      <c r="P415" t="inlineStr">
        <is>
          <t>HYDIN:NM_001270974:exon69:c.11712delT:p.Q3905Rfs*5;HYDIN:uc031qwy.1:exon69:c.11712delT:p.Q3905Rfs*5;HYDIN:ENST00000393567.7_8:exon69:c.11712delT:p.Q3905Rfs*5</t>
        </is>
      </c>
      <c r="Q415" t="n">
        <v>0.0041655</v>
      </c>
      <c r="R415" t="n">
        <v>-1</v>
      </c>
      <c r="S415" t="n">
        <v>-1</v>
      </c>
      <c r="T415" t="n">
        <v>-1</v>
      </c>
      <c r="U415" t="n">
        <v>-1</v>
      </c>
      <c r="V415" t="inlineStr">
        <is>
          <t>.</t>
        </is>
      </c>
      <c r="W415" t="inlineStr">
        <is>
          <t>.</t>
        </is>
      </c>
      <c r="X415" t="inlineStr">
        <is>
          <t>.</t>
        </is>
      </c>
      <c r="Y415" t="inlineStr">
        <is>
          <t>.</t>
        </is>
      </c>
      <c r="Z415" t="inlineStr">
        <is>
          <t>.</t>
        </is>
      </c>
      <c r="AA415" t="inlineStr">
        <is>
          <t>.</t>
        </is>
      </c>
      <c r="AB415" t="inlineStr">
        <is>
          <t>.</t>
        </is>
      </c>
      <c r="AC415" t="inlineStr">
        <is>
          <t>0/1</t>
        </is>
      </c>
      <c r="AD415" t="inlineStr">
        <is>
          <t>6</t>
        </is>
      </c>
      <c r="AE415" t="inlineStr">
        <is>
          <t>.</t>
        </is>
      </c>
      <c r="AF415" t="inlineStr">
        <is>
          <t>HYDIN, axonemal central pair apparatus protein</t>
        </is>
      </c>
      <c r="AG415" t="inlineStr">
        <is>
          <t xml:space="preserve">FUNCTION: Required for ciliary motility. {ECO:0000250}.; </t>
        </is>
      </c>
      <c r="AH415" t="inlineStr">
        <is>
          <t xml:space="preserve">DISEASE: Ciliary dyskinesia, primary, 5 (CILD5) [MIM:608647]: An autosomal recessive form of primary dyskinesia, a disorder characterized by abnormalities of motile cilia. Respiratory infections leading to chronic inflammation and bronchiectasis are recurrent, due to defects in the respiratory cilia; reduced fertility is often observed in male patients due to abnormalities of sperm tails. Half of the patients exhibit randomization of left-right body asymmetry and situs inversus, due to dysfunction of monocilia at the embryonic node. Primary ciliary dyskinesia associated with situs inversus is referred to as Kartagener syndrome. CILD5 is characterized by early onset of a progressive decline in lung function due to an inability to clear mucus and particles from the airways. Affected individuals have recurrent infections of the sinuses, ears, airways, and lungs. Sperm motility is also decreased. Individuals with CILD5 do not have situs inversus. {ECO:0000269|PubMed:23022101, ECO:0000269|PubMed:25186273}. Note=The disease is caused by mutations affecting the gene represented in this entry.; </t>
        </is>
      </c>
      <c r="AI415" t="inlineStr">
        <is>
          <t>.</t>
        </is>
      </c>
      <c r="AJ415" t="inlineStr">
        <is>
          <t>.</t>
        </is>
      </c>
      <c r="AK415" t="inlineStr">
        <is>
          <t>.</t>
        </is>
      </c>
      <c r="AL415" t="inlineStr">
        <is>
          <t>NGS_HighStringency</t>
        </is>
      </c>
    </row>
    <row r="416">
      <c r="A416" t="inlineStr"/>
      <c r="B416">
        <f>HYPERLINK("https://genome.ucsc.edu/cgi-bin/hgTracks?db=hg19&amp;position=chr16%3A70896033%2D70896033", "chr16:70896033")</f>
        <v/>
      </c>
      <c r="C416" t="inlineStr">
        <is>
          <t>chr16</t>
        </is>
      </c>
      <c r="D416" t="n">
        <v>70896033</v>
      </c>
      <c r="E416" t="n">
        <v>70896033</v>
      </c>
      <c r="F416" t="inlineStr">
        <is>
          <t>C</t>
        </is>
      </c>
      <c r="G416" t="inlineStr">
        <is>
          <t>T</t>
        </is>
      </c>
      <c r="H416" t="inlineStr">
        <is>
          <t>61.64</t>
        </is>
      </c>
      <c r="I416" t="inlineStr">
        <is>
          <t>207</t>
        </is>
      </c>
      <c r="J416" t="inlineStr">
        <is>
          <t>184,23</t>
        </is>
      </c>
      <c r="K416" t="inlineStr">
        <is>
          <t>.</t>
        </is>
      </c>
      <c r="L416">
        <f>HYPERLINK("https://www.ncbi.nlm.nih.gov/snp/rs1626593", "rs1626593")</f>
        <v/>
      </c>
      <c r="M416">
        <f>HYPERLINK("https://www.genecards.org/Search/Keyword?queryString=%5Baliases%5D(%20HYDIN%20)&amp;keywords=HYDIN", "HYDIN")</f>
        <v/>
      </c>
      <c r="N416" t="inlineStr">
        <is>
          <t>exonic</t>
        </is>
      </c>
      <c r="O416" t="inlineStr">
        <is>
          <t>nonsynonymous SNV</t>
        </is>
      </c>
      <c r="P416" t="inlineStr">
        <is>
          <t>HYDIN:NM_001270974:exon69:c.G11695A:p.V3899M;HYDIN:uc031qwy.1:exon69:c.G11695A:p.V3899M;HYDIN:ENST00000393567.7_8:exon69:c.G11695A:p.V3899M</t>
        </is>
      </c>
      <c r="Q416" t="n">
        <v>0.0087968</v>
      </c>
      <c r="R416" t="n">
        <v>-1</v>
      </c>
      <c r="S416" t="n">
        <v>-1</v>
      </c>
      <c r="T416" t="n">
        <v>-1</v>
      </c>
      <c r="U416" t="n">
        <v>-1</v>
      </c>
      <c r="V416" t="inlineStr">
        <is>
          <t>3/10</t>
        </is>
      </c>
      <c r="W416" t="inlineStr">
        <is>
          <t>.</t>
        </is>
      </c>
      <c r="X416" t="inlineStr">
        <is>
          <t>.</t>
        </is>
      </c>
      <c r="Y416" t="inlineStr">
        <is>
          <t>.</t>
        </is>
      </c>
      <c r="Z416" t="inlineStr">
        <is>
          <t>0/7</t>
        </is>
      </c>
      <c r="AA416" t="inlineStr">
        <is>
          <t>Uncertain significance</t>
        </is>
      </c>
      <c r="AB416" t="inlineStr">
        <is>
          <t>.</t>
        </is>
      </c>
      <c r="AC416" t="inlineStr">
        <is>
          <t>0/1</t>
        </is>
      </c>
      <c r="AD416" t="inlineStr">
        <is>
          <t>6</t>
        </is>
      </c>
      <c r="AE416" t="inlineStr">
        <is>
          <t>.</t>
        </is>
      </c>
      <c r="AF416" t="inlineStr">
        <is>
          <t>HYDIN, axonemal central pair apparatus protein</t>
        </is>
      </c>
      <c r="AG416" t="inlineStr">
        <is>
          <t xml:space="preserve">FUNCTION: Required for ciliary motility. {ECO:0000250}.; </t>
        </is>
      </c>
      <c r="AH416" t="inlineStr">
        <is>
          <t xml:space="preserve">DISEASE: Ciliary dyskinesia, primary, 5 (CILD5) [MIM:608647]: An autosomal recessive form of primary dyskinesia, a disorder characterized by abnormalities of motile cilia. Respiratory infections leading to chronic inflammation and bronchiectasis are recurrent, due to defects in the respiratory cilia; reduced fertility is often observed in male patients due to abnormalities of sperm tails. Half of the patients exhibit randomization of left-right body asymmetry and situs inversus, due to dysfunction of monocilia at the embryonic node. Primary ciliary dyskinesia associated with situs inversus is referred to as Kartagener syndrome. CILD5 is characterized by early onset of a progressive decline in lung function due to an inability to clear mucus and particles from the airways. Affected individuals have recurrent infections of the sinuses, ears, airways, and lungs. Sperm motility is also decreased. Individuals with CILD5 do not have situs inversus. {ECO:0000269|PubMed:23022101, ECO:0000269|PubMed:25186273}. Note=The disease is caused by mutations affecting the gene represented in this entry.; </t>
        </is>
      </c>
      <c r="AI416" t="inlineStr">
        <is>
          <t>.</t>
        </is>
      </c>
      <c r="AJ416" t="inlineStr">
        <is>
          <t>.</t>
        </is>
      </c>
      <c r="AK416" t="inlineStr">
        <is>
          <t>.</t>
        </is>
      </c>
      <c r="AL416" t="inlineStr">
        <is>
          <t>NGS_HighStringency</t>
        </is>
      </c>
    </row>
    <row r="417">
      <c r="A417" t="inlineStr"/>
      <c r="B417">
        <f>HYPERLINK("https://genome.ucsc.edu/cgi-bin/hgTracks?db=hg19&amp;position=chr16%3A70993553%2D70993553", "chr16:70993553")</f>
        <v/>
      </c>
      <c r="C417" t="inlineStr">
        <is>
          <t>chr16</t>
        </is>
      </c>
      <c r="D417" t="n">
        <v>70993553</v>
      </c>
      <c r="E417" t="n">
        <v>70993553</v>
      </c>
      <c r="F417" t="inlineStr">
        <is>
          <t>A</t>
        </is>
      </c>
      <c r="G417" t="inlineStr">
        <is>
          <t>T</t>
        </is>
      </c>
      <c r="H417" t="inlineStr">
        <is>
          <t>788.64</t>
        </is>
      </c>
      <c r="I417" t="inlineStr">
        <is>
          <t>260</t>
        </is>
      </c>
      <c r="J417" t="inlineStr">
        <is>
          <t>210,50</t>
        </is>
      </c>
      <c r="K417" t="inlineStr">
        <is>
          <t>.</t>
        </is>
      </c>
      <c r="L417">
        <f>HYPERLINK("https://www.ncbi.nlm.nih.gov/snp/rs202147256", "rs202147256")</f>
        <v/>
      </c>
      <c r="M417">
        <f>HYPERLINK("https://www.genecards.org/Search/Keyword?queryString=%5Baliases%5D(%20HYDIN%20)&amp;keywords=HYDIN", "HYDIN")</f>
        <v/>
      </c>
      <c r="N417" t="inlineStr">
        <is>
          <t>exonic</t>
        </is>
      </c>
      <c r="O417" t="inlineStr">
        <is>
          <t>nonsynonymous SNV</t>
        </is>
      </c>
      <c r="P417" t="inlineStr">
        <is>
          <t>HYDIN:NM_001270974:exon39:c.T6139A:p.S2047T;HYDIN:uc031qwy.1:exon39:c.T6139A:p.S2047T;HYDIN:ENST00000393567.7_8:exon39:c.T6139A:p.S2047T</t>
        </is>
      </c>
      <c r="Q417" t="n">
        <v>0.0053</v>
      </c>
      <c r="R417" t="n">
        <v>0.0056</v>
      </c>
      <c r="S417" t="n">
        <v>0.0026</v>
      </c>
      <c r="T417" t="n">
        <v>-1</v>
      </c>
      <c r="U417" t="n">
        <v>0.0052</v>
      </c>
      <c r="V417" t="inlineStr">
        <is>
          <t>3/10</t>
        </is>
      </c>
      <c r="W417" t="inlineStr">
        <is>
          <t>.</t>
        </is>
      </c>
      <c r="X417" t="inlineStr">
        <is>
          <t>.</t>
        </is>
      </c>
      <c r="Y417" t="inlineStr">
        <is>
          <t>.</t>
        </is>
      </c>
      <c r="Z417" t="inlineStr">
        <is>
          <t>1/7</t>
        </is>
      </c>
      <c r="AA417" t="inlineStr">
        <is>
          <t>Uncertain significance</t>
        </is>
      </c>
      <c r="AB417" t="inlineStr">
        <is>
          <t>.</t>
        </is>
      </c>
      <c r="AC417" t="inlineStr">
        <is>
          <t>0/1</t>
        </is>
      </c>
      <c r="AD417" t="inlineStr">
        <is>
          <t>6</t>
        </is>
      </c>
      <c r="AE417" t="inlineStr">
        <is>
          <t>.</t>
        </is>
      </c>
      <c r="AF417" t="inlineStr">
        <is>
          <t>HYDIN, axonemal central pair apparatus protein</t>
        </is>
      </c>
      <c r="AG417" t="inlineStr">
        <is>
          <t xml:space="preserve">FUNCTION: Required for ciliary motility. {ECO:0000250}.; </t>
        </is>
      </c>
      <c r="AH417" t="inlineStr">
        <is>
          <t xml:space="preserve">DISEASE: Ciliary dyskinesia, primary, 5 (CILD5) [MIM:608647]: An autosomal recessive form of primary dyskinesia, a disorder characterized by abnormalities of motile cilia. Respiratory infections leading to chronic inflammation and bronchiectasis are recurrent, due to defects in the respiratory cilia; reduced fertility is often observed in male patients due to abnormalities of sperm tails. Half of the patients exhibit randomization of left-right body asymmetry and situs inversus, due to dysfunction of monocilia at the embryonic node. Primary ciliary dyskinesia associated with situs inversus is referred to as Kartagener syndrome. CILD5 is characterized by early onset of a progressive decline in lung function due to an inability to clear mucus and particles from the airways. Affected individuals have recurrent infections of the sinuses, ears, airways, and lungs. Sperm motility is also decreased. Individuals with CILD5 do not have situs inversus. {ECO:0000269|PubMed:23022101, ECO:0000269|PubMed:25186273}. Note=The disease is caused by mutations affecting the gene represented in this entry.; </t>
        </is>
      </c>
      <c r="AI417" t="inlineStr">
        <is>
          <t>.</t>
        </is>
      </c>
      <c r="AJ417" t="inlineStr">
        <is>
          <t>.</t>
        </is>
      </c>
      <c r="AK417" t="inlineStr">
        <is>
          <t>.</t>
        </is>
      </c>
      <c r="AL417" t="inlineStr">
        <is>
          <t>NGS_HighStringency</t>
        </is>
      </c>
    </row>
    <row r="418">
      <c r="A418" t="inlineStr"/>
      <c r="B418">
        <f>HYPERLINK("https://genome.ucsc.edu/cgi-bin/hgTracks?db=hg19&amp;position=chr16%3A71122408%2D71122408", "chr16:71122408")</f>
        <v/>
      </c>
      <c r="C418" t="inlineStr">
        <is>
          <t>chr16</t>
        </is>
      </c>
      <c r="D418" t="n">
        <v>71122408</v>
      </c>
      <c r="E418" t="n">
        <v>71122408</v>
      </c>
      <c r="F418" t="inlineStr">
        <is>
          <t>C</t>
        </is>
      </c>
      <c r="G418" t="inlineStr">
        <is>
          <t>T</t>
        </is>
      </c>
      <c r="H418" t="inlineStr">
        <is>
          <t>589.64</t>
        </is>
      </c>
      <c r="I418" t="inlineStr">
        <is>
          <t>61</t>
        </is>
      </c>
      <c r="J418" t="inlineStr">
        <is>
          <t>33,28</t>
        </is>
      </c>
      <c r="K418" t="inlineStr">
        <is>
          <t>.</t>
        </is>
      </c>
      <c r="L418">
        <f>HYPERLINK("https://www.ncbi.nlm.nih.gov/snp/rs62040318", "rs62040318")</f>
        <v/>
      </c>
      <c r="M418">
        <f>HYPERLINK("https://www.genecards.org/Search/Keyword?queryString=%5Baliases%5D(%20HYDIN%20)&amp;keywords=HYDIN", "HYDIN")</f>
        <v/>
      </c>
      <c r="N418" t="inlineStr">
        <is>
          <t>exonic</t>
        </is>
      </c>
      <c r="O418" t="inlineStr">
        <is>
          <t>nonsynonymous SNV</t>
        </is>
      </c>
      <c r="P418" t="inlineStr">
        <is>
          <t>HYDIN:NM_001198542:exon12:c.G1547A:p.G516D,HYDIN:NM_001198543:exon12:c.G1517A:p.G506D,HYDIN:NM_001270974:exon12:c.G1466A:p.G489D,HYDIN:NM_017558:exon12:c.G1466A:p.G489D;HYDIN:uc010cfz.2:exon10:c.G701A:p.G234D,HYDIN:uc002ezw.4:exon12:c.G1517A:p.G506D,HYDIN:uc010vmc.2:exon12:c.G1517A:p.G506D,HYDIN:uc010vmd.2:exon12:c.G1547A:p.G516D,HYDIN:uc021tkq.2:exon12:c.G1466A:p.G489D,HYDIN:uc031qwy.1:exon12:c.G1466A:p.G489D;HYDIN:ENST00000288168.14_6:exon12:c.G1517A:p.G506D,HYDIN:ENST00000321489.9_6:exon12:c.G1466A:p.G489D,HYDIN:ENST00000393567.7_8:exon12:c.G1466A:p.G489D,HYDIN:ENST00000538248.5_6:exon12:c.G1547A:p.G516D,HYDIN:ENST00000541601.5_6:exon12:c.G1517A:p.G506D</t>
        </is>
      </c>
      <c r="Q418" t="n">
        <v>0.0227164</v>
      </c>
      <c r="R418" t="n">
        <v>-1</v>
      </c>
      <c r="S418" t="n">
        <v>-1</v>
      </c>
      <c r="T418" t="n">
        <v>-1</v>
      </c>
      <c r="U418" t="n">
        <v>-1</v>
      </c>
      <c r="V418" t="inlineStr">
        <is>
          <t>7/11</t>
        </is>
      </c>
      <c r="W418" t="inlineStr">
        <is>
          <t>.</t>
        </is>
      </c>
      <c r="X418" t="inlineStr">
        <is>
          <t>.</t>
        </is>
      </c>
      <c r="Y418" t="inlineStr">
        <is>
          <t>.</t>
        </is>
      </c>
      <c r="Z418" t="inlineStr">
        <is>
          <t>3/7</t>
        </is>
      </c>
      <c r="AA418" t="inlineStr">
        <is>
          <t>Uncertain significance</t>
        </is>
      </c>
      <c r="AB418" t="inlineStr">
        <is>
          <t>.</t>
        </is>
      </c>
      <c r="AC418" t="inlineStr">
        <is>
          <t>0/1</t>
        </is>
      </c>
      <c r="AD418" t="inlineStr">
        <is>
          <t>6</t>
        </is>
      </c>
      <c r="AE418" t="inlineStr">
        <is>
          <t>.</t>
        </is>
      </c>
      <c r="AF418" t="inlineStr">
        <is>
          <t>HYDIN, axonemal central pair apparatus protein</t>
        </is>
      </c>
      <c r="AG418" t="inlineStr">
        <is>
          <t xml:space="preserve">FUNCTION: Required for ciliary motility. {ECO:0000250}.; </t>
        </is>
      </c>
      <c r="AH418" t="inlineStr">
        <is>
          <t xml:space="preserve">DISEASE: Ciliary dyskinesia, primary, 5 (CILD5) [MIM:608647]: An autosomal recessive form of primary dyskinesia, a disorder characterized by abnormalities of motile cilia. Respiratory infections leading to chronic inflammation and bronchiectasis are recurrent, due to defects in the respiratory cilia; reduced fertility is often observed in male patients due to abnormalities of sperm tails. Half of the patients exhibit randomization of left-right body asymmetry and situs inversus, due to dysfunction of monocilia at the embryonic node. Primary ciliary dyskinesia associated with situs inversus is referred to as Kartagener syndrome. CILD5 is characterized by early onset of a progressive decline in lung function due to an inability to clear mucus and particles from the airways. Affected individuals have recurrent infections of the sinuses, ears, airways, and lungs. Sperm motility is also decreased. Individuals with CILD5 do not have situs inversus. {ECO:0000269|PubMed:23022101, ECO:0000269|PubMed:25186273}. Note=The disease is caused by mutations affecting the gene represented in this entry.; </t>
        </is>
      </c>
      <c r="AI418" t="inlineStr">
        <is>
          <t>GenotypeConflict</t>
        </is>
      </c>
      <c r="AJ418" t="inlineStr">
        <is>
          <t>.</t>
        </is>
      </c>
      <c r="AK418" t="inlineStr">
        <is>
          <t>.</t>
        </is>
      </c>
      <c r="AL418" t="inlineStr">
        <is>
          <t>NGS_HighStringency</t>
        </is>
      </c>
    </row>
    <row r="419">
      <c r="A419" t="inlineStr"/>
      <c r="B419">
        <f>HYPERLINK("https://genome.ucsc.edu/cgi-bin/hgTracks?db=hg19&amp;position=chr16%3A71600770%2D71600770", "chr16:71600770")</f>
        <v/>
      </c>
      <c r="C419" t="inlineStr">
        <is>
          <t>chr16</t>
        </is>
      </c>
      <c r="D419" t="n">
        <v>71600770</v>
      </c>
      <c r="E419" t="n">
        <v>71600770</v>
      </c>
      <c r="F419" t="inlineStr">
        <is>
          <t>-</t>
        </is>
      </c>
      <c r="G419" t="inlineStr">
        <is>
          <t>A</t>
        </is>
      </c>
      <c r="H419" t="inlineStr">
        <is>
          <t>120.60</t>
        </is>
      </c>
      <c r="I419" t="inlineStr">
        <is>
          <t>105</t>
        </is>
      </c>
      <c r="J419" t="inlineStr">
        <is>
          <t>88,17</t>
        </is>
      </c>
      <c r="K419" t="inlineStr">
        <is>
          <t>.</t>
        </is>
      </c>
      <c r="L419">
        <f>HYPERLINK("https://www.ncbi.nlm.nih.gov/snp/rs112731997", "rs112731997")</f>
        <v/>
      </c>
      <c r="M419">
        <f>HYPERLINK("https://www.genecards.org/Search/Keyword?queryString=%5Baliases%5D(%20TAT%20)%20OR%20%5Baliases%5D(%20TAT-AS1%20)&amp;keywords=TAT,TAT-AS1", "TAT;TAT-AS1")</f>
        <v/>
      </c>
      <c r="N419" t="inlineStr">
        <is>
          <t>UTR3;ncRNA_intronic</t>
        </is>
      </c>
      <c r="O419" t="inlineStr">
        <is>
          <t>.</t>
        </is>
      </c>
      <c r="P419" t="inlineStr">
        <is>
          <t>uc002fap.2:c.*1276_*1277insT</t>
        </is>
      </c>
      <c r="Q419" t="n">
        <v>0.0273</v>
      </c>
      <c r="R419" t="n">
        <v>0.0204</v>
      </c>
      <c r="S419" t="n">
        <v>0.0173</v>
      </c>
      <c r="T419" t="n">
        <v>-1</v>
      </c>
      <c r="U419" t="n">
        <v>0.0263</v>
      </c>
      <c r="V419" t="inlineStr">
        <is>
          <t>.</t>
        </is>
      </c>
      <c r="W419" t="inlineStr">
        <is>
          <t>.</t>
        </is>
      </c>
      <c r="X419" t="inlineStr">
        <is>
          <t>.</t>
        </is>
      </c>
      <c r="Y419" t="inlineStr">
        <is>
          <t>.</t>
        </is>
      </c>
      <c r="Z419" t="inlineStr">
        <is>
          <t>.</t>
        </is>
      </c>
      <c r="AA419" t="inlineStr">
        <is>
          <t>.</t>
        </is>
      </c>
      <c r="AB419" t="inlineStr">
        <is>
          <t>.</t>
        </is>
      </c>
      <c r="AC419" t="inlineStr">
        <is>
          <t>0/1</t>
        </is>
      </c>
      <c r="AD419" t="inlineStr">
        <is>
          <t>2;2</t>
        </is>
      </c>
      <c r="AE419" t="inlineStr">
        <is>
          <t>0.0214384440123944</t>
        </is>
      </c>
      <c r="AF419" t="inlineStr">
        <is>
          <t>TAT antisense RNA 1;tyrosine aminotransferase</t>
        </is>
      </c>
      <c r="AG419" t="inlineStr">
        <is>
          <t xml:space="preserve">FUNCTION: Transaminase involved in tyrosine breakdown. Converts tyrosine to p-hydroxyphenylpyruvate. Can catalyze the reverse reaction, using glutamic acid, with 2-oxoglutarate as cosubstrate (in vitro). Has much lower affinity and transaminase activity towards phenylalanine. {ECO:0000269|PubMed:16640556, ECO:0000269|PubMed:7999802}.; </t>
        </is>
      </c>
      <c r="AH419" t="inlineStr">
        <is>
          <t xml:space="preserve">DISEASE: Tyrosinemia 2 (TYRSN2) [MIM:276600]: An inborn error of metabolism characterized by elevations of tyrosine in the blood and urine, and oculocutaneous manifestations. Typical features include palmoplantar keratosis, painful corneal ulcers, and mental retardation. {ECO:0000269|PubMed:1357662}. Note=The disease is caused by mutations affecting the gene represented in this entry.; </t>
        </is>
      </c>
      <c r="AI419" t="inlineStr">
        <is>
          <t>.</t>
        </is>
      </c>
      <c r="AJ419" t="inlineStr">
        <is>
          <t>.</t>
        </is>
      </c>
      <c r="AK419" t="inlineStr">
        <is>
          <t>.</t>
        </is>
      </c>
      <c r="AL419" t="inlineStr">
        <is>
          <t>.</t>
        </is>
      </c>
    </row>
    <row r="420">
      <c r="A420" t="inlineStr"/>
      <c r="B420">
        <f>HYPERLINK("https://genome.ucsc.edu/cgi-bin/hgTracks?db=hg19&amp;position=chr16%3A71601937%2D71601937", "chr16:71601937")</f>
        <v/>
      </c>
      <c r="C420" t="inlineStr">
        <is>
          <t>chr16</t>
        </is>
      </c>
      <c r="D420" t="n">
        <v>71601937</v>
      </c>
      <c r="E420" t="n">
        <v>71601937</v>
      </c>
      <c r="F420" t="inlineStr">
        <is>
          <t>G</t>
        </is>
      </c>
      <c r="G420" t="inlineStr">
        <is>
          <t>A</t>
        </is>
      </c>
      <c r="H420" t="inlineStr">
        <is>
          <t>1095.64</t>
        </is>
      </c>
      <c r="I420" t="inlineStr">
        <is>
          <t>48</t>
        </is>
      </c>
      <c r="J420" t="inlineStr">
        <is>
          <t>9,39</t>
        </is>
      </c>
      <c r="K420" t="inlineStr">
        <is>
          <t>.</t>
        </is>
      </c>
      <c r="L420">
        <f>HYPERLINK("https://www.ncbi.nlm.nih.gov/snp/rs113110476", "rs113110476")</f>
        <v/>
      </c>
      <c r="M420">
        <f>HYPERLINK("https://www.genecards.org/Search/Keyword?queryString=%5Baliases%5D(%20TAT%20)%20OR%20%5Baliases%5D(%20TAT-AS1%20)&amp;keywords=TAT,TAT-AS1", "TAT;TAT-AS1")</f>
        <v/>
      </c>
      <c r="N420" t="inlineStr">
        <is>
          <t>UTR3;ncRNA_intronic</t>
        </is>
      </c>
      <c r="O420" t="inlineStr">
        <is>
          <t>.</t>
        </is>
      </c>
      <c r="P420" t="inlineStr">
        <is>
          <t>uc002fap.2:c.*110C&gt;T</t>
        </is>
      </c>
      <c r="Q420" t="n">
        <v>0.0295</v>
      </c>
      <c r="R420" t="n">
        <v>0.0291</v>
      </c>
      <c r="S420" t="n">
        <v>0.029</v>
      </c>
      <c r="T420" t="n">
        <v>-1</v>
      </c>
      <c r="U420" t="n">
        <v>0.0286</v>
      </c>
      <c r="V420" t="inlineStr">
        <is>
          <t>.</t>
        </is>
      </c>
      <c r="W420" t="inlineStr">
        <is>
          <t>.</t>
        </is>
      </c>
      <c r="X420" t="inlineStr">
        <is>
          <t>.</t>
        </is>
      </c>
      <c r="Y420" t="inlineStr">
        <is>
          <t>.</t>
        </is>
      </c>
      <c r="Z420" t="inlineStr">
        <is>
          <t>.</t>
        </is>
      </c>
      <c r="AA420" t="inlineStr">
        <is>
          <t>.</t>
        </is>
      </c>
      <c r="AB420" t="inlineStr">
        <is>
          <t>.</t>
        </is>
      </c>
      <c r="AC420" t="inlineStr">
        <is>
          <t>0/1</t>
        </is>
      </c>
      <c r="AD420" t="inlineStr">
        <is>
          <t>2;2</t>
        </is>
      </c>
      <c r="AE420" t="inlineStr">
        <is>
          <t>0.0214384440123944</t>
        </is>
      </c>
      <c r="AF420" t="inlineStr">
        <is>
          <t>TAT antisense RNA 1;tyrosine aminotransferase</t>
        </is>
      </c>
      <c r="AG420" t="inlineStr">
        <is>
          <t xml:space="preserve">FUNCTION: Transaminase involved in tyrosine breakdown. Converts tyrosine to p-hydroxyphenylpyruvate. Can catalyze the reverse reaction, using glutamic acid, with 2-oxoglutarate as cosubstrate (in vitro). Has much lower affinity and transaminase activity towards phenylalanine. {ECO:0000269|PubMed:16640556, ECO:0000269|PubMed:7999802}.; </t>
        </is>
      </c>
      <c r="AH420" t="inlineStr">
        <is>
          <t xml:space="preserve">DISEASE: Tyrosinemia 2 (TYRSN2) [MIM:276600]: An inborn error of metabolism characterized by elevations of tyrosine in the blood and urine, and oculocutaneous manifestations. Typical features include palmoplantar keratosis, painful corneal ulcers, and mental retardation. {ECO:0000269|PubMed:1357662}. Note=The disease is caused by mutations affecting the gene represented in this entry.; </t>
        </is>
      </c>
      <c r="AI420" t="inlineStr">
        <is>
          <t>.</t>
        </is>
      </c>
      <c r="AJ420" t="inlineStr">
        <is>
          <t>.</t>
        </is>
      </c>
      <c r="AK420" t="inlineStr">
        <is>
          <t>.</t>
        </is>
      </c>
      <c r="AL420" t="inlineStr">
        <is>
          <t>.</t>
        </is>
      </c>
    </row>
    <row r="421">
      <c r="A421" t="inlineStr"/>
      <c r="B421">
        <f>HYPERLINK("https://genome.ucsc.edu/cgi-bin/hgTracks?db=hg19&amp;position=chr16%3A72829032%2D72829032", "chr16:72829032")</f>
        <v/>
      </c>
      <c r="C421" t="inlineStr">
        <is>
          <t>chr16</t>
        </is>
      </c>
      <c r="D421" t="n">
        <v>72829032</v>
      </c>
      <c r="E421" t="n">
        <v>72829032</v>
      </c>
      <c r="F421" t="inlineStr">
        <is>
          <t>G</t>
        </is>
      </c>
      <c r="G421" t="inlineStr">
        <is>
          <t>A</t>
        </is>
      </c>
      <c r="H421" t="inlineStr">
        <is>
          <t>825.64</t>
        </is>
      </c>
      <c r="I421" t="inlineStr">
        <is>
          <t>128</t>
        </is>
      </c>
      <c r="J421" t="inlineStr">
        <is>
          <t>87,41</t>
        </is>
      </c>
      <c r="K421" t="inlineStr">
        <is>
          <t>.</t>
        </is>
      </c>
      <c r="L421" t="inlineStr">
        <is>
          <t>.</t>
        </is>
      </c>
      <c r="M421">
        <f>HYPERLINK("https://www.genecards.org/Search/Keyword?queryString=%5Baliases%5D(%20ZFHX3%20)&amp;keywords=ZFHX3", "ZFHX3")</f>
        <v/>
      </c>
      <c r="N421" t="inlineStr">
        <is>
          <t>exonic</t>
        </is>
      </c>
      <c r="O421" t="inlineStr">
        <is>
          <t>nonsynonymous SNV</t>
        </is>
      </c>
      <c r="P421" t="inlineStr">
        <is>
          <t>ZFHX3:NM_001164766:exon8:c.C4807T:p.P1603S,ZFHX3:NM_006885:exon9:c.C7549T:p.P2517S;ZFHX3:uc002fcl.3:exon8:c.C4807T:p.P1603S,ZFHX3:uc002fck.3:exon9:c.C7549T:p.P2517S;ZFHX3:ENST00000397992.5_4:exon8:c.C4807T:p.P1603S,ZFHX3:ENST00000268489.10_5:exon9:c.C7549T:p.P2517S,ZFHX3:ENST00000641206.2_5:exon17:c.C7549T:p.P2517S</t>
        </is>
      </c>
      <c r="Q421" t="n">
        <v>-1</v>
      </c>
      <c r="R421" t="n">
        <v>-1</v>
      </c>
      <c r="S421" t="n">
        <v>-1</v>
      </c>
      <c r="T421" t="n">
        <v>-1</v>
      </c>
      <c r="U421" t="n">
        <v>-1</v>
      </c>
      <c r="V421" t="inlineStr">
        <is>
          <t>4/12</t>
        </is>
      </c>
      <c r="W421" t="inlineStr">
        <is>
          <t>.</t>
        </is>
      </c>
      <c r="X421" t="inlineStr">
        <is>
          <t>.</t>
        </is>
      </c>
      <c r="Y421" t="inlineStr">
        <is>
          <t>.</t>
        </is>
      </c>
      <c r="Z421" t="inlineStr">
        <is>
          <t>5/7</t>
        </is>
      </c>
      <c r="AA421" t="inlineStr">
        <is>
          <t>Uncertain significance</t>
        </is>
      </c>
      <c r="AB421" t="inlineStr">
        <is>
          <t>.</t>
        </is>
      </c>
      <c r="AC421" t="inlineStr">
        <is>
          <t>0/1</t>
        </is>
      </c>
      <c r="AD421" t="inlineStr">
        <is>
          <t>1</t>
        </is>
      </c>
      <c r="AE421" t="inlineStr">
        <is>
          <t>0.999999999859262</t>
        </is>
      </c>
      <c r="AF421" t="inlineStr">
        <is>
          <t>zinc finger homeobox 3</t>
        </is>
      </c>
      <c r="AG421" t="inlineStr">
        <is>
          <t xml:space="preserve">FUNCTION: Transcriptional regulator which can act as an activator or a repressor. Inhibits the enhancer element of the AFP gene by binding to its AT-rich core sequence. In concert with SMAD- dependent TGF-beta signaling can repress the transcription of AFP via its interaction with SMAD2/3 (PubMed:25105025). Regulates the circadian locomotor rhythms via transcriptional activation of neuropeptidergic genes which are essential for intercellular synchrony and rhythm amplitude in the suprachiasmatic nucleus (SCN) of the brain (By similarity). Regulator of myoblasts differentiation through the binding to the AT-rich sequence of MYF6 promoter and promoter repression (PubMed:11312261). Down- regulates the MUC5AC promoter in gastric cancer (PubMed:17330845). In association with RUNX3, upregulates CDKN1A promoter activity following TGF-beta stimulation (PubMed:20599712). Inhibits estrogen receptor (ESR1) function by selectively competing with coactivator NCOA3 for binding to ESR1 in ESR1-positive breast cancer cells (PubMed:20720010). {ECO:0000250|UniProtKB:Q61329, ECO:0000269|PubMed:11312261, ECO:0000269|PubMed:17330845, ECO:0000269|PubMed:20599712, ECO:0000269|PubMed:20720010, ECO:0000269|PubMed:25105025}.; </t>
        </is>
      </c>
      <c r="AH421" t="inlineStr">
        <is>
          <t>.</t>
        </is>
      </c>
      <c r="AI421" t="inlineStr">
        <is>
          <t>.</t>
        </is>
      </c>
      <c r="AJ421" t="inlineStr">
        <is>
          <t>.</t>
        </is>
      </c>
      <c r="AK421" t="inlineStr">
        <is>
          <t>.</t>
        </is>
      </c>
      <c r="AL421" t="inlineStr">
        <is>
          <t>.</t>
        </is>
      </c>
    </row>
    <row r="422">
      <c r="A422" t="inlineStr"/>
      <c r="B422">
        <f>HYPERLINK("https://genome.ucsc.edu/cgi-bin/hgTracks?db=hg19&amp;position=chr16%3A81295701%2D81295701", "chr16:81295701")</f>
        <v/>
      </c>
      <c r="C422" t="inlineStr">
        <is>
          <t>chr16</t>
        </is>
      </c>
      <c r="D422" t="n">
        <v>81295701</v>
      </c>
      <c r="E422" t="n">
        <v>81295701</v>
      </c>
      <c r="F422" t="inlineStr">
        <is>
          <t>G</t>
        </is>
      </c>
      <c r="G422" t="inlineStr">
        <is>
          <t>T</t>
        </is>
      </c>
      <c r="H422" t="inlineStr">
        <is>
          <t>172.64</t>
        </is>
      </c>
      <c r="I422" t="inlineStr">
        <is>
          <t>78</t>
        </is>
      </c>
      <c r="J422" t="inlineStr">
        <is>
          <t>64,14</t>
        </is>
      </c>
      <c r="K422" t="inlineStr">
        <is>
          <t>.</t>
        </is>
      </c>
      <c r="L422">
        <f>HYPERLINK("https://www.ncbi.nlm.nih.gov/snp/rs185021473", "rs185021473")</f>
        <v/>
      </c>
      <c r="M422">
        <f>HYPERLINK("https://www.genecards.org/Search/Keyword?queryString=%5Baliases%5D(%20BCMO1%20)%20OR%20%5Baliases%5D(%20BCO1%20)&amp;keywords=BCMO1,BCO1", "BCMO1;BCO1")</f>
        <v/>
      </c>
      <c r="N422" t="inlineStr">
        <is>
          <t>intronic;ncRNA_exonic</t>
        </is>
      </c>
      <c r="O422" t="inlineStr">
        <is>
          <t>.</t>
        </is>
      </c>
      <c r="P422" t="inlineStr">
        <is>
          <t>.</t>
        </is>
      </c>
      <c r="Q422" t="n">
        <v>0.0049</v>
      </c>
      <c r="R422" t="n">
        <v>0.0026</v>
      </c>
      <c r="S422" t="n">
        <v>0.0029</v>
      </c>
      <c r="T422" t="n">
        <v>-1</v>
      </c>
      <c r="U422" t="n">
        <v>0.0041</v>
      </c>
      <c r="V422" t="inlineStr">
        <is>
          <t>.</t>
        </is>
      </c>
      <c r="W422" t="inlineStr">
        <is>
          <t>.</t>
        </is>
      </c>
      <c r="X422" t="inlineStr">
        <is>
          <t>B</t>
        </is>
      </c>
      <c r="Y422" t="inlineStr">
        <is>
          <t>off</t>
        </is>
      </c>
      <c r="Z422" t="inlineStr">
        <is>
          <t>.</t>
        </is>
      </c>
      <c r="AA422" t="inlineStr">
        <is>
          <t>.</t>
        </is>
      </c>
      <c r="AB422" t="inlineStr">
        <is>
          <t>.</t>
        </is>
      </c>
      <c r="AC422" t="inlineStr">
        <is>
          <t>0/1</t>
        </is>
      </c>
      <c r="AD422" t="inlineStr">
        <is>
          <t>2;2</t>
        </is>
      </c>
      <c r="AE422" t="inlineStr">
        <is>
          <t>.</t>
        </is>
      </c>
      <c r="AF422" t="inlineStr">
        <is>
          <t>beta-carotene oxygenase 1</t>
        </is>
      </c>
      <c r="AG422" t="inlineStr">
        <is>
          <t xml:space="preserve">FUNCTION: Symmetrically cleaves beta-carotene into two molecules of retinal using a dioxygenase mechanism. {ECO:0000269|PubMed:24668807}.; </t>
        </is>
      </c>
      <c r="AH422" t="inlineStr">
        <is>
          <t xml:space="preserve">DISEASE: Hypercarotenemia and vitamin A deficiency, autosomal dominant (ADHVAD) [MIM:115300]: A disorder characterized by increased serum beta-carotene, decreased conversion of beta- carotene to vitamin A and decreased serum vitamin A. {ECO:0000269|PubMed:17951468}. Note=The disease is caused by mutations affecting the gene represented in this entry.; </t>
        </is>
      </c>
      <c r="AI422" t="inlineStr">
        <is>
          <t>.</t>
        </is>
      </c>
      <c r="AJ422" t="inlineStr">
        <is>
          <t>.</t>
        </is>
      </c>
      <c r="AK422" t="inlineStr">
        <is>
          <t>.</t>
        </is>
      </c>
      <c r="AL422" t="inlineStr">
        <is>
          <t>.</t>
        </is>
      </c>
    </row>
    <row r="423">
      <c r="A423" t="inlineStr"/>
      <c r="B423">
        <f>HYPERLINK("https://genome.ucsc.edu/cgi-bin/hgTracks?db=hg19&amp;position=chr16%3A81298301%2D81298301", "chr16:81298301")</f>
        <v/>
      </c>
      <c r="C423" t="inlineStr">
        <is>
          <t>chr16</t>
        </is>
      </c>
      <c r="D423" t="n">
        <v>81298301</v>
      </c>
      <c r="E423" t="n">
        <v>81298301</v>
      </c>
      <c r="F423" t="inlineStr">
        <is>
          <t>T</t>
        </is>
      </c>
      <c r="G423" t="inlineStr">
        <is>
          <t>G</t>
        </is>
      </c>
      <c r="H423" t="inlineStr">
        <is>
          <t>4111.64</t>
        </is>
      </c>
      <c r="I423" t="inlineStr">
        <is>
          <t>224</t>
        </is>
      </c>
      <c r="J423" t="inlineStr">
        <is>
          <t>65,159</t>
        </is>
      </c>
      <c r="K423" t="inlineStr">
        <is>
          <t>.</t>
        </is>
      </c>
      <c r="L423">
        <f>HYPERLINK("https://www.ncbi.nlm.nih.gov/snp/rs143043516", "rs143043516")</f>
        <v/>
      </c>
      <c r="M423">
        <f>HYPERLINK("https://www.genecards.org/Search/Keyword?queryString=%5Baliases%5D(%20BCMO1%20)%20OR%20%5Baliases%5D(%20BCO1%20)&amp;keywords=BCMO1,BCO1", "BCMO1;BCO1")</f>
        <v/>
      </c>
      <c r="N423" t="inlineStr">
        <is>
          <t>exonic</t>
        </is>
      </c>
      <c r="O423" t="inlineStr">
        <is>
          <t>nonsynonymous SNV</t>
        </is>
      </c>
      <c r="P423" t="inlineStr">
        <is>
          <t>BCO1:NM_017429:exon5:c.T528G:p.D176E;BCMO1:uc010vnp.1:exon4:c.T321G:p.D107E,BCMO1:uc002fgn.1:exon5:c.T528G:p.D176E;BCO1:ENST00000258168.7_3:exon5:c.T528G:p.D176E</t>
        </is>
      </c>
      <c r="Q423" t="n">
        <v>0.002</v>
      </c>
      <c r="R423" t="n">
        <v>0.001</v>
      </c>
      <c r="S423" t="n">
        <v>0.0009</v>
      </c>
      <c r="T423" t="n">
        <v>-1</v>
      </c>
      <c r="U423" t="n">
        <v>0.0009</v>
      </c>
      <c r="V423" t="inlineStr">
        <is>
          <t>5/11</t>
        </is>
      </c>
      <c r="W423" t="inlineStr">
        <is>
          <t>.</t>
        </is>
      </c>
      <c r="X423" t="inlineStr">
        <is>
          <t>.</t>
        </is>
      </c>
      <c r="Y423" t="inlineStr">
        <is>
          <t>.</t>
        </is>
      </c>
      <c r="Z423" t="inlineStr">
        <is>
          <t>1/7</t>
        </is>
      </c>
      <c r="AA423" t="inlineStr">
        <is>
          <t>Uncertain significance</t>
        </is>
      </c>
      <c r="AB423" t="inlineStr">
        <is>
          <t>.</t>
        </is>
      </c>
      <c r="AC423" t="inlineStr">
        <is>
          <t>0/1</t>
        </is>
      </c>
      <c r="AD423" t="inlineStr">
        <is>
          <t>2;2</t>
        </is>
      </c>
      <c r="AE423" t="inlineStr">
        <is>
          <t>.</t>
        </is>
      </c>
      <c r="AF423" t="inlineStr">
        <is>
          <t>beta-carotene oxygenase 1</t>
        </is>
      </c>
      <c r="AG423" t="inlineStr">
        <is>
          <t xml:space="preserve">FUNCTION: Symmetrically cleaves beta-carotene into two molecules of retinal using a dioxygenase mechanism. {ECO:0000269|PubMed:24668807}.; </t>
        </is>
      </c>
      <c r="AH423" t="inlineStr">
        <is>
          <t xml:space="preserve">DISEASE: Hypercarotenemia and vitamin A deficiency, autosomal dominant (ADHVAD) [MIM:115300]: A disorder characterized by increased serum beta-carotene, decreased conversion of beta- carotene to vitamin A and decreased serum vitamin A. {ECO:0000269|PubMed:17951468}. Note=The disease is caused by mutations affecting the gene represented in this entry.; </t>
        </is>
      </c>
      <c r="AI423" t="inlineStr">
        <is>
          <t>.</t>
        </is>
      </c>
      <c r="AJ423" t="inlineStr">
        <is>
          <t>.</t>
        </is>
      </c>
      <c r="AK423" t="inlineStr">
        <is>
          <t>.</t>
        </is>
      </c>
      <c r="AL423" t="inlineStr">
        <is>
          <t>.</t>
        </is>
      </c>
    </row>
    <row r="424">
      <c r="A424" t="inlineStr"/>
      <c r="B424">
        <f>HYPERLINK("https://genome.ucsc.edu/cgi-bin/hgTracks?db=hg19&amp;position=chr16%3A83949476%2D83949476", "chr16:83949476")</f>
        <v/>
      </c>
      <c r="C424" t="inlineStr">
        <is>
          <t>chr16</t>
        </is>
      </c>
      <c r="D424" t="n">
        <v>83949476</v>
      </c>
      <c r="E424" t="n">
        <v>83949476</v>
      </c>
      <c r="F424" t="inlineStr">
        <is>
          <t>G</t>
        </is>
      </c>
      <c r="G424" t="inlineStr">
        <is>
          <t>T</t>
        </is>
      </c>
      <c r="H424" t="inlineStr">
        <is>
          <t>2206.64</t>
        </is>
      </c>
      <c r="I424" t="inlineStr">
        <is>
          <t>98</t>
        </is>
      </c>
      <c r="J424" t="inlineStr">
        <is>
          <t>17,81</t>
        </is>
      </c>
      <c r="K424" t="inlineStr">
        <is>
          <t>.</t>
        </is>
      </c>
      <c r="L424">
        <f>HYPERLINK("https://www.ncbi.nlm.nih.gov/snp/rs545195059", "rs545195059")</f>
        <v/>
      </c>
      <c r="M424">
        <f>HYPERLINK("https://www.genecards.org/Search/Keyword?queryString=%5Baliases%5D(%20MLYCD%20)&amp;keywords=MLYCD", "MLYCD")</f>
        <v/>
      </c>
      <c r="N424" t="inlineStr">
        <is>
          <t>UTR3;ncRNA_exonic</t>
        </is>
      </c>
      <c r="O424" t="inlineStr">
        <is>
          <t>.</t>
        </is>
      </c>
      <c r="P424" t="inlineStr">
        <is>
          <t>NM_012213:c.*382G&gt;T;uc002fgz.3:c.*382G&gt;T</t>
        </is>
      </c>
      <c r="Q424" t="n">
        <v>0.0029</v>
      </c>
      <c r="R424" t="n">
        <v>0.002</v>
      </c>
      <c r="S424" t="n">
        <v>0.0026</v>
      </c>
      <c r="T424" t="n">
        <v>-1</v>
      </c>
      <c r="U424" t="n">
        <v>0.0013</v>
      </c>
      <c r="V424" t="inlineStr">
        <is>
          <t>.</t>
        </is>
      </c>
      <c r="W424" t="inlineStr">
        <is>
          <t>.</t>
        </is>
      </c>
      <c r="X424" t="inlineStr">
        <is>
          <t>.</t>
        </is>
      </c>
      <c r="Y424" t="inlineStr">
        <is>
          <t>.</t>
        </is>
      </c>
      <c r="Z424" t="inlineStr">
        <is>
          <t>.</t>
        </is>
      </c>
      <c r="AA424" t="inlineStr">
        <is>
          <t>.</t>
        </is>
      </c>
      <c r="AB424" t="inlineStr">
        <is>
          <t>Uncertain_significance</t>
        </is>
      </c>
      <c r="AC424" t="inlineStr">
        <is>
          <t>0/1</t>
        </is>
      </c>
      <c r="AD424" t="inlineStr">
        <is>
          <t>1</t>
        </is>
      </c>
      <c r="AE424" t="inlineStr">
        <is>
          <t>0.000280848275880868</t>
        </is>
      </c>
      <c r="AF424" t="inlineStr">
        <is>
          <t>malonyl-CoA decarboxylase</t>
        </is>
      </c>
      <c r="AG424" t="inlineStr">
        <is>
          <t xml:space="preserve">FUNCTION: Catalyzes the conversion of malonyl-CoA to acetyl-CoA. In the fatty acid biosynthesis MCD selectively removes malonyl-CoA and thus assures that methyl-malonyl-CoA is the only chain elongating substrate for fatty acid synthase and that fatty acids with multiple methyl side chains are produced. In peroxisomes it may be involved in degrading intraperoxisomal malonyl-CoA, which is generated by the peroxisomal beta-oxidation of odd chain-length dicarboxylic fatty acids. Plays a role in the metabolic balance between glucose and lipid oxidation in muscle independent of alterations in insulin signaling. May play a role in controlling the extent of ischemic injury by promoting glucose oxidation. {ECO:0000269|PubMed:10455107, ECO:0000269|PubMed:15003260, ECO:0000269|PubMed:18314420, ECO:0000269|PubMed:23482565}.; </t>
        </is>
      </c>
      <c r="AH424" t="inlineStr">
        <is>
          <t xml:space="preserve">DISEASE: Malonyl-CoA decarboxylase deficiency (MLYCD deficiency) [MIM:248360]: Autosomal recessive disease characterized by abdominal pain, chronic constipation, episodic vomiting, metabolic acidosis and malonic aciduria. {ECO:0000269|PubMed:10417274}. Note=The disease is caused by mutations affecting the gene represented in this entry.; </t>
        </is>
      </c>
      <c r="AI424" t="inlineStr">
        <is>
          <t>.</t>
        </is>
      </c>
      <c r="AJ424" t="inlineStr">
        <is>
          <t>.</t>
        </is>
      </c>
      <c r="AK424" t="inlineStr">
        <is>
          <t>.</t>
        </is>
      </c>
      <c r="AL424" t="inlineStr">
        <is>
          <t>.</t>
        </is>
      </c>
    </row>
    <row r="425">
      <c r="A425" t="inlineStr"/>
      <c r="B425">
        <f>HYPERLINK("https://genome.ucsc.edu/cgi-bin/hgTracks?db=hg19&amp;position=chr16%3A88600021%2D88600021", "chr16:88600021")</f>
        <v/>
      </c>
      <c r="C425" t="inlineStr">
        <is>
          <t>chr16</t>
        </is>
      </c>
      <c r="D425" t="n">
        <v>88600021</v>
      </c>
      <c r="E425" t="n">
        <v>88600021</v>
      </c>
      <c r="F425" t="inlineStr">
        <is>
          <t>G</t>
        </is>
      </c>
      <c r="G425" t="inlineStr">
        <is>
          <t>T</t>
        </is>
      </c>
      <c r="H425" t="inlineStr">
        <is>
          <t>371.64</t>
        </is>
      </c>
      <c r="I425" t="inlineStr">
        <is>
          <t>87</t>
        </is>
      </c>
      <c r="J425" t="inlineStr">
        <is>
          <t>67,20</t>
        </is>
      </c>
      <c r="K425" t="inlineStr">
        <is>
          <t>.</t>
        </is>
      </c>
      <c r="L425" t="inlineStr">
        <is>
          <t>.</t>
        </is>
      </c>
      <c r="M425">
        <f>HYPERLINK("https://www.genecards.org/Search/Keyword?queryString=%5Baliases%5D(%20ZFPM1%20)&amp;keywords=ZFPM1", "ZFPM1")</f>
        <v/>
      </c>
      <c r="N425" t="inlineStr">
        <is>
          <t>exonic</t>
        </is>
      </c>
      <c r="O425" t="inlineStr">
        <is>
          <t>nonsynonymous SNV</t>
        </is>
      </c>
      <c r="P425" t="inlineStr">
        <is>
          <t>ZFPM1:NM_153813:exon10:c.G1655T:p.S552I;ZFPM1:uc002fkv.3:exon10:c.G1655T:p.S552I;ZFPM1:ENST00000319555.8_3:exon10:c.G1655T:p.S552I</t>
        </is>
      </c>
      <c r="Q425" t="n">
        <v>-1</v>
      </c>
      <c r="R425" t="n">
        <v>-1</v>
      </c>
      <c r="S425" t="n">
        <v>-1</v>
      </c>
      <c r="T425" t="n">
        <v>-1</v>
      </c>
      <c r="U425" t="n">
        <v>-1</v>
      </c>
      <c r="V425" t="inlineStr">
        <is>
          <t>6/11</t>
        </is>
      </c>
      <c r="W425" t="inlineStr">
        <is>
          <t>.</t>
        </is>
      </c>
      <c r="X425" t="inlineStr">
        <is>
          <t>.</t>
        </is>
      </c>
      <c r="Y425" t="inlineStr">
        <is>
          <t>.</t>
        </is>
      </c>
      <c r="Z425" t="inlineStr">
        <is>
          <t>0/7</t>
        </is>
      </c>
      <c r="AA425" t="inlineStr">
        <is>
          <t>Uncertain significance</t>
        </is>
      </c>
      <c r="AB425" t="inlineStr">
        <is>
          <t>.</t>
        </is>
      </c>
      <c r="AC425" t="inlineStr">
        <is>
          <t>0/1</t>
        </is>
      </c>
      <c r="AD425" t="inlineStr">
        <is>
          <t>1</t>
        </is>
      </c>
      <c r="AE425" t="inlineStr">
        <is>
          <t>0.0314918366014913</t>
        </is>
      </c>
      <c r="AF425" t="inlineStr">
        <is>
          <t>zinc finger protein, FOG family member 1</t>
        </is>
      </c>
      <c r="AG425" t="inlineStr">
        <is>
          <t xml:space="preserve">FUNCTION: Transcription regulator that plays an essential role in erythroid and megakaryocytic cell differentiation. Essential cofactor that acts via the formation of a heterodimer with transcription factors of the GATA family GATA1, GATA2 and GATA3. Such heterodimer can both activate or repress transcriptional activity, depending on the cell and promoter context. The heterodimer formed with GATA proteins is essential to activate expression of genes such as NFE2, ITGA2B, alpha- and beta-globin, while it represses expression of KLF1. May be involved in regulation of some genes in gonads. May also be involved in cardiac development, in a non-redundant way with ZFPM2/FOG2 (By similarity). {ECO:0000250}.; </t>
        </is>
      </c>
      <c r="AH425" t="inlineStr">
        <is>
          <t>.</t>
        </is>
      </c>
      <c r="AI425" t="inlineStr">
        <is>
          <t>.</t>
        </is>
      </c>
      <c r="AJ425" t="inlineStr">
        <is>
          <t>.</t>
        </is>
      </c>
      <c r="AK425" t="inlineStr">
        <is>
          <t>.</t>
        </is>
      </c>
      <c r="AL425" t="inlineStr">
        <is>
          <t>.</t>
        </is>
      </c>
    </row>
    <row r="426">
      <c r="A426" t="inlineStr"/>
      <c r="B426">
        <f>HYPERLINK("https://genome.ucsc.edu/cgi-bin/hgTracks?db=hg19&amp;position=chr16%3A88808623%2D88808623", "chr16:88808623")</f>
        <v/>
      </c>
      <c r="C426" t="inlineStr">
        <is>
          <t>chr16</t>
        </is>
      </c>
      <c r="D426" t="n">
        <v>88808623</v>
      </c>
      <c r="E426" t="n">
        <v>88808623</v>
      </c>
      <c r="F426" t="inlineStr">
        <is>
          <t>C</t>
        </is>
      </c>
      <c r="G426" t="inlineStr">
        <is>
          <t>G</t>
        </is>
      </c>
      <c r="H426" t="inlineStr">
        <is>
          <t>157.64</t>
        </is>
      </c>
      <c r="I426" t="inlineStr">
        <is>
          <t>47</t>
        </is>
      </c>
      <c r="J426" t="inlineStr">
        <is>
          <t>38,9</t>
        </is>
      </c>
      <c r="K426" t="inlineStr">
        <is>
          <t>.</t>
        </is>
      </c>
      <c r="L426" t="inlineStr">
        <is>
          <t>.</t>
        </is>
      </c>
      <c r="M426">
        <f>HYPERLINK("https://www.genecards.org/Search/Keyword?queryString=%5Baliases%5D(%20PIEZO1%20)&amp;keywords=PIEZO1", "PIEZO1")</f>
        <v/>
      </c>
      <c r="N426" t="inlineStr">
        <is>
          <t>intronic;ncRNA_exonic</t>
        </is>
      </c>
      <c r="O426" t="inlineStr">
        <is>
          <t>.</t>
        </is>
      </c>
      <c r="P426" t="inlineStr">
        <is>
          <t>.</t>
        </is>
      </c>
      <c r="Q426" t="n">
        <v>-1</v>
      </c>
      <c r="R426" t="n">
        <v>-1</v>
      </c>
      <c r="S426" t="n">
        <v>-1</v>
      </c>
      <c r="T426" t="n">
        <v>-1</v>
      </c>
      <c r="U426" t="n">
        <v>-1</v>
      </c>
      <c r="V426" t="inlineStr">
        <is>
          <t>.</t>
        </is>
      </c>
      <c r="W426" t="inlineStr">
        <is>
          <t>.</t>
        </is>
      </c>
      <c r="X426" t="inlineStr">
        <is>
          <t>.</t>
        </is>
      </c>
      <c r="Y426" t="inlineStr">
        <is>
          <t>.</t>
        </is>
      </c>
      <c r="Z426" t="inlineStr">
        <is>
          <t>.</t>
        </is>
      </c>
      <c r="AA426" t="inlineStr">
        <is>
          <t>.</t>
        </is>
      </c>
      <c r="AB426" t="inlineStr">
        <is>
          <t>.</t>
        </is>
      </c>
      <c r="AC426" t="inlineStr">
        <is>
          <t>0/1</t>
        </is>
      </c>
      <c r="AD426" t="inlineStr">
        <is>
          <t>1</t>
        </is>
      </c>
      <c r="AE426" t="inlineStr">
        <is>
          <t>0.535969010144802</t>
        </is>
      </c>
      <c r="AF426" t="inlineStr">
        <is>
          <t>piezo type mechanosensitive ion channel component 1</t>
        </is>
      </c>
      <c r="AG426" t="inlineStr">
        <is>
          <t xml:space="preserve">FUNCTION: Pore-forming subunit of a mechanosensitive non-specific cation channel (PubMed:23479567, PubMed:23695678). Generates currents characterized by a linear current-voltage relationship that are sensitive to ruthenium red and gadolinium. Plays a key role in epithelial cell adhesion by maintaining integrin activation through R-Ras recruitment to the ER, most probably in its activated state, and subsequent stimulation of calpain signaling (PubMed:20016066). In the kidney, may contribute to the detection of intraluminal pressure changes and to urine flow sensing. Acts as shear-stress sensor that promotes endothelial cell organization and alignment in the direction of blood flow through calpain activation (PubMed:25119035). Plays a key role in blood vessel formation and vascular structure in both development and adult physiology (By similarity). {ECO:0000250|UniProtKB:E2JF22, ECO:0000269|PubMed:20016066, ECO:0000269|PubMed:23479567, ECO:0000269|PubMed:23695678, ECO:0000269|PubMed:25119035}.; </t>
        </is>
      </c>
      <c r="AH426" t="inlineStr">
        <is>
          <t xml:space="preserve">DISEASE: Dehydrated hereditary stomatocytosis with or without pseudohyperkalemia and/or perinatal edema (DHS) [MIM:194380]: An autosomal dominant hemolytic anemia characterized by primary erythrocyte dehydration. DHS erythrocytes exhibit decreased total cation and potassium content that are not accompanied by a proportional net gain of sodium and water. DHS patients typically exhibit mild to moderate compensated hemolytic anemia, with an increased erythrocyte mean corpuscular hemoglobin concentration and a decreased osmotic fragility, both of which reflect cellular dehydration. Patients may also show perinatal edema and pseudohyperkalemia due to loss of potassium from red cells stored at room temperature. A minor proportion of red cells appear as stomatocytes on blood films. Complications such as splenomegaly and cholelithiasis, resulting from increased red cell trapping in the spleen and elevated bilirubin levels, respectively, may occur. The course of DHS is frequently associated with iron overload, which may lead to hepatosiderosis. {ECO:0000269|PubMed:22529292, ECO:0000269|PubMed:23479567, ECO:0000269|PubMed:23487776, ECO:0000269|PubMed:23581886, ECO:0000269|PubMed:23695678, ECO:0000269|PubMed:23973043}. Note=The disease is caused by mutations affecting the gene represented in this entry. All disease-causing mutations characterized so far produce a gain-of- function phenotype, mutated channels exhibiting increased cation transport in erythroid cells, that could be due to slower channel inactivation rate compared to the wild-type protein.; </t>
        </is>
      </c>
      <c r="AI426" t="inlineStr">
        <is>
          <t>.</t>
        </is>
      </c>
      <c r="AJ426" t="inlineStr">
        <is>
          <t>.</t>
        </is>
      </c>
      <c r="AK426" t="inlineStr">
        <is>
          <t>.</t>
        </is>
      </c>
      <c r="AL426" t="inlineStr">
        <is>
          <t>.</t>
        </is>
      </c>
    </row>
    <row r="427">
      <c r="A427" t="inlineStr"/>
      <c r="B427">
        <f>HYPERLINK("https://genome.ucsc.edu/cgi-bin/hgTracks?db=hg19&amp;position=chr16%3A89345194%2D89345194", "chr16:89345194")</f>
        <v/>
      </c>
      <c r="C427" t="inlineStr">
        <is>
          <t>chr16</t>
        </is>
      </c>
      <c r="D427" t="n">
        <v>89345194</v>
      </c>
      <c r="E427" t="n">
        <v>89345194</v>
      </c>
      <c r="F427" t="inlineStr">
        <is>
          <t>C</t>
        </is>
      </c>
      <c r="G427" t="inlineStr">
        <is>
          <t>-</t>
        </is>
      </c>
      <c r="H427" t="inlineStr">
        <is>
          <t>37.60</t>
        </is>
      </c>
      <c r="I427" t="inlineStr">
        <is>
          <t>8</t>
        </is>
      </c>
      <c r="J427" t="inlineStr">
        <is>
          <t>6,2</t>
        </is>
      </c>
      <c r="K427" t="inlineStr">
        <is>
          <t>.</t>
        </is>
      </c>
      <c r="L427" t="inlineStr">
        <is>
          <t>.</t>
        </is>
      </c>
      <c r="M427">
        <f>HYPERLINK("https://www.genecards.org/Search/Keyword?queryString=%5Baliases%5D(%20ANKRD11%20)%20OR%20%5Baliases%5D(%20AX748291%20)&amp;keywords=ANKRD11,AX748291", "ANKRD11;AX748291")</f>
        <v/>
      </c>
      <c r="N427" t="inlineStr">
        <is>
          <t>exonic;intronic</t>
        </is>
      </c>
      <c r="O427" t="inlineStr">
        <is>
          <t>frameshift deletion</t>
        </is>
      </c>
      <c r="P427" t="inlineStr">
        <is>
          <t>AX748291:uc002fna.1:exon1:c.751delG:p.A251Lfs*136</t>
        </is>
      </c>
      <c r="Q427" t="n">
        <v>-1</v>
      </c>
      <c r="R427" t="n">
        <v>-1</v>
      </c>
      <c r="S427" t="n">
        <v>-1</v>
      </c>
      <c r="T427" t="n">
        <v>-1</v>
      </c>
      <c r="U427" t="n">
        <v>-1</v>
      </c>
      <c r="V427" t="inlineStr">
        <is>
          <t>.</t>
        </is>
      </c>
      <c r="W427" t="inlineStr">
        <is>
          <t>.</t>
        </is>
      </c>
      <c r="X427" t="inlineStr">
        <is>
          <t>.</t>
        </is>
      </c>
      <c r="Y427" t="inlineStr">
        <is>
          <t>.</t>
        </is>
      </c>
      <c r="Z427" t="inlineStr">
        <is>
          <t>.</t>
        </is>
      </c>
      <c r="AA427" t="inlineStr">
        <is>
          <t>.</t>
        </is>
      </c>
      <c r="AB427" t="inlineStr">
        <is>
          <t>.</t>
        </is>
      </c>
      <c r="AC427" t="inlineStr">
        <is>
          <t>0/1</t>
        </is>
      </c>
      <c r="AD427" t="inlineStr">
        <is>
          <t>2;1</t>
        </is>
      </c>
      <c r="AE427" t="inlineStr">
        <is>
          <t>0.999999821632236</t>
        </is>
      </c>
      <c r="AF427" t="inlineStr">
        <is>
          <t>ankyrin repeat domain 11</t>
        </is>
      </c>
      <c r="AG427" t="inlineStr">
        <is>
          <t xml:space="preserve">FUNCTION: May recruit HDACs to the p160 coactivators/nuclear receptor complex to inhibit ligand-dependent transactivation.; </t>
        </is>
      </c>
      <c r="AH427" t="inlineStr">
        <is>
          <t xml:space="preserve">DISEASE: KBG syndrome (KBGS) [MIM:148050]: A syndrome characterized by macrodontia of the upper central incisors, distinctive craniofacial findings, short stature, skeletal anomalies, and neurologic involvement that includes global developmental delay, seizures, and intellectual disability. {ECO:0000269|PubMed:21782149}. Note=The disease is caused by mutations affecting the gene represented in this entry.; </t>
        </is>
      </c>
      <c r="AI427" t="inlineStr">
        <is>
          <t>.</t>
        </is>
      </c>
      <c r="AJ427" t="inlineStr">
        <is>
          <t>.</t>
        </is>
      </c>
      <c r="AK427" t="inlineStr">
        <is>
          <t>.</t>
        </is>
      </c>
      <c r="AL427" t="inlineStr">
        <is>
          <t>.</t>
        </is>
      </c>
    </row>
    <row r="428">
      <c r="A428" t="inlineStr"/>
      <c r="B428">
        <f>HYPERLINK("https://genome.ucsc.edu/cgi-bin/hgTracks?db=hg19&amp;position=chr16%3A89347552%2D89347552", "chr16:89347552")</f>
        <v/>
      </c>
      <c r="C428" t="inlineStr">
        <is>
          <t>chr16</t>
        </is>
      </c>
      <c r="D428" t="n">
        <v>89347552</v>
      </c>
      <c r="E428" t="n">
        <v>89347552</v>
      </c>
      <c r="F428" t="inlineStr">
        <is>
          <t>C</t>
        </is>
      </c>
      <c r="G428" t="inlineStr">
        <is>
          <t>T</t>
        </is>
      </c>
      <c r="H428" t="inlineStr">
        <is>
          <t>1520.64</t>
        </is>
      </c>
      <c r="I428" t="inlineStr">
        <is>
          <t>93</t>
        </is>
      </c>
      <c r="J428" t="inlineStr">
        <is>
          <t>36,57</t>
        </is>
      </c>
      <c r="K428" t="inlineStr">
        <is>
          <t>.</t>
        </is>
      </c>
      <c r="L428">
        <f>HYPERLINK("https://www.ncbi.nlm.nih.gov/snp/rs369218399", "rs369218399")</f>
        <v/>
      </c>
      <c r="M428">
        <f>HYPERLINK("https://www.genecards.org/Search/Keyword?queryString=%5Baliases%5D(%20ANKRD11%20)&amp;keywords=ANKRD11", "ANKRD11")</f>
        <v/>
      </c>
      <c r="N428" t="inlineStr">
        <is>
          <t>exonic</t>
        </is>
      </c>
      <c r="O428" t="inlineStr">
        <is>
          <t>nonsynonymous SNV</t>
        </is>
      </c>
      <c r="P428" t="inlineStr">
        <is>
          <t>ANKRD11:NM_001256183:exon9:c.G5398A:p.E1800K,ANKRD11:NM_013275:exon9:c.G5398A:p.E1800K,ANKRD11:NM_001256182:exon10:c.G5398A:p.E1800K;ANKRD11:uc002fnb.1:exon6:c.G5269A:p.E1757K,ANKRD11:uc002fmx.2:exon9:c.G5398A:p.E1800K,ANKRD11:uc002fnc.2:exon9:c.G5398A:p.E1800K,ANKRD11:uc002fmy.2:exon10:c.G5398A:p.E1800K;ANKRD11:ENST00000301030.10_7:exon9:c.G5398A:p.E1800K,ANKRD11:ENST00000642600.1_4:exon9:c.G5398A:p.E1800K,ANKRD11:ENST00000378330.7_5:exon10:c.G5398A:p.E1800K</t>
        </is>
      </c>
      <c r="Q428" t="n">
        <v>7.7e-05</v>
      </c>
      <c r="R428" t="n">
        <v>-1</v>
      </c>
      <c r="S428" t="n">
        <v>-1</v>
      </c>
      <c r="T428" t="n">
        <v>-1</v>
      </c>
      <c r="U428" t="n">
        <v>-1</v>
      </c>
      <c r="V428" t="inlineStr">
        <is>
          <t>6/11</t>
        </is>
      </c>
      <c r="W428" t="inlineStr">
        <is>
          <t>.</t>
        </is>
      </c>
      <c r="X428" t="inlineStr">
        <is>
          <t>.</t>
        </is>
      </c>
      <c r="Y428" t="inlineStr">
        <is>
          <t>.</t>
        </is>
      </c>
      <c r="Z428" t="inlineStr">
        <is>
          <t>4/7</t>
        </is>
      </c>
      <c r="AA428" t="inlineStr">
        <is>
          <t>Uncertain significance</t>
        </is>
      </c>
      <c r="AB428" t="inlineStr">
        <is>
          <t>.</t>
        </is>
      </c>
      <c r="AC428" t="inlineStr">
        <is>
          <t>0/1</t>
        </is>
      </c>
      <c r="AD428" t="inlineStr">
        <is>
          <t>2</t>
        </is>
      </c>
      <c r="AE428" t="inlineStr">
        <is>
          <t>0.999999821632236</t>
        </is>
      </c>
      <c r="AF428" t="inlineStr">
        <is>
          <t>ankyrin repeat domain 11</t>
        </is>
      </c>
      <c r="AG428" t="inlineStr">
        <is>
          <t xml:space="preserve">FUNCTION: May recruit HDACs to the p160 coactivators/nuclear receptor complex to inhibit ligand-dependent transactivation.; </t>
        </is>
      </c>
      <c r="AH428" t="inlineStr">
        <is>
          <t xml:space="preserve">DISEASE: KBG syndrome (KBGS) [MIM:148050]: A syndrome characterized by macrodontia of the upper central incisors, distinctive craniofacial findings, short stature, skeletal anomalies, and neurologic involvement that includes global developmental delay, seizures, and intellectual disability. {ECO:0000269|PubMed:21782149}. Note=The disease is caused by mutations affecting the gene represented in this entry.; </t>
        </is>
      </c>
      <c r="AI428" t="inlineStr">
        <is>
          <t>.</t>
        </is>
      </c>
      <c r="AJ428" t="inlineStr">
        <is>
          <t>.</t>
        </is>
      </c>
      <c r="AK428" t="inlineStr">
        <is>
          <t>.</t>
        </is>
      </c>
      <c r="AL428" t="inlineStr">
        <is>
          <t>NGS_HighStringency</t>
        </is>
      </c>
    </row>
    <row r="429">
      <c r="A429" t="inlineStr"/>
      <c r="B429">
        <f>HYPERLINK("https://genome.ucsc.edu/cgi-bin/hgTracks?db=hg19&amp;position=chr16%3A89613073%2D89613073", "chr16:89613073")</f>
        <v/>
      </c>
      <c r="C429" t="inlineStr">
        <is>
          <t>chr16</t>
        </is>
      </c>
      <c r="D429" t="n">
        <v>89613073</v>
      </c>
      <c r="E429" t="n">
        <v>89613073</v>
      </c>
      <c r="F429" t="inlineStr">
        <is>
          <t>G</t>
        </is>
      </c>
      <c r="G429" t="inlineStr">
        <is>
          <t>A</t>
        </is>
      </c>
      <c r="H429" t="inlineStr">
        <is>
          <t>201.64</t>
        </is>
      </c>
      <c r="I429" t="inlineStr">
        <is>
          <t>60</t>
        </is>
      </c>
      <c r="J429" t="inlineStr">
        <is>
          <t>47,13</t>
        </is>
      </c>
      <c r="K429" t="inlineStr">
        <is>
          <t>.</t>
        </is>
      </c>
      <c r="L429">
        <f>HYPERLINK("https://www.ncbi.nlm.nih.gov/snp/rs111475461", "rs111475461")</f>
        <v/>
      </c>
      <c r="M429">
        <f>HYPERLINK("https://www.genecards.org/Search/Keyword?queryString=%5Baliases%5D(%20SPG7%20)&amp;keywords=SPG7", "SPG7")</f>
        <v/>
      </c>
      <c r="N429" t="inlineStr">
        <is>
          <t>exonic</t>
        </is>
      </c>
      <c r="O429" t="inlineStr">
        <is>
          <t>nonsynonymous SNV</t>
        </is>
      </c>
      <c r="P429" t="inlineStr">
        <is>
          <t>SPG7:NM_001363850:exon11:c.G1457A:p.R486Q,SPG7:NM_003119:exon11:c.G1457A:p.R486Q;SPG7:uc002fnj.3:exon11:c.G1457A:p.R486Q;SPG7:ENST00000646716.1_1:exon5:c.G509A:p.R170Q,SPG7:ENST00000645897.1_1:exon8:c.G995A:p.R332Q,SPG7:ENST00000268704.7_2:exon11:c.G1436A:p.R479Q,SPG7:ENST00000643649.1_2:exon11:c.G1457A:p.R486Q,SPG7:ENST00000644781.1_2:exon11:c.G1457A:p.R486Q,SPG7:ENST00000645063.1_2:exon11:c.G1457A:p.R486Q,SPG7:ENST00000645818.2_6:exon11:c.G1457A:p.R486Q,SPG7:ENST00000646303.1_1:exon11:c.G1325A:p.R442Q,SPG7:ENST00000647079.1_1:exon11:c.G1049A:p.R350Q</t>
        </is>
      </c>
      <c r="Q429" t="n">
        <v>0.0092</v>
      </c>
      <c r="R429" t="n">
        <v>0.0083</v>
      </c>
      <c r="S429" t="n">
        <v>0.008800000000000001</v>
      </c>
      <c r="T429" t="n">
        <v>-1</v>
      </c>
      <c r="U429" t="n">
        <v>0.0053</v>
      </c>
      <c r="V429" t="inlineStr">
        <is>
          <t>6/10</t>
        </is>
      </c>
      <c r="W429" t="inlineStr">
        <is>
          <t>.</t>
        </is>
      </c>
      <c r="X429" t="inlineStr">
        <is>
          <t>.</t>
        </is>
      </c>
      <c r="Y429" t="inlineStr">
        <is>
          <t>.</t>
        </is>
      </c>
      <c r="Z429" t="inlineStr">
        <is>
          <t>3/7</t>
        </is>
      </c>
      <c r="AA429" t="inlineStr">
        <is>
          <t>Likely benign</t>
        </is>
      </c>
      <c r="AB429" t="inlineStr">
        <is>
          <t>Conflicting_interpretations_of_pathogenicity</t>
        </is>
      </c>
      <c r="AC429" t="inlineStr">
        <is>
          <t>0/1</t>
        </is>
      </c>
      <c r="AD429" t="inlineStr">
        <is>
          <t>1</t>
        </is>
      </c>
      <c r="AE429" t="inlineStr">
        <is>
          <t>1.38467339967464e-18</t>
        </is>
      </c>
      <c r="AF429" t="inlineStr">
        <is>
          <t>SPG7, paraplegin matrix AAA peptidase subunit</t>
        </is>
      </c>
      <c r="AG429" t="inlineStr">
        <is>
          <t xml:space="preserve">FUNCTION: Putative ATP-dependent zinc metalloprotease.; </t>
        </is>
      </c>
      <c r="AH429" t="inlineStr">
        <is>
          <t xml:space="preserve">DISEASE: Note=Defects in SPG7 may cause autosomal recessive osteogenesis imperfecta (OI). Osteogenesis imperfecta defines a group of connective tissue disorders characterized by bone fragility and low bone mass. Clinical features of SPG7-related osteogenesis imperfecta include recurrent fractures, mild bone deformities, delayed tooth eruption, normal hearing and white sclera.; </t>
        </is>
      </c>
      <c r="AI429" t="inlineStr">
        <is>
          <t>.</t>
        </is>
      </c>
      <c r="AJ429" t="inlineStr">
        <is>
          <t>.</t>
        </is>
      </c>
      <c r="AK429" t="inlineStr">
        <is>
          <t>.</t>
        </is>
      </c>
      <c r="AL429" t="inlineStr">
        <is>
          <t>.</t>
        </is>
      </c>
    </row>
    <row r="430">
      <c r="A430" t="inlineStr"/>
      <c r="B430">
        <f>HYPERLINK("https://genome.ucsc.edu/cgi-bin/hgTracks?db=hg19&amp;position=chr16%3A89986546%2D89986546", "chr16:89986546")</f>
        <v/>
      </c>
      <c r="C430" t="inlineStr">
        <is>
          <t>chr16</t>
        </is>
      </c>
      <c r="D430" t="n">
        <v>89986546</v>
      </c>
      <c r="E430" t="n">
        <v>89986546</v>
      </c>
      <c r="F430" t="inlineStr">
        <is>
          <t>G</t>
        </is>
      </c>
      <c r="G430" t="inlineStr">
        <is>
          <t>C</t>
        </is>
      </c>
      <c r="H430" t="inlineStr">
        <is>
          <t>560.64</t>
        </is>
      </c>
      <c r="I430" t="inlineStr">
        <is>
          <t>81</t>
        </is>
      </c>
      <c r="J430" t="inlineStr">
        <is>
          <t>54,27</t>
        </is>
      </c>
      <c r="K430" t="inlineStr">
        <is>
          <t>CM950790</t>
        </is>
      </c>
      <c r="L430">
        <f>HYPERLINK("https://www.ncbi.nlm.nih.gov/snp/rs1805009", "rs1805009")</f>
        <v/>
      </c>
      <c r="M430">
        <f>HYPERLINK("https://www.genecards.org/Search/Keyword?queryString=%5Baliases%5D(%20MC1R%20)%20OR%20%5Baliases%5D(%20TUBB3%20)&amp;keywords=MC1R,TUBB3", "MC1R;TUBB3")</f>
        <v/>
      </c>
      <c r="N430" t="inlineStr">
        <is>
          <t>exonic</t>
        </is>
      </c>
      <c r="O430" t="inlineStr">
        <is>
          <t>nonsynonymous SNV</t>
        </is>
      </c>
      <c r="P430" t="inlineStr">
        <is>
          <t>MC1R:NM_002386:exon1:c.G880C:p.D294H;MC1R:uc002fpe.4:exon1:c.G880C:p.D294H,TUBB3:uc002fpf.2:exon1:c.G880C:p.D294H;MC1R:ENST00000555147.2_5:exon1:c.G880C:p.D294H,ENSG00000198211:ENST00000556922.1_2:exon1:c.G880C:p.D294H,MC1R:ENST00000555427.1_3:exon3:c.G880C:p.D294H,MC1R:ENST00000639847.1_3:exon3:c.G880C:p.D294H</t>
        </is>
      </c>
      <c r="Q430" t="n">
        <v>0.0185377</v>
      </c>
      <c r="R430" t="n">
        <v>0.0135</v>
      </c>
      <c r="S430" t="n">
        <v>0.0158</v>
      </c>
      <c r="T430" t="n">
        <v>-1</v>
      </c>
      <c r="U430" t="n">
        <v>0.0067</v>
      </c>
      <c r="V430" t="inlineStr">
        <is>
          <t>7/9</t>
        </is>
      </c>
      <c r="W430" t="inlineStr">
        <is>
          <t>.</t>
        </is>
      </c>
      <c r="X430" t="inlineStr">
        <is>
          <t>.</t>
        </is>
      </c>
      <c r="Y430" t="inlineStr">
        <is>
          <t>.</t>
        </is>
      </c>
      <c r="Z430" t="inlineStr">
        <is>
          <t>5/7</t>
        </is>
      </c>
      <c r="AA430" t="inlineStr">
        <is>
          <t>Likely benign</t>
        </is>
      </c>
      <c r="AB430" t="inlineStr">
        <is>
          <t>Conflicting_interpretations_of_pathogenicity</t>
        </is>
      </c>
      <c r="AC430" t="inlineStr">
        <is>
          <t>0/1</t>
        </is>
      </c>
      <c r="AD430" t="inlineStr">
        <is>
          <t>1;1</t>
        </is>
      </c>
      <c r="AE430" t="inlineStr">
        <is>
          <t>0.960789307391211;3.24606043304287e-07</t>
        </is>
      </c>
      <c r="AF430" t="inlineStr">
        <is>
          <t>melanocortin 1 receptor;tubulin beta 3 class III</t>
        </is>
      </c>
      <c r="AG430" t="inlineStr">
        <is>
          <t xml:space="preserve">FUNCTION: Receptor for MSH (alpha, beta and gamma) and ACTH. The activity of this receptor is mediated by G proteins which activate adenylate cyclase.; ;FUNCTION: Tubulin is the major constituent of microtubules. It binds two moles of GTP, one at an exchangeable site on the beta chain and one at a non-exchangeable site on the alpha chain. TUBB3 plays a critical role in proper axon guidance and mantainance. {ECO:0000269|PubMed:20074521}.; </t>
        </is>
      </c>
      <c r="AH430" t="inlineStr">
        <is>
          <t xml:space="preserve">DISEASE: Fibrosis of extraocular muscles, congenital, 3A (CFEOM3A) [MIM:600638]: A congenital ocular motility disorder marked by restrictive ophthalmoplegia affecting extraocular muscles innervated by the oculomotor and/or trochlear nerves. It is clinically characterized by anchoring of the eyes in downward gaze, ptosis, and backward tilt of the head. Congenital fibrosis of extraocular muscles type 3 presents as a non-progressive, autosomal dominant disorder with variable expression. Patients may be bilaterally or unilaterally affected, and their oculo-motility defects range from complete ophthalmoplegia (with the eyes fixed in a hypo- and exotropic position), to mild asymptomatic restrictions of ocular movement. Ptosis, refractive error, amblyopia, and compensatory head positions are associated with the more severe forms of the disorder. In some cases, the ocular phenotype is accompanied by additional features including developmental delay, corpus callosum agenesis, basal ganglia dysmorphism, facial weakness, polyneuropathy. {ECO:0000269|PubMed:20074521}. Note=The disease is caused by mutations affecting the gene represented in this entry.; DISEASE: Cortical dysplasia, complex, with other brain malformations 1 (CDCBM1) [MIM:614039]: A disorder of aberrant neuronal migration and disturbed axonal guidance. Affected individuals have mild to severe mental retardation, strabismus, axial hypotonia, and spasticity. Brain imaging shows variable malformations of cortical development, including polymicrogyria, gyral disorganization, and fusion of the basal ganglia, as well as thin corpus callosum, hypoplastic brainstem, and dysplastic cerebellar vermis. Extraocular muscles are not involved. {ECO:0000269|PubMed:20829227}. Note=The disease is caused by mutations affecting the gene represented in this entry.; ;DISEASE: Melanoma, cutaneous malignant 5 (CMM5) [MIM:613099]: A malignant neoplasm of melanocytes, arising de novo or from a pre- existing benign nevus, which occurs most often in the skin but also may involve other sites. {ECO:0000269|PubMed:17434924, ECO:0000269|PubMed:19338054}. Note=Disease susceptibility is associated with variations affecting the gene represented in this entry.; </t>
        </is>
      </c>
      <c r="AI430" t="inlineStr">
        <is>
          <t>.</t>
        </is>
      </c>
      <c r="AJ430" t="inlineStr">
        <is>
          <t>.</t>
        </is>
      </c>
      <c r="AK430" t="inlineStr">
        <is>
          <t>.</t>
        </is>
      </c>
      <c r="AL430" t="inlineStr">
        <is>
          <t>.</t>
        </is>
      </c>
    </row>
    <row r="431">
      <c r="A431" t="inlineStr"/>
      <c r="B431">
        <f>HYPERLINK("https://genome.ucsc.edu/cgi-bin/hgTracks?db=hg19&amp;position=chr17%3A3567146%2D3567146", "chr17:3567146")</f>
        <v/>
      </c>
      <c r="C431" t="inlineStr">
        <is>
          <t>chr17</t>
        </is>
      </c>
      <c r="D431" t="n">
        <v>3567146</v>
      </c>
      <c r="E431" t="n">
        <v>3567146</v>
      </c>
      <c r="F431" t="inlineStr">
        <is>
          <t>C</t>
        </is>
      </c>
      <c r="G431" t="inlineStr">
        <is>
          <t>G</t>
        </is>
      </c>
      <c r="H431" t="inlineStr">
        <is>
          <t>174.64</t>
        </is>
      </c>
      <c r="I431" t="inlineStr">
        <is>
          <t>44</t>
        </is>
      </c>
      <c r="J431" t="inlineStr">
        <is>
          <t>33,11</t>
        </is>
      </c>
      <c r="K431" t="inlineStr">
        <is>
          <t>.</t>
        </is>
      </c>
      <c r="L431" t="inlineStr">
        <is>
          <t>.</t>
        </is>
      </c>
      <c r="M431">
        <f>HYPERLINK("https://www.genecards.org/Search/Keyword?queryString=%5Baliases%5D(%20TAX1BP3%20)&amp;keywords=TAX1BP3", "TAX1BP3")</f>
        <v/>
      </c>
      <c r="N431" t="inlineStr">
        <is>
          <t>exonic</t>
        </is>
      </c>
      <c r="O431" t="inlineStr">
        <is>
          <t>nonsynonymous SNV</t>
        </is>
      </c>
      <c r="P431" t="inlineStr">
        <is>
          <t>TAX1BP3:NM_001204698:exon3:c.G193C:p.D65H,TAX1BP3:NM_014604:exon4:c.G271C:p.D91H;TAX1BP3:uc021tnt.1:exon3:c.G193C:p.D65H,TAX1BP3:uc002fwc.3:exon4:c.G271C:p.D91H;TAX1BP3:ENST00000611779.4_3:exon3:c.G193C:p.D65H,TAX1BP3:ENST00000225525.4_5:exon4:c.G271C:p.D91H</t>
        </is>
      </c>
      <c r="Q431" t="n">
        <v>-1</v>
      </c>
      <c r="R431" t="n">
        <v>-1</v>
      </c>
      <c r="S431" t="n">
        <v>-1</v>
      </c>
      <c r="T431" t="n">
        <v>-1</v>
      </c>
      <c r="U431" t="n">
        <v>-1</v>
      </c>
      <c r="V431" t="inlineStr">
        <is>
          <t>4/11</t>
        </is>
      </c>
      <c r="W431" t="inlineStr">
        <is>
          <t>.</t>
        </is>
      </c>
      <c r="X431" t="inlineStr">
        <is>
          <t>.</t>
        </is>
      </c>
      <c r="Y431" t="inlineStr">
        <is>
          <t>.</t>
        </is>
      </c>
      <c r="Z431" t="inlineStr">
        <is>
          <t>3/7</t>
        </is>
      </c>
      <c r="AA431" t="inlineStr">
        <is>
          <t>Uncertain significance</t>
        </is>
      </c>
      <c r="AB431" t="inlineStr">
        <is>
          <t>.</t>
        </is>
      </c>
      <c r="AC431" t="inlineStr">
        <is>
          <t>0/1</t>
        </is>
      </c>
      <c r="AD431" t="inlineStr">
        <is>
          <t>1</t>
        </is>
      </c>
      <c r="AE431" t="inlineStr">
        <is>
          <t>0.00234803255540852</t>
        </is>
      </c>
      <c r="AF431" t="inlineStr">
        <is>
          <t>Tax1 binding protein 3</t>
        </is>
      </c>
      <c r="AG431" t="inlineStr">
        <is>
          <t xml:space="preserve">FUNCTION: May regulate a number of protein-protein interactions by competing for PDZ domain binding sites. Binds CTNNB1 and may thereby act as an inhibitor of the Wnt signaling pathway. Competes with LIN7A for KCNJ4 binding, and thereby promotes KCNJ4 internalization. May play a role in the Rho signaling pathway. May play a role in activation of CDC42 by the viral protein HPV16 E6. {ECO:0000269|PubMed:10940294, ECO:0000269|PubMed:16855024, ECO:0000269|PubMed:21139582}.; </t>
        </is>
      </c>
      <c r="AH431" t="inlineStr">
        <is>
          <t>.</t>
        </is>
      </c>
      <c r="AI431" t="inlineStr">
        <is>
          <t>.</t>
        </is>
      </c>
      <c r="AJ431" t="inlineStr">
        <is>
          <t>.</t>
        </is>
      </c>
      <c r="AK431" t="inlineStr">
        <is>
          <t>.</t>
        </is>
      </c>
      <c r="AL431" t="inlineStr">
        <is>
          <t>.</t>
        </is>
      </c>
    </row>
    <row r="432">
      <c r="A432" t="inlineStr"/>
      <c r="B432">
        <f>HYPERLINK("https://genome.ucsc.edu/cgi-bin/hgTracks?db=hg19&amp;position=chr17%3A4020436%2D4020436", "chr17:4020436")</f>
        <v/>
      </c>
      <c r="C432" t="inlineStr">
        <is>
          <t>chr17</t>
        </is>
      </c>
      <c r="D432" t="n">
        <v>4020436</v>
      </c>
      <c r="E432" t="n">
        <v>4020436</v>
      </c>
      <c r="F432" t="inlineStr">
        <is>
          <t>G</t>
        </is>
      </c>
      <c r="G432" t="inlineStr">
        <is>
          <t>A</t>
        </is>
      </c>
      <c r="H432" t="inlineStr">
        <is>
          <t>1294.06</t>
        </is>
      </c>
      <c r="I432" t="inlineStr">
        <is>
          <t>47</t>
        </is>
      </c>
      <c r="J432" t="inlineStr">
        <is>
          <t>2,45</t>
        </is>
      </c>
      <c r="K432" t="inlineStr">
        <is>
          <t>.</t>
        </is>
      </c>
      <c r="L432">
        <f>HYPERLINK("https://www.ncbi.nlm.nih.gov/snp/rs370899607", "rs370899607")</f>
        <v/>
      </c>
      <c r="M432">
        <f>HYPERLINK("https://www.genecards.org/Search/Keyword?queryString=%5Baliases%5D(%20ZZEF1%20)&amp;keywords=ZZEF1", "ZZEF1")</f>
        <v/>
      </c>
      <c r="N432" t="inlineStr">
        <is>
          <t>exonic</t>
        </is>
      </c>
      <c r="O432" t="inlineStr">
        <is>
          <t>nonsynonymous SNV</t>
        </is>
      </c>
      <c r="P432" t="inlineStr">
        <is>
          <t>ZZEF1:NM_015113:exon3:c.C524T:p.S175L;ZZEF1:uc002fxe.3:exon3:c.C524T:p.S175L,ZZEF1:uc002fxk.1:exon3:c.C524T:p.S175L;ZZEF1:ENST00000381638.7_5:exon3:c.C524T:p.S175L</t>
        </is>
      </c>
      <c r="Q432" t="n">
        <v>0.0058</v>
      </c>
      <c r="R432" t="n">
        <v>0.0059</v>
      </c>
      <c r="S432" t="n">
        <v>0.0058</v>
      </c>
      <c r="T432" t="n">
        <v>-1</v>
      </c>
      <c r="U432" t="n">
        <v>0.0044</v>
      </c>
      <c r="V432" t="inlineStr">
        <is>
          <t>5/11</t>
        </is>
      </c>
      <c r="W432" t="inlineStr">
        <is>
          <t>.</t>
        </is>
      </c>
      <c r="X432" t="inlineStr">
        <is>
          <t>.</t>
        </is>
      </c>
      <c r="Y432" t="inlineStr">
        <is>
          <t>.</t>
        </is>
      </c>
      <c r="Z432" t="inlineStr">
        <is>
          <t>3/7</t>
        </is>
      </c>
      <c r="AA432" t="inlineStr">
        <is>
          <t>Uncertain significance</t>
        </is>
      </c>
      <c r="AB432" t="inlineStr">
        <is>
          <t>.</t>
        </is>
      </c>
      <c r="AC432" t="inlineStr">
        <is>
          <t>HOMO</t>
        </is>
      </c>
      <c r="AD432" t="inlineStr">
        <is>
          <t>1</t>
        </is>
      </c>
      <c r="AE432" t="inlineStr">
        <is>
          <t>0.999923090647574</t>
        </is>
      </c>
      <c r="AF432" t="inlineStr">
        <is>
          <t>zinc finger ZZ-type and EF-hand domain containing 1</t>
        </is>
      </c>
      <c r="AG432" t="inlineStr">
        <is>
          <t>.</t>
        </is>
      </c>
      <c r="AH432" t="inlineStr">
        <is>
          <t>.</t>
        </is>
      </c>
      <c r="AI432" t="inlineStr">
        <is>
          <t>.</t>
        </is>
      </c>
      <c r="AJ432" t="inlineStr">
        <is>
          <t>.</t>
        </is>
      </c>
      <c r="AK432" t="inlineStr">
        <is>
          <t>.</t>
        </is>
      </c>
      <c r="AL432" t="inlineStr">
        <is>
          <t>.</t>
        </is>
      </c>
    </row>
    <row r="433">
      <c r="A433" t="inlineStr"/>
      <c r="B433">
        <f>HYPERLINK("https://genome.ucsc.edu/cgi-bin/hgTracks?db=hg19&amp;position=chr17%3A4462668%2D4462668", "chr17:4462668")</f>
        <v/>
      </c>
      <c r="C433" t="inlineStr">
        <is>
          <t>chr17</t>
        </is>
      </c>
      <c r="D433" t="n">
        <v>4462668</v>
      </c>
      <c r="E433" t="n">
        <v>4462668</v>
      </c>
      <c r="F433" t="inlineStr">
        <is>
          <t>C</t>
        </is>
      </c>
      <c r="G433" t="inlineStr">
        <is>
          <t>G</t>
        </is>
      </c>
      <c r="H433" t="inlineStr">
        <is>
          <t>110.64</t>
        </is>
      </c>
      <c r="I433" t="inlineStr">
        <is>
          <t>72</t>
        </is>
      </c>
      <c r="J433" t="inlineStr">
        <is>
          <t>62,10</t>
        </is>
      </c>
      <c r="K433" t="inlineStr">
        <is>
          <t>.</t>
        </is>
      </c>
      <c r="L433" t="inlineStr">
        <is>
          <t>.</t>
        </is>
      </c>
      <c r="M433">
        <f>HYPERLINK("https://www.genecards.org/Search/Keyword?queryString=%5Baliases%5D(%20GGT6%20)&amp;keywords=GGT6", "GGT6")</f>
        <v/>
      </c>
      <c r="N433" t="inlineStr">
        <is>
          <t>exonic</t>
        </is>
      </c>
      <c r="O433" t="inlineStr">
        <is>
          <t>nonsynonymous SNV</t>
        </is>
      </c>
      <c r="P433" t="inlineStr">
        <is>
          <t>GGT6:NM_001122890:exon3:c.G409C:p.A137P,GGT6:NM_001288702:exon3:c.G427C:p.A143P,GGT6:NM_001288703:exon3:c.G409C:p.A137P;GGT6:uc002fyd.4:exon3:c.G409C:p.A137P,GGT6:uc010vsc.2:exon3:c.G427C:p.A143P;GGT6:ENST00000381550.8_7:exon3:c.G427C:p.A143P,GGT6:ENST00000574154.5_7:exon3:c.G409C:p.A137P</t>
        </is>
      </c>
      <c r="Q433" t="n">
        <v>-1</v>
      </c>
      <c r="R433" t="n">
        <v>-1</v>
      </c>
      <c r="S433" t="n">
        <v>-1</v>
      </c>
      <c r="T433" t="n">
        <v>-1</v>
      </c>
      <c r="U433" t="n">
        <v>-1</v>
      </c>
      <c r="V433" t="inlineStr">
        <is>
          <t>5/12</t>
        </is>
      </c>
      <c r="W433" t="inlineStr">
        <is>
          <t>.</t>
        </is>
      </c>
      <c r="X433" t="inlineStr">
        <is>
          <t>.</t>
        </is>
      </c>
      <c r="Y433" t="inlineStr">
        <is>
          <t>.</t>
        </is>
      </c>
      <c r="Z433" t="inlineStr">
        <is>
          <t>0/7</t>
        </is>
      </c>
      <c r="AA433" t="inlineStr">
        <is>
          <t>Uncertain significance</t>
        </is>
      </c>
      <c r="AB433" t="inlineStr">
        <is>
          <t>.</t>
        </is>
      </c>
      <c r="AC433" t="inlineStr">
        <is>
          <t>0/1</t>
        </is>
      </c>
      <c r="AD433" t="inlineStr">
        <is>
          <t>1</t>
        </is>
      </c>
      <c r="AE433" t="inlineStr">
        <is>
          <t>2.45819064940681e-06</t>
        </is>
      </c>
      <c r="AF433" t="inlineStr">
        <is>
          <t>gamma-glutamyltransferase 6</t>
        </is>
      </c>
      <c r="AG433" t="inlineStr">
        <is>
          <t xml:space="preserve">FUNCTION: Cleaves glutathione conjugates. {ECO:0000250}.; </t>
        </is>
      </c>
      <c r="AH433" t="inlineStr">
        <is>
          <t>.</t>
        </is>
      </c>
      <c r="AI433" t="inlineStr">
        <is>
          <t>.</t>
        </is>
      </c>
      <c r="AJ433" t="inlineStr">
        <is>
          <t>.</t>
        </is>
      </c>
      <c r="AK433" t="inlineStr">
        <is>
          <t>.</t>
        </is>
      </c>
      <c r="AL433" t="inlineStr">
        <is>
          <t>.</t>
        </is>
      </c>
    </row>
    <row r="434">
      <c r="A434" t="inlineStr"/>
      <c r="B434">
        <f>HYPERLINK("https://genome.ucsc.edu/cgi-bin/hgTracks?db=hg19&amp;position=chr17%3A5086818%2D5086818", "chr17:5086818")</f>
        <v/>
      </c>
      <c r="C434" t="inlineStr">
        <is>
          <t>chr17</t>
        </is>
      </c>
      <c r="D434" t="n">
        <v>5086818</v>
      </c>
      <c r="E434" t="n">
        <v>5086818</v>
      </c>
      <c r="F434" t="inlineStr">
        <is>
          <t>C</t>
        </is>
      </c>
      <c r="G434" t="inlineStr">
        <is>
          <t>A</t>
        </is>
      </c>
      <c r="H434" t="inlineStr">
        <is>
          <t>727.64</t>
        </is>
      </c>
      <c r="I434" t="inlineStr">
        <is>
          <t>46</t>
        </is>
      </c>
      <c r="J434" t="inlineStr">
        <is>
          <t>21,25</t>
        </is>
      </c>
      <c r="K434" t="inlineStr">
        <is>
          <t>.</t>
        </is>
      </c>
      <c r="L434" t="inlineStr">
        <is>
          <t>.</t>
        </is>
      </c>
      <c r="M434">
        <f>HYPERLINK("https://www.genecards.org/Search/Keyword?queryString=%5Baliases%5D(%20ZNF594%20)&amp;keywords=ZNF594", "ZNF594")</f>
        <v/>
      </c>
      <c r="N434" t="inlineStr">
        <is>
          <t>exonic</t>
        </is>
      </c>
      <c r="O434" t="inlineStr">
        <is>
          <t>nonsynonymous SNV</t>
        </is>
      </c>
      <c r="P434" t="inlineStr">
        <is>
          <t>ZNF594:NM_032530:exon2:c.G734T:p.G245V;ZNF594:uc021tol.1:exon1:c.G734T:p.G245V,ZNF594:uc010cla.1:exon2:c.G734T:p.G245V;ZNF594:ENST00000399604.4_2:exon1:c.G734T:p.G245V,ZNF594:ENST00000575779.2_5:exon2:c.G734T:p.G245V</t>
        </is>
      </c>
      <c r="Q434" t="n">
        <v>-1</v>
      </c>
      <c r="R434" t="n">
        <v>-1</v>
      </c>
      <c r="S434" t="n">
        <v>-1</v>
      </c>
      <c r="T434" t="n">
        <v>-1</v>
      </c>
      <c r="U434" t="n">
        <v>-1</v>
      </c>
      <c r="V434" t="inlineStr">
        <is>
          <t>5/11</t>
        </is>
      </c>
      <c r="W434" t="inlineStr">
        <is>
          <t>.</t>
        </is>
      </c>
      <c r="X434" t="inlineStr">
        <is>
          <t>.</t>
        </is>
      </c>
      <c r="Y434" t="inlineStr">
        <is>
          <t>.</t>
        </is>
      </c>
      <c r="Z434" t="inlineStr">
        <is>
          <t>0/7</t>
        </is>
      </c>
      <c r="AA434" t="inlineStr">
        <is>
          <t>Uncertain significance</t>
        </is>
      </c>
      <c r="AB434" t="inlineStr">
        <is>
          <t>.</t>
        </is>
      </c>
      <c r="AC434" t="inlineStr">
        <is>
          <t>0/1</t>
        </is>
      </c>
      <c r="AD434" t="inlineStr">
        <is>
          <t>1</t>
        </is>
      </c>
      <c r="AE434" t="inlineStr">
        <is>
          <t>1.13967591329678e-10</t>
        </is>
      </c>
      <c r="AF434" t="inlineStr">
        <is>
          <t>zinc finger protein 594</t>
        </is>
      </c>
      <c r="AG434" t="inlineStr">
        <is>
          <t xml:space="preserve">FUNCTION: May be involved in transcriptional regulation. {ECO:0000250}.; </t>
        </is>
      </c>
      <c r="AH434" t="inlineStr">
        <is>
          <t>.</t>
        </is>
      </c>
      <c r="AI434" t="inlineStr">
        <is>
          <t>.</t>
        </is>
      </c>
      <c r="AJ434" t="inlineStr">
        <is>
          <t>.</t>
        </is>
      </c>
      <c r="AK434" t="inlineStr">
        <is>
          <t>.</t>
        </is>
      </c>
      <c r="AL434" t="inlineStr">
        <is>
          <t>NGS_LowStringency</t>
        </is>
      </c>
    </row>
    <row r="435">
      <c r="A435" t="inlineStr"/>
      <c r="B435">
        <f>HYPERLINK("https://genome.ucsc.edu/cgi-bin/hgTracks?db=hg19&amp;position=chr17%3A6012940%2D6012940", "chr17:6012940")</f>
        <v/>
      </c>
      <c r="C435" t="inlineStr">
        <is>
          <t>chr17</t>
        </is>
      </c>
      <c r="D435" t="n">
        <v>6012940</v>
      </c>
      <c r="E435" t="n">
        <v>6012940</v>
      </c>
      <c r="F435" t="inlineStr">
        <is>
          <t>C</t>
        </is>
      </c>
      <c r="G435" t="inlineStr">
        <is>
          <t>A</t>
        </is>
      </c>
      <c r="H435" t="inlineStr">
        <is>
          <t>133.64</t>
        </is>
      </c>
      <c r="I435" t="inlineStr">
        <is>
          <t>72</t>
        </is>
      </c>
      <c r="J435" t="inlineStr">
        <is>
          <t>59,13</t>
        </is>
      </c>
      <c r="K435" t="inlineStr">
        <is>
          <t>.</t>
        </is>
      </c>
      <c r="L435">
        <f>HYPERLINK("https://www.ncbi.nlm.nih.gov/snp/rs753865244", "rs753865244")</f>
        <v/>
      </c>
      <c r="M435">
        <f>HYPERLINK("https://www.genecards.org/Search/Keyword?queryString=%5Baliases%5D(%20WSCD1%20)&amp;keywords=WSCD1", "WSCD1")</f>
        <v/>
      </c>
      <c r="N435" t="inlineStr">
        <is>
          <t>exonic</t>
        </is>
      </c>
      <c r="O435" t="inlineStr">
        <is>
          <t>nonsynonymous SNV</t>
        </is>
      </c>
      <c r="P435" t="inlineStr">
        <is>
          <t>WSCD1:NM_015253:exon6:c.C863A:p.A288D;WSCD1:uc031qyk.1:exon5:c.C515A:p.A172D,WSCD1:uc002gcn.3:exon6:c.C863A:p.A288D,WSCD1:uc002gco.3:exon6:c.C863A:p.A288D,WSCD1:uc010cli.3:exon6:c.C863A:p.A288D;WSCD1:ENST00000573634.5_1:exon5:c.C515A:p.A172D,WSCD1:ENST00000317744.10_3:exon6:c.C863A:p.A288D,WSCD1:ENST00000574232.5_1:exon6:c.C863A:p.A288D,WSCD1:ENST00000574946.5_1:exon6:c.C863A:p.A288D</t>
        </is>
      </c>
      <c r="Q435" t="n">
        <v>6.5e-06</v>
      </c>
      <c r="R435" t="n">
        <v>-1</v>
      </c>
      <c r="S435" t="n">
        <v>-1</v>
      </c>
      <c r="T435" t="n">
        <v>-1</v>
      </c>
      <c r="U435" t="n">
        <v>-1</v>
      </c>
      <c r="V435" t="inlineStr">
        <is>
          <t>8/12</t>
        </is>
      </c>
      <c r="W435" t="inlineStr">
        <is>
          <t>.</t>
        </is>
      </c>
      <c r="X435" t="inlineStr">
        <is>
          <t>.</t>
        </is>
      </c>
      <c r="Y435" t="inlineStr">
        <is>
          <t>.</t>
        </is>
      </c>
      <c r="Z435" t="inlineStr">
        <is>
          <t>2/7</t>
        </is>
      </c>
      <c r="AA435" t="inlineStr">
        <is>
          <t>Uncertain significance</t>
        </is>
      </c>
      <c r="AB435" t="inlineStr">
        <is>
          <t>.</t>
        </is>
      </c>
      <c r="AC435" t="inlineStr">
        <is>
          <t>0/1</t>
        </is>
      </c>
      <c r="AD435" t="inlineStr">
        <is>
          <t>1</t>
        </is>
      </c>
      <c r="AE435" t="inlineStr">
        <is>
          <t>2.91261764619966e-06</t>
        </is>
      </c>
      <c r="AF435" t="inlineStr">
        <is>
          <t>WSC domain containing 1</t>
        </is>
      </c>
      <c r="AG435" t="inlineStr">
        <is>
          <t>.</t>
        </is>
      </c>
      <c r="AH435" t="inlineStr">
        <is>
          <t>.</t>
        </is>
      </c>
      <c r="AI435" t="inlineStr">
        <is>
          <t>.</t>
        </is>
      </c>
      <c r="AJ435" t="inlineStr">
        <is>
          <t>.</t>
        </is>
      </c>
      <c r="AK435" t="inlineStr">
        <is>
          <t>.</t>
        </is>
      </c>
      <c r="AL435" t="inlineStr">
        <is>
          <t>.</t>
        </is>
      </c>
    </row>
    <row r="436">
      <c r="A436" t="inlineStr"/>
      <c r="B436">
        <f>HYPERLINK("https://genome.ucsc.edu/cgi-bin/hgTracks?db=hg19&amp;position=chr17%3A7571752%2D7571752", "chr17:7571752")</f>
        <v/>
      </c>
      <c r="C436" t="inlineStr">
        <is>
          <t>chr17</t>
        </is>
      </c>
      <c r="D436" t="n">
        <v>7571752</v>
      </c>
      <c r="E436" t="n">
        <v>7571752</v>
      </c>
      <c r="F436" t="inlineStr">
        <is>
          <t>T</t>
        </is>
      </c>
      <c r="G436" t="inlineStr">
        <is>
          <t>G</t>
        </is>
      </c>
      <c r="H436" t="inlineStr">
        <is>
          <t>2005.06</t>
        </is>
      </c>
      <c r="I436" t="inlineStr">
        <is>
          <t>66</t>
        </is>
      </c>
      <c r="J436" t="inlineStr">
        <is>
          <t>0,66</t>
        </is>
      </c>
      <c r="K436" t="inlineStr">
        <is>
          <t>CR118782</t>
        </is>
      </c>
      <c r="L436">
        <f>HYPERLINK("https://www.ncbi.nlm.nih.gov/snp/rs78378222", "rs78378222")</f>
        <v/>
      </c>
      <c r="M436">
        <f>HYPERLINK("https://www.genecards.org/Search/Keyword?queryString=%5Baliases%5D(%20TP53%20)&amp;keywords=TP53", "TP53")</f>
        <v/>
      </c>
      <c r="N436" t="inlineStr">
        <is>
          <t>UTR3</t>
        </is>
      </c>
      <c r="O436" t="inlineStr">
        <is>
          <t>.</t>
        </is>
      </c>
      <c r="P436" t="inlineStr">
        <is>
          <t>NM_001276695:c.*1376A&gt;C;NM_001126114:c.*1464A&gt;C;NM_001126115:c.*1175A&gt;C;NM_001126113:c.*1376A&gt;C;NM_001126112:c.*1175A&gt;C;NM_001126117:c.*1376A&gt;C;NM_001126116:c.*1464A&gt;C;NM_001276761:c.*1175A&gt;C;NM_001276699:c.*1376A&gt;C;NM_001276698:c.*1464A&gt;C;NM_001276697:c.*1175A&gt;C;NM_001276696:c.*1464A&gt;C;NM_001276760:c.*1175A&gt;C;NM_001126118:c.*1175A&gt;C;NM_000546:c.*1175A&gt;C;uc010cng.2:c.*1464A&gt;C;uc010cnf.2:c.*1376A&gt;C;uc002gii.2:c.*1175A&gt;C;uc010cni.2:c.*1464A&gt;C;uc010cnh.2:c.*1376A&gt;C;uc002gim.3:c.*1175A&gt;C;uc002gij.3:c.*1175A&gt;C;uc031qyq.1:c.*1175A&gt;C;ENST00000504290.5_3:c.*1376A&gt;C;ENST00000504937.5_3:c.*1175A&gt;C;ENST00000510385.5_3:c.*1464A&gt;C;ENST00000610623.4_3:c.*1376A&gt;C;ENST00000618944.4_3:c.*1464A&gt;C;ENST00000619186.4_3:c.*1175A&gt;C;ENST00000610292.4_4:c.*1175A&gt;C;ENST00000620739.4_4:c.*1175A&gt;C;ENST00000420246.6_3:c.*1464A&gt;C;ENST00000455263.6_3:c.*1376A&gt;C;ENST00000610538.4_3:c.*1376A&gt;C;ENST00000622645.4_5:c.*1464A&gt;C;ENST00000445888.6_7:c.*1175A&gt;C;ENST00000619485.4_4:c.*1175A&gt;C;ENST00000269305.9_6:c.*1175A&gt;C</t>
        </is>
      </c>
      <c r="Q436" t="n">
        <v>0.0199</v>
      </c>
      <c r="R436" t="n">
        <v>0.0182</v>
      </c>
      <c r="S436" t="n">
        <v>0.0173</v>
      </c>
      <c r="T436" t="n">
        <v>-1</v>
      </c>
      <c r="U436" t="n">
        <v>0.0207</v>
      </c>
      <c r="V436" t="inlineStr">
        <is>
          <t>.</t>
        </is>
      </c>
      <c r="W436" t="inlineStr">
        <is>
          <t>.</t>
        </is>
      </c>
      <c r="X436" t="inlineStr">
        <is>
          <t>.</t>
        </is>
      </c>
      <c r="Y436" t="inlineStr">
        <is>
          <t>.</t>
        </is>
      </c>
      <c r="Z436" t="inlineStr">
        <is>
          <t>.</t>
        </is>
      </c>
      <c r="AA436" t="inlineStr">
        <is>
          <t>.</t>
        </is>
      </c>
      <c r="AB436" t="inlineStr">
        <is>
          <t>Conflicting_interpretations_of_pathogenicity</t>
        </is>
      </c>
      <c r="AC436" t="inlineStr">
        <is>
          <t>HOMO</t>
        </is>
      </c>
      <c r="AD436" t="inlineStr">
        <is>
          <t>2</t>
        </is>
      </c>
      <c r="AE436" t="inlineStr">
        <is>
          <t>0.91222295333147</t>
        </is>
      </c>
      <c r="AF436" t="inlineStr">
        <is>
          <t>tumor protein p53</t>
        </is>
      </c>
      <c r="AG436" t="inlineStr">
        <is>
          <t xml:space="preserve">FUNCTION: Acts as a tumor suppressor in many tumor types; induces growth arrest or apoptosis depending on the physiological circumstances and cell type. Involved in cell cycle regulation as a trans-activator that acts to negatively regulate cell division by controlling a set of genes required for this process. One of the activated genes is an inhibitor of cyclin-dependent kinases. Apoptosis induction seems to be mediated either by stimulation of BAX and FAS antigen expression, or by repression of Bcl-2 expression. In cooperation with mitochondrial PPIF is involved in activating oxidative stress-induced necrosis; the function is largely independent of transcription. Induces the transcription of long intergenic non-coding RNA p21 (lincRNA-p21) and lincRNA- Mkln1. LincRNA-p21 participates in TP53-dependent transcriptional repression leading to apoptosis and seem to have to effect on cell-cycle regulation. Implicated in Notch signaling cross-over. Prevents CDK7 kinase activity when associated to CAK complex in response to DNA damage, thus stopping cell cycle progression. Isoform 2 enhances the transactivation activity of isoform 1 from some but not all TP53-inducible promoters. Isoform 4 suppresses transactivation activity and impairs growth suppression mediated by isoform 1. Isoform 7 inhibits isoform 1-mediated apoptosis. Regulates the circadian clock by repressing CLOCK-ARNTL/BMAL1- mediated transcriptional activation of PER2 (PubMed:24051492). {ECO:0000269|PubMed:11025664, ECO:0000269|PubMed:12810724, ECO:0000269|PubMed:15186775, ECO:0000269|PubMed:15340061, ECO:0000269|PubMed:17317671, ECO:0000269|PubMed:17349958, ECO:0000269|PubMed:19556538, ECO:0000269|PubMed:20673990, ECO:0000269|PubMed:20959462, ECO:0000269|PubMed:22726440, ECO:0000269|PubMed:24051492, ECO:0000269|PubMed:9840937}.; </t>
        </is>
      </c>
      <c r="AH436" t="inlineStr">
        <is>
          <t xml:space="preserve">DISEASE: Note=TP53 is found in increased amounts in a wide variety of transformed cells. TP53 is frequently mutated or inactivated in about 60% of cancers. TP53 defects are found in Barrett metaplasia a condition in which the normally stratified squamous epithelium of the lower esophagus is replaced by a metaplastic columnar epithelium. The condition develops as a complication in approximately 10% of patients with chronic gastroesophageal reflux disease and predisposes to the development of esophageal adenocarcinoma.; DISEASE: Esophageal cancer (ESCR) [MIM:133239]: A malignancy of the esophagus. The most common types are esophageal squamous cell carcinoma and adenocarcinoma. Cancer of the esophagus remains a devastating disease because it is usually not detected until it has progressed to an advanced incurable stage. Note=The disease is caused by mutations affecting the gene represented in this entry.; DISEASE: Li-Fraumeni syndrome (LFS) [MIM:151623]: Autosomal dominant familial cancer syndrome that in its classic form is defined by the existence of a proband affected by a sarcoma before 45 years with a first degree relative affected by any tumor before 45 years and another first degree relative with any tumor before 45 years or a sarcoma at any age. Other clinical definitions for LFS have been proposed (PubMed:8118819 and PubMed:8718514) and called Li-Fraumeni like syndrome (LFL). In these families affected relatives develop a diverse set of malignancies at unusually early ages. Four types of cancers account for 80% of tumors occurring in TP53 germline mutation carriers: breast cancers, soft tissue and bone sarcomas, brain tumors (astrocytomas) and adrenocortical carcinomas. Less frequent tumors include choroid plexus carcinoma or papilloma before the age of 15, rhabdomyosarcoma before the age of 5, leukemia, Wilms tumor, malignant phyllodes tumor, colorectal and gastric cancers. {ECO:0000269|PubMed:10484981, ECO:0000269|PubMed:1565144, ECO:0000269|PubMed:1737852, ECO:0000269|PubMed:1933902, ECO:0000269|PubMed:1978757, ECO:0000269|PubMed:2259385, ECO:0000269|PubMed:7887414, ECO:0000269|PubMed:8825920, ECO:0000269|PubMed:9452042}. Note=The disease is caused by mutations affecting the gene represented in this entry.; DISEASE: Squamous cell carcinoma of the head and neck (HNSCC) [MIM:275355]: A non-melanoma skin cancer affecting the head and neck. The hallmark of cutaneous SCC is malignant transformation of normal epidermal keratinocytes. Note=The gene represented in this entry is involved in disease pathogenesis.; DISEASE: Lung cancer (LNCR) [MIM:211980]: A common malignancy affecting tissues of the lung. The most common form of lung cancer is non-small cell lung cancer (NSCLC) that can be divided into 3 major histologic subtypes: squamous cell carcinoma, adenocarcinoma, and large cell lung cancer. NSCLC is often diagnosed at an advanced stage and has a poor prognosis. Note=The disease is caused by mutations affecting the gene represented in this entry.; DISEASE: Papilloma of choroid plexus (CPP) [MIM:260500]: A benign tumor of neuroectodermal origin that generally occurs in childhood, but has also been reported in adults. Although generally found within the ventricular system, choroid plexus papillomas can arise ectopically in the brain parenchyma or disseminate throughout the neuraxis. Patients present with signs and symptoms of increased intracranial pressure including headache, hydrocephalus, papilledema, nausea, vomiting, cranial nerve deficits, gait impairment, and seizures. {ECO:0000269|PubMed:12085209}. Note=The disease is caused by mutations affecting the gene represented in this entry.; DISEASE: Adrenocortical carcinoma (ADCC) [MIM:202300]: A malignant neoplasm of the adrenal cortex and a rare childhood tumor. It occurs with increased frequency in patients with Beckwith- Wiedemann syndrome and Li-Fraumeni syndrome. {ECO:0000269|PubMed:11481490}. Note=The disease is caused by mutations affecting the gene represented in this entry.; DISEASE: Basal cell carcinoma 7 (BCC7) [MIM:614740]: A common malignant skin neoplasm that typically appears on hair-bearing skin, most commonly on sun-exposed areas. It is slow growing and rarely metastasizes, but has potentialities for local invasion and destruction. It usually develops as a flat, firm, pale area that is small, raised, pink or red, translucent, shiny, and waxy, and the area may bleed following minor injury. Tumor size can vary from a few millimeters to several centimeters in diameter. {ECO:0000269|PubMed:21946351}. Note=Disease susceptibility is associated with variations affecting the gene represented in this entry.; </t>
        </is>
      </c>
      <c r="AI436" t="inlineStr">
        <is>
          <t>.</t>
        </is>
      </c>
      <c r="AJ436" t="inlineStr">
        <is>
          <t>.</t>
        </is>
      </c>
      <c r="AK436" t="inlineStr">
        <is>
          <t>.</t>
        </is>
      </c>
      <c r="AL436" t="inlineStr">
        <is>
          <t>.</t>
        </is>
      </c>
    </row>
    <row r="437">
      <c r="A437" t="inlineStr"/>
      <c r="B437">
        <f>HYPERLINK("https://genome.ucsc.edu/cgi-bin/hgTracks?db=hg19&amp;position=chr17%3A7578523%2D7578523", "chr17:7578523")</f>
        <v/>
      </c>
      <c r="C437" t="inlineStr">
        <is>
          <t>chr17</t>
        </is>
      </c>
      <c r="D437" t="n">
        <v>7578523</v>
      </c>
      <c r="E437" t="n">
        <v>7578523</v>
      </c>
      <c r="F437" t="inlineStr">
        <is>
          <t>-</t>
        </is>
      </c>
      <c r="G437" t="inlineStr">
        <is>
          <t>G</t>
        </is>
      </c>
      <c r="H437" t="inlineStr">
        <is>
          <t>1014.03</t>
        </is>
      </c>
      <c r="I437" t="inlineStr">
        <is>
          <t>31</t>
        </is>
      </c>
      <c r="J437" t="inlineStr">
        <is>
          <t>1,30</t>
        </is>
      </c>
      <c r="K437" t="inlineStr">
        <is>
          <t>.</t>
        </is>
      </c>
      <c r="L437" t="inlineStr">
        <is>
          <t>.</t>
        </is>
      </c>
      <c r="M437">
        <f>HYPERLINK("https://www.genecards.org/Search/Keyword?queryString=%5Baliases%5D(%20TP53%20)&amp;keywords=TP53", "TP53")</f>
        <v/>
      </c>
      <c r="N437" t="inlineStr">
        <is>
          <t>exonic</t>
        </is>
      </c>
      <c r="O437" t="inlineStr">
        <is>
          <t>frameshift insertion</t>
        </is>
      </c>
      <c r="P437" t="inlineStr">
        <is>
          <t>TP53:NM_001126115:exon1:c.10dupC:p.Q4Pfs*13,TP53:NM_001126116:exon1:c.10dupC:p.Q4Pfs*13,TP53:NM_001126117:exon1:c.10dupC:p.Q4Pfs*13,TP53:NM_001126118:exon4:c.289dupC:p.Q97Pfs*13,TP53:NM_000546:exon5:c.406dupC:p.Q136Pfs*13,TP53:NM_001126112:exon5:c.406dupC:p.Q136Pfs*13,TP53:NM_001126113:exon5:c.406dupC:p.Q136Pfs*13,TP53:NM_001126114:exon5:c.406dupC:p.Q136Pfs*13,TP53:NM_001276695:exon5:c.289dupC:p.Q97Pfs*13,TP53:NM_001276696:exon5:c.289dupC:p.Q97Pfs*13,TP53:NM_001276760:exon5:c.289dupC:p.Q97Pfs*13,TP53:NM_001276761:exon5:c.289dupC:p.Q97Pfs*13;TP53:uc002gio.3:exon2:c.10dupC:p.Q4Pfs*13,TP53:uc002gig.1:exon4:c.406dupC:p.Q136Pfs*13,TP53:uc002gih.3:exon4:c.406dupC:p.Q136Pfs*13,TP53:uc002gin.3:exon4:c.127dupC:p.Q43Pfs*13,TP53:uc010vug.3:exon4:c.289dupC:p.Q97Pfs*13,TP53:uc031qyq.1:exon4:c.289dupC:p.Q97Pfs*13,TP53:uc002gij.3:exon5:c.289dupC:p.Q97Pfs*13,TP53:uc002gim.3:exon5:c.406dupC:p.Q136Pfs*13,TP53:uc010cnh.2:exon5:c.406dupC:p.Q136Pfs*13,TP53:uc010cni.2:exon5:c.406dupC:p.Q136Pfs*13;TP53:ENST00000504290.5_3:exon1:c.10dupC:p.Q4Pfs*13,TP53:ENST00000504937.5_3:exon1:c.10dupC:p.Q4Pfs*13,TP53:ENST00000510385.5_3:exon1:c.10dupC:p.Q4Pfs*13,TP53:ENST00000359597.8_3:exon4:c.406dupC:p.Q136Pfs*13,TP53:ENST00000413465.6_3:exon4:c.406dupC:p.Q136Pfs*13,TP53:ENST00000610292.4_4:exon4:c.289dupC:p.Q97Pfs*13,TP53:ENST00000269305.9_6:exon5:c.406dupC:p.Q136Pfs*13,TP53:ENST00000420246.6_3:exon5:c.406dupC:p.Q136Pfs*13,TP53:ENST00000445888.6_7:exon5:c.406dupC:p.Q136Pfs*13,TP53:ENST00000455263.6_3:exon5:c.406dupC:p.Q136Pfs*13,TP53:ENST00000610538.4_3:exon5:c.289dupC:p.Q97Pfs*13,TP53:ENST00000619485.4_4:exon5:c.289dupC:p.Q97Pfs*13,TP53:ENST00000620739.4_4:exon5:c.289dupC:p.Q97Pfs*13,TP53:ENST00000622645.4_5:exon5:c.289dupC:p.Q97Pfs*13</t>
        </is>
      </c>
      <c r="Q437" t="n">
        <v>-1</v>
      </c>
      <c r="R437" t="n">
        <v>-1</v>
      </c>
      <c r="S437" t="n">
        <v>-1</v>
      </c>
      <c r="T437" t="n">
        <v>-1</v>
      </c>
      <c r="U437" t="n">
        <v>-1</v>
      </c>
      <c r="V437" t="inlineStr">
        <is>
          <t>.</t>
        </is>
      </c>
      <c r="W437" t="inlineStr">
        <is>
          <t>.</t>
        </is>
      </c>
      <c r="X437" t="inlineStr">
        <is>
          <t>.</t>
        </is>
      </c>
      <c r="Y437" t="inlineStr">
        <is>
          <t>.</t>
        </is>
      </c>
      <c r="Z437" t="inlineStr">
        <is>
          <t>.</t>
        </is>
      </c>
      <c r="AA437" t="inlineStr">
        <is>
          <t>.</t>
        </is>
      </c>
      <c r="AB437" t="inlineStr">
        <is>
          <t>.</t>
        </is>
      </c>
      <c r="AC437" t="inlineStr">
        <is>
          <t>HOMO</t>
        </is>
      </c>
      <c r="AD437" t="inlineStr">
        <is>
          <t>2</t>
        </is>
      </c>
      <c r="AE437" t="inlineStr">
        <is>
          <t>0.91222295333147</t>
        </is>
      </c>
      <c r="AF437" t="inlineStr">
        <is>
          <t>tumor protein p53</t>
        </is>
      </c>
      <c r="AG437" t="inlineStr">
        <is>
          <t xml:space="preserve">FUNCTION: Acts as a tumor suppressor in many tumor types; induces growth arrest or apoptosis depending on the physiological circumstances and cell type. Involved in cell cycle regulation as a trans-activator that acts to negatively regulate cell division by controlling a set of genes required for this process. One of the activated genes is an inhibitor of cyclin-dependent kinases. Apoptosis induction seems to be mediated either by stimulation of BAX and FAS antigen expression, or by repression of Bcl-2 expression. In cooperation with mitochondrial PPIF is involved in activating oxidative stress-induced necrosis; the function is largely independent of transcription. Induces the transcription of long intergenic non-coding RNA p21 (lincRNA-p21) and lincRNA- Mkln1. LincRNA-p21 participates in TP53-dependent transcriptional repression leading to apoptosis and seem to have to effect on cell-cycle regulation. Implicated in Notch signaling cross-over. Prevents CDK7 kinase activity when associated to CAK complex in response to DNA damage, thus stopping cell cycle progression. Isoform 2 enhances the transactivation activity of isoform 1 from some but not all TP53-inducible promoters. Isoform 4 suppresses transactivation activity and impairs growth suppression mediated by isoform 1. Isoform 7 inhibits isoform 1-mediated apoptosis. Regulates the circadian clock by repressing CLOCK-ARNTL/BMAL1- mediated transcriptional activation of PER2 (PubMed:24051492). {ECO:0000269|PubMed:11025664, ECO:0000269|PubMed:12810724, ECO:0000269|PubMed:15186775, ECO:0000269|PubMed:15340061, ECO:0000269|PubMed:17317671, ECO:0000269|PubMed:17349958, ECO:0000269|PubMed:19556538, ECO:0000269|PubMed:20673990, ECO:0000269|PubMed:20959462, ECO:0000269|PubMed:22726440, ECO:0000269|PubMed:24051492, ECO:0000269|PubMed:9840937}.; </t>
        </is>
      </c>
      <c r="AH437" t="inlineStr">
        <is>
          <t xml:space="preserve">DISEASE: Note=TP53 is found in increased amounts in a wide variety of transformed cells. TP53 is frequently mutated or inactivated in about 60% of cancers. TP53 defects are found in Barrett metaplasia a condition in which the normally stratified squamous epithelium of the lower esophagus is replaced by a metaplastic columnar epithelium. The condition develops as a complication in approximately 10% of patients with chronic gastroesophageal reflux disease and predisposes to the development of esophageal adenocarcinoma.; DISEASE: Esophageal cancer (ESCR) [MIM:133239]: A malignancy of the esophagus. The most common types are esophageal squamous cell carcinoma and adenocarcinoma. Cancer of the esophagus remains a devastating disease because it is usually not detected until it has progressed to an advanced incurable stage. Note=The disease is caused by mutations affecting the gene represented in this entry.; DISEASE: Li-Fraumeni syndrome (LFS) [MIM:151623]: Autosomal dominant familial cancer syndrome that in its classic form is defined by the existence of a proband affected by a sarcoma before 45 years with a first degree relative affected by any tumor before 45 years and another first degree relative with any tumor before 45 years or a sarcoma at any age. Other clinical definitions for LFS have been proposed (PubMed:8118819 and PubMed:8718514) and called Li-Fraumeni like syndrome (LFL). In these families affected relatives develop a diverse set of malignancies at unusually early ages. Four types of cancers account for 80% of tumors occurring in TP53 germline mutation carriers: breast cancers, soft tissue and bone sarcomas, brain tumors (astrocytomas) and adrenocortical carcinomas. Less frequent tumors include choroid plexus carcinoma or papilloma before the age of 15, rhabdomyosarcoma before the age of 5, leukemia, Wilms tumor, malignant phyllodes tumor, colorectal and gastric cancers. {ECO:0000269|PubMed:10484981, ECO:0000269|PubMed:1565144, ECO:0000269|PubMed:1737852, ECO:0000269|PubMed:1933902, ECO:0000269|PubMed:1978757, ECO:0000269|PubMed:2259385, ECO:0000269|PubMed:7887414, ECO:0000269|PubMed:8825920, ECO:0000269|PubMed:9452042}. Note=The disease is caused by mutations affecting the gene represented in this entry.; DISEASE: Squamous cell carcinoma of the head and neck (HNSCC) [MIM:275355]: A non-melanoma skin cancer affecting the head and neck. The hallmark of cutaneous SCC is malignant transformation of normal epidermal keratinocytes. Note=The gene represented in this entry is involved in disease pathogenesis.; DISEASE: Lung cancer (LNCR) [MIM:211980]: A common malignancy affecting tissues of the lung. The most common form of lung cancer is non-small cell lung cancer (NSCLC) that can be divided into 3 major histologic subtypes: squamous cell carcinoma, adenocarcinoma, and large cell lung cancer. NSCLC is often diagnosed at an advanced stage and has a poor prognosis. Note=The disease is caused by mutations affecting the gene represented in this entry.; DISEASE: Papilloma of choroid plexus (CPP) [MIM:260500]: A benign tumor of neuroectodermal origin that generally occurs in childhood, but has also been reported in adults. Although generally found within the ventricular system, choroid plexus papillomas can arise ectopically in the brain parenchyma or disseminate throughout the neuraxis. Patients present with signs and symptoms of increased intracranial pressure including headache, hydrocephalus, papilledema, nausea, vomiting, cranial nerve deficits, gait impairment, and seizures. {ECO:0000269|PubMed:12085209}. Note=The disease is caused by mutations affecting the gene represented in this entry.; DISEASE: Adrenocortical carcinoma (ADCC) [MIM:202300]: A malignant neoplasm of the adrenal cortex and a rare childhood tumor. It occurs with increased frequency in patients with Beckwith- Wiedemann syndrome and Li-Fraumeni syndrome. {ECO:0000269|PubMed:11481490}. Note=The disease is caused by mutations affecting the gene represented in this entry.; DISEASE: Basal cell carcinoma 7 (BCC7) [MIM:614740]: A common malignant skin neoplasm that typically appears on hair-bearing skin, most commonly on sun-exposed areas. It is slow growing and rarely metastasizes, but has potentialities for local invasion and destruction. It usually develops as a flat, firm, pale area that is small, raised, pink or red, translucent, shiny, and waxy, and the area may bleed following minor injury. Tumor size can vary from a few millimeters to several centimeters in diameter. {ECO:0000269|PubMed:21946351}. Note=Disease susceptibility is associated with variations affecting the gene represented in this entry.; </t>
        </is>
      </c>
      <c r="AI437" t="inlineStr">
        <is>
          <t>.</t>
        </is>
      </c>
      <c r="AJ437" t="inlineStr">
        <is>
          <t>.</t>
        </is>
      </c>
      <c r="AK437" t="inlineStr">
        <is>
          <t>.</t>
        </is>
      </c>
      <c r="AL437" t="inlineStr">
        <is>
          <t>.</t>
        </is>
      </c>
    </row>
    <row r="438">
      <c r="A438" t="inlineStr"/>
      <c r="B438">
        <f>HYPERLINK("https://genome.ucsc.edu/cgi-bin/hgTracks?db=hg19&amp;position=chr17%3A8283419%2D8283419", "chr17:8283419")</f>
        <v/>
      </c>
      <c r="C438" t="inlineStr">
        <is>
          <t>chr17</t>
        </is>
      </c>
      <c r="D438" t="n">
        <v>8283419</v>
      </c>
      <c r="E438" t="n">
        <v>8283419</v>
      </c>
      <c r="F438" t="inlineStr">
        <is>
          <t>A</t>
        </is>
      </c>
      <c r="G438" t="inlineStr">
        <is>
          <t>T</t>
        </is>
      </c>
      <c r="H438" t="inlineStr">
        <is>
          <t>141.14</t>
        </is>
      </c>
      <c r="I438" t="inlineStr">
        <is>
          <t>4</t>
        </is>
      </c>
      <c r="J438" t="inlineStr">
        <is>
          <t>0,4</t>
        </is>
      </c>
      <c r="K438" t="inlineStr">
        <is>
          <t>.</t>
        </is>
      </c>
      <c r="L438" t="inlineStr">
        <is>
          <t>.</t>
        </is>
      </c>
      <c r="M438">
        <f>HYPERLINK("https://www.genecards.org/Search/Keyword?queryString=%5Baliases%5D(%20RPL26%20)&amp;keywords=RPL26", "RPL26")</f>
        <v/>
      </c>
      <c r="N438" t="inlineStr">
        <is>
          <t>intronic;ncRNA_intronic</t>
        </is>
      </c>
      <c r="O438" t="inlineStr">
        <is>
          <t>.</t>
        </is>
      </c>
      <c r="P438" t="inlineStr">
        <is>
          <t>.</t>
        </is>
      </c>
      <c r="Q438" t="n">
        <v>-1</v>
      </c>
      <c r="R438" t="n">
        <v>-1</v>
      </c>
      <c r="S438" t="n">
        <v>-1</v>
      </c>
      <c r="T438" t="n">
        <v>-1</v>
      </c>
      <c r="U438" t="n">
        <v>-1</v>
      </c>
      <c r="V438" t="inlineStr">
        <is>
          <t>.</t>
        </is>
      </c>
      <c r="W438" t="inlineStr">
        <is>
          <t>.</t>
        </is>
      </c>
      <c r="X438" t="inlineStr">
        <is>
          <t>B</t>
        </is>
      </c>
      <c r="Y438" t="inlineStr">
        <is>
          <t>off</t>
        </is>
      </c>
      <c r="Z438" t="inlineStr">
        <is>
          <t>.</t>
        </is>
      </c>
      <c r="AA438" t="inlineStr">
        <is>
          <t>.</t>
        </is>
      </c>
      <c r="AB438" t="inlineStr">
        <is>
          <t>.</t>
        </is>
      </c>
      <c r="AC438" t="inlineStr">
        <is>
          <t>HOMO</t>
        </is>
      </c>
      <c r="AD438" t="inlineStr">
        <is>
          <t>1</t>
        </is>
      </c>
      <c r="AE438" t="inlineStr">
        <is>
          <t>0.915888681432076</t>
        </is>
      </c>
      <c r="AF438" t="inlineStr">
        <is>
          <t>ribosomal protein L26</t>
        </is>
      </c>
      <c r="AG438" t="inlineStr">
        <is>
          <t>.</t>
        </is>
      </c>
      <c r="AH438" t="inlineStr">
        <is>
          <t xml:space="preserve">DISEASE: Diamond-Blackfan anemia 11 (DBA11) [MIM:614900]: A form of Diamond-Blackfan anemia, a congenital non-regenerative hypoplastic anemia that usually presents early in infancy. Diamond-Blackfan anemia is characterized by a moderate to severe macrocytic anemia, erythroblastopenia, and an increased risk of malignancy. 30 to 40% of Diamond-Blackfan anemia patients present with short stature and congenital anomalies, the most frequent being craniofacial (Pierre-Robin syndrome and cleft palate), thumb and urogenital anomalies. {ECO:0000269|PubMed:22431104}. Note=The disease is caused by mutations affecting the gene represented in this entry.; </t>
        </is>
      </c>
      <c r="AI438" t="inlineStr">
        <is>
          <t>.</t>
        </is>
      </c>
      <c r="AJ438" t="inlineStr">
        <is>
          <t>.</t>
        </is>
      </c>
      <c r="AK438" t="inlineStr">
        <is>
          <t>.</t>
        </is>
      </c>
      <c r="AL438" t="inlineStr">
        <is>
          <t>.</t>
        </is>
      </c>
    </row>
    <row r="439">
      <c r="A439" t="inlineStr"/>
      <c r="B439">
        <f>HYPERLINK("https://genome.ucsc.edu/cgi-bin/hgTracks?db=hg19&amp;position=chr17%3A10348579%2D10348579", "chr17:10348579")</f>
        <v/>
      </c>
      <c r="C439" t="inlineStr">
        <is>
          <t>chr17</t>
        </is>
      </c>
      <c r="D439" t="n">
        <v>10348579</v>
      </c>
      <c r="E439" t="n">
        <v>10348579</v>
      </c>
      <c r="F439" t="inlineStr">
        <is>
          <t>T</t>
        </is>
      </c>
      <c r="G439" t="inlineStr">
        <is>
          <t>C</t>
        </is>
      </c>
      <c r="H439" t="inlineStr">
        <is>
          <t>1030.64</t>
        </is>
      </c>
      <c r="I439" t="inlineStr">
        <is>
          <t>80</t>
        </is>
      </c>
      <c r="J439" t="inlineStr">
        <is>
          <t>42,38</t>
        </is>
      </c>
      <c r="K439" t="inlineStr">
        <is>
          <t>.</t>
        </is>
      </c>
      <c r="L439" t="inlineStr">
        <is>
          <t>.</t>
        </is>
      </c>
      <c r="M439">
        <f>HYPERLINK("https://www.genecards.org/Search/Keyword?queryString=%5Baliases%5D(%20MYH4%20)&amp;keywords=MYH4", "MYH4")</f>
        <v/>
      </c>
      <c r="N439" t="inlineStr">
        <is>
          <t>exonic</t>
        </is>
      </c>
      <c r="O439" t="inlineStr">
        <is>
          <t>nonsynonymous SNV</t>
        </is>
      </c>
      <c r="P439" t="inlineStr">
        <is>
          <t>MYH4:NM_017533:exon36:c.A5270G:p.E1757G;MYH4:uc002gmn.3:exon36:c.A5270G:p.E1757G;MYH4:ENST00000255381.2_5:exon36:c.A5270G:p.E1757G</t>
        </is>
      </c>
      <c r="Q439" t="n">
        <v>-1</v>
      </c>
      <c r="R439" t="n">
        <v>-1</v>
      </c>
      <c r="S439" t="n">
        <v>-1</v>
      </c>
      <c r="T439" t="n">
        <v>-1</v>
      </c>
      <c r="U439" t="n">
        <v>-1</v>
      </c>
      <c r="V439" t="inlineStr">
        <is>
          <t>9/11</t>
        </is>
      </c>
      <c r="W439" t="inlineStr">
        <is>
          <t>.</t>
        </is>
      </c>
      <c r="X439" t="inlineStr">
        <is>
          <t>.</t>
        </is>
      </c>
      <c r="Y439" t="inlineStr">
        <is>
          <t>.</t>
        </is>
      </c>
      <c r="Z439" t="inlineStr">
        <is>
          <t>4/7</t>
        </is>
      </c>
      <c r="AA439" t="inlineStr">
        <is>
          <t>Uncertain significance</t>
        </is>
      </c>
      <c r="AB439" t="inlineStr">
        <is>
          <t>.</t>
        </is>
      </c>
      <c r="AC439" t="inlineStr">
        <is>
          <t>0/1</t>
        </is>
      </c>
      <c r="AD439" t="inlineStr">
        <is>
          <t>2</t>
        </is>
      </c>
      <c r="AE439" t="inlineStr">
        <is>
          <t>8.81492134588241e-35</t>
        </is>
      </c>
      <c r="AF439" t="inlineStr">
        <is>
          <t>myosin, heavy chain 4, skeletal muscle</t>
        </is>
      </c>
      <c r="AG439" t="inlineStr">
        <is>
          <t xml:space="preserve">FUNCTION: Muscle contraction.; </t>
        </is>
      </c>
      <c r="AH439" t="inlineStr">
        <is>
          <t>.</t>
        </is>
      </c>
      <c r="AI439" t="inlineStr">
        <is>
          <t>.</t>
        </is>
      </c>
      <c r="AJ439" t="inlineStr">
        <is>
          <t>.</t>
        </is>
      </c>
      <c r="AK439" t="inlineStr">
        <is>
          <t>.</t>
        </is>
      </c>
      <c r="AL439" t="inlineStr">
        <is>
          <t>.</t>
        </is>
      </c>
    </row>
    <row r="440">
      <c r="A440" t="inlineStr"/>
      <c r="B440">
        <f>HYPERLINK("https://genome.ucsc.edu/cgi-bin/hgTracks?db=hg19&amp;position=chr17%3A10366693%2D10366693", "chr17:10366693")</f>
        <v/>
      </c>
      <c r="C440" t="inlineStr">
        <is>
          <t>chr17</t>
        </is>
      </c>
      <c r="D440" t="n">
        <v>10366693</v>
      </c>
      <c r="E440" t="n">
        <v>10366693</v>
      </c>
      <c r="F440" t="inlineStr">
        <is>
          <t>C</t>
        </is>
      </c>
      <c r="G440" t="inlineStr">
        <is>
          <t>T</t>
        </is>
      </c>
      <c r="H440" t="inlineStr">
        <is>
          <t>1581.06</t>
        </is>
      </c>
      <c r="I440" t="inlineStr">
        <is>
          <t>52</t>
        </is>
      </c>
      <c r="J440" t="inlineStr">
        <is>
          <t>0,52</t>
        </is>
      </c>
      <c r="K440" t="inlineStr">
        <is>
          <t>.</t>
        </is>
      </c>
      <c r="L440">
        <f>HYPERLINK("https://www.ncbi.nlm.nih.gov/snp/rs111672577", "rs111672577")</f>
        <v/>
      </c>
      <c r="M440">
        <f>HYPERLINK("https://www.genecards.org/Search/Keyword?queryString=%5Baliases%5D(%20MYH4%20)&amp;keywords=MYH4", "MYH4")</f>
        <v/>
      </c>
      <c r="N440" t="inlineStr">
        <is>
          <t>exonic</t>
        </is>
      </c>
      <c r="O440" t="inlineStr">
        <is>
          <t>nonsynonymous SNV</t>
        </is>
      </c>
      <c r="P440" t="inlineStr">
        <is>
          <t>MYH4:NM_017533:exon9:c.G767A:p.G256D;MYH4:uc002gmn.3:exon9:c.G767A:p.G256D;MYH4:ENST00000255381.2_5:exon9:c.G767A:p.G256D</t>
        </is>
      </c>
      <c r="Q440" t="n">
        <v>0.003788</v>
      </c>
      <c r="R440" t="n">
        <v>0.0011</v>
      </c>
      <c r="S440" t="n">
        <v>0.001</v>
      </c>
      <c r="T440" t="n">
        <v>-1</v>
      </c>
      <c r="U440" t="n">
        <v>0.0004</v>
      </c>
      <c r="V440" t="inlineStr">
        <is>
          <t>6/10</t>
        </is>
      </c>
      <c r="W440" t="inlineStr">
        <is>
          <t>.</t>
        </is>
      </c>
      <c r="X440" t="inlineStr">
        <is>
          <t>.</t>
        </is>
      </c>
      <c r="Y440" t="inlineStr">
        <is>
          <t>.</t>
        </is>
      </c>
      <c r="Z440" t="inlineStr">
        <is>
          <t>1/7</t>
        </is>
      </c>
      <c r="AA440" t="inlineStr">
        <is>
          <t>Uncertain significance</t>
        </is>
      </c>
      <c r="AB440" t="inlineStr">
        <is>
          <t>.</t>
        </is>
      </c>
      <c r="AC440" t="inlineStr">
        <is>
          <t>HOMO</t>
        </is>
      </c>
      <c r="AD440" t="inlineStr">
        <is>
          <t>2</t>
        </is>
      </c>
      <c r="AE440" t="inlineStr">
        <is>
          <t>8.81492134588241e-35</t>
        </is>
      </c>
      <c r="AF440" t="inlineStr">
        <is>
          <t>myosin, heavy chain 4, skeletal muscle</t>
        </is>
      </c>
      <c r="AG440" t="inlineStr">
        <is>
          <t xml:space="preserve">FUNCTION: Muscle contraction.; </t>
        </is>
      </c>
      <c r="AH440" t="inlineStr">
        <is>
          <t>.</t>
        </is>
      </c>
      <c r="AI440" t="inlineStr">
        <is>
          <t>.</t>
        </is>
      </c>
      <c r="AJ440" t="inlineStr">
        <is>
          <t>.</t>
        </is>
      </c>
      <c r="AK440" t="inlineStr">
        <is>
          <t>.</t>
        </is>
      </c>
      <c r="AL440" t="inlineStr">
        <is>
          <t>.</t>
        </is>
      </c>
    </row>
    <row r="441">
      <c r="A441" t="inlineStr"/>
      <c r="B441">
        <f>HYPERLINK("https://genome.ucsc.edu/cgi-bin/hgTracks?db=hg19&amp;position=chr17%3A11166724%2D11166724", "chr17:11166724")</f>
        <v/>
      </c>
      <c r="C441" t="inlineStr">
        <is>
          <t>chr17</t>
        </is>
      </c>
      <c r="D441" t="n">
        <v>11166724</v>
      </c>
      <c r="E441" t="n">
        <v>11166724</v>
      </c>
      <c r="F441" t="inlineStr">
        <is>
          <t>T</t>
        </is>
      </c>
      <c r="G441" t="inlineStr">
        <is>
          <t>C</t>
        </is>
      </c>
      <c r="H441" t="inlineStr">
        <is>
          <t>2389.06</t>
        </is>
      </c>
      <c r="I441" t="inlineStr">
        <is>
          <t>75</t>
        </is>
      </c>
      <c r="J441" t="inlineStr">
        <is>
          <t>1,74</t>
        </is>
      </c>
      <c r="K441" t="inlineStr">
        <is>
          <t>.</t>
        </is>
      </c>
      <c r="L441">
        <f>HYPERLINK("https://www.ncbi.nlm.nih.gov/snp/rs922855304", "rs922855304")</f>
        <v/>
      </c>
      <c r="M441">
        <f>HYPERLINK("https://www.genecards.org/Search/Keyword?queryString=%5Baliases%5D(%20SHISA6%20)&amp;keywords=SHISA6", "SHISA6")</f>
        <v/>
      </c>
      <c r="N441" t="inlineStr">
        <is>
          <t>exonic</t>
        </is>
      </c>
      <c r="O441" t="inlineStr">
        <is>
          <t>nonsynonymous SNV</t>
        </is>
      </c>
      <c r="P441" t="inlineStr">
        <is>
          <t>SHISA6:NM_001173461:exon2:c.T680C:p.I227T,SHISA6:NM_001173462:exon2:c.T680C:p.I227T,SHISA6:NM_207386:exon2:c.T680C:p.I227T;SHISA6:uc002gna.4:exon2:c.T680C:p.I227T,SHISA6:uc002gnc.2:exon2:c.T680C:p.I227T,SHISA6:uc010com.3:exon2:c.T680C:p.I227T;SHISA6:ENST00000409168.7_2:exon2:c.T680C:p.I227T,SHISA6:ENST00000432116.7_2:exon2:c.T680C:p.I227T,SHISA6:ENST00000441885.8_4:exon2:c.T680C:p.I227T</t>
        </is>
      </c>
      <c r="Q441" t="n">
        <v>0.0001</v>
      </c>
      <c r="R441" t="n">
        <v>9.022e-05</v>
      </c>
      <c r="S441" t="n">
        <v>7.344e-05</v>
      </c>
      <c r="T441" t="n">
        <v>-1</v>
      </c>
      <c r="U441" t="n">
        <v>-1</v>
      </c>
      <c r="V441" t="inlineStr">
        <is>
          <t>4/11</t>
        </is>
      </c>
      <c r="W441" t="inlineStr">
        <is>
          <t>.</t>
        </is>
      </c>
      <c r="X441" t="inlineStr">
        <is>
          <t>.</t>
        </is>
      </c>
      <c r="Y441" t="inlineStr">
        <is>
          <t>.</t>
        </is>
      </c>
      <c r="Z441" t="inlineStr">
        <is>
          <t>4/7</t>
        </is>
      </c>
      <c r="AA441" t="inlineStr">
        <is>
          <t>Uncertain significance</t>
        </is>
      </c>
      <c r="AB441" t="inlineStr">
        <is>
          <t>.</t>
        </is>
      </c>
      <c r="AC441" t="inlineStr">
        <is>
          <t>HOMO</t>
        </is>
      </c>
      <c r="AD441" t="inlineStr">
        <is>
          <t>1</t>
        </is>
      </c>
      <c r="AE441" t="inlineStr">
        <is>
          <t>.</t>
        </is>
      </c>
      <c r="AF441" t="inlineStr">
        <is>
          <t>shisa family member 6</t>
        </is>
      </c>
      <c r="AG441" t="inlineStr">
        <is>
          <t>.</t>
        </is>
      </c>
      <c r="AH441" t="inlineStr">
        <is>
          <t>.</t>
        </is>
      </c>
      <c r="AI441" t="inlineStr">
        <is>
          <t>.</t>
        </is>
      </c>
      <c r="AJ441" t="inlineStr">
        <is>
          <t>.</t>
        </is>
      </c>
      <c r="AK441" t="inlineStr">
        <is>
          <t>.</t>
        </is>
      </c>
      <c r="AL441" t="inlineStr">
        <is>
          <t>.</t>
        </is>
      </c>
    </row>
    <row r="442">
      <c r="A442" t="inlineStr"/>
      <c r="B442">
        <f>HYPERLINK("https://genome.ucsc.edu/cgi-bin/hgTracks?db=hg19&amp;position=chr17%3A25932401%2D25932401", "chr17:25932401")</f>
        <v/>
      </c>
      <c r="C442" t="inlineStr">
        <is>
          <t>chr17</t>
        </is>
      </c>
      <c r="D442" t="n">
        <v>25932401</v>
      </c>
      <c r="E442" t="n">
        <v>25932401</v>
      </c>
      <c r="F442" t="inlineStr">
        <is>
          <t>A</t>
        </is>
      </c>
      <c r="G442" t="inlineStr">
        <is>
          <t>G</t>
        </is>
      </c>
      <c r="H442" t="inlineStr">
        <is>
          <t>240.64</t>
        </is>
      </c>
      <c r="I442" t="inlineStr">
        <is>
          <t>29</t>
        </is>
      </c>
      <c r="J442" t="inlineStr">
        <is>
          <t>19,10</t>
        </is>
      </c>
      <c r="K442" t="inlineStr">
        <is>
          <t>.</t>
        </is>
      </c>
      <c r="L442">
        <f>HYPERLINK("https://www.ncbi.nlm.nih.gov/snp/rs550317842", "rs550317842")</f>
        <v/>
      </c>
      <c r="M442">
        <f>HYPERLINK("https://www.genecards.org/Search/Keyword?queryString=%5Baliases%5D(%20KSR1%20)&amp;keywords=KSR1", "KSR1")</f>
        <v/>
      </c>
      <c r="N442" t="inlineStr">
        <is>
          <t>intronic</t>
        </is>
      </c>
      <c r="O442" t="inlineStr">
        <is>
          <t>.</t>
        </is>
      </c>
      <c r="P442" t="inlineStr">
        <is>
          <t>.</t>
        </is>
      </c>
      <c r="Q442" t="n">
        <v>0.0034</v>
      </c>
      <c r="R442" t="n">
        <v>0.003</v>
      </c>
      <c r="S442" t="n">
        <v>0.0029</v>
      </c>
      <c r="T442" t="n">
        <v>-1</v>
      </c>
      <c r="U442" t="n">
        <v>0.0019</v>
      </c>
      <c r="V442" t="inlineStr">
        <is>
          <t>.</t>
        </is>
      </c>
      <c r="W442" t="inlineStr">
        <is>
          <t>.</t>
        </is>
      </c>
      <c r="X442" t="inlineStr">
        <is>
          <t>PD</t>
        </is>
      </c>
      <c r="Y442" t="inlineStr">
        <is>
          <t>off</t>
        </is>
      </c>
      <c r="Z442" t="inlineStr">
        <is>
          <t>.</t>
        </is>
      </c>
      <c r="AA442" t="inlineStr">
        <is>
          <t>.</t>
        </is>
      </c>
      <c r="AB442" t="inlineStr">
        <is>
          <t>.</t>
        </is>
      </c>
      <c r="AC442" t="inlineStr">
        <is>
          <t>0/1</t>
        </is>
      </c>
      <c r="AD442" t="inlineStr">
        <is>
          <t>1</t>
        </is>
      </c>
      <c r="AE442" t="inlineStr">
        <is>
          <t>0.609182270949014</t>
        </is>
      </c>
      <c r="AF442" t="inlineStr">
        <is>
          <t>kinase suppressor of ras 1</t>
        </is>
      </c>
      <c r="AG442" t="inlineStr">
        <is>
          <t xml:space="preserve">FUNCTION: Location-regulated scaffolding protein connecting MEK to RAF. Promotes MEK and RAF phosphorylation and activity through assembly of an activated signaling complex. By itself, it has no demonstrated kinase activity.; </t>
        </is>
      </c>
      <c r="AH442" t="inlineStr">
        <is>
          <t>.</t>
        </is>
      </c>
      <c r="AI442" t="inlineStr">
        <is>
          <t>.</t>
        </is>
      </c>
      <c r="AJ442" t="inlineStr">
        <is>
          <t>.</t>
        </is>
      </c>
      <c r="AK442" t="inlineStr">
        <is>
          <t>.</t>
        </is>
      </c>
      <c r="AL442" t="inlineStr">
        <is>
          <t>.</t>
        </is>
      </c>
    </row>
    <row r="443">
      <c r="A443" t="inlineStr"/>
      <c r="B443">
        <f>HYPERLINK("https://genome.ucsc.edu/cgi-bin/hgTracks?db=hg19&amp;position=chr17%3A26653806%2D26653806", "chr17:26653806")</f>
        <v/>
      </c>
      <c r="C443" t="inlineStr">
        <is>
          <t>chr17</t>
        </is>
      </c>
      <c r="D443" t="n">
        <v>26653806</v>
      </c>
      <c r="E443" t="n">
        <v>26653806</v>
      </c>
      <c r="F443" t="inlineStr">
        <is>
          <t>-</t>
        </is>
      </c>
      <c r="G443" t="inlineStr">
        <is>
          <t>A</t>
        </is>
      </c>
      <c r="H443" t="inlineStr">
        <is>
          <t>89.60</t>
        </is>
      </c>
      <c r="I443" t="inlineStr">
        <is>
          <t>71</t>
        </is>
      </c>
      <c r="J443" t="inlineStr">
        <is>
          <t>60,11</t>
        </is>
      </c>
      <c r="K443" t="inlineStr">
        <is>
          <t>.</t>
        </is>
      </c>
      <c r="L443">
        <f>HYPERLINK("https://www.ncbi.nlm.nih.gov/snp/rs781830688", "rs781830688")</f>
        <v/>
      </c>
      <c r="M443">
        <f>HYPERLINK("https://www.genecards.org/Search/Keyword?queryString=%5Baliases%5D(%20TMEM97%20)&amp;keywords=TMEM97", "TMEM97")</f>
        <v/>
      </c>
      <c r="N443" t="inlineStr">
        <is>
          <t>exonic</t>
        </is>
      </c>
      <c r="O443" t="inlineStr">
        <is>
          <t>stoploss</t>
        </is>
      </c>
      <c r="P443" t="inlineStr">
        <is>
          <t>TMEM97:NM_014573:exon3:c.519dupA:p.*177delinsMKETTTGPG*;TMEM97:uc002hat.3:exon3:c.519dupA:p.*177delinsMKETTTGPG*;TMEM97:ENST00000226230.8_3:exon3:c.519dupA:p.*177delinsMKETTTGPG*,TMEM97:ENST00000336687.6_1:exon4:c.198dupA:p.*70delinsMKETTTGPG*,TMEM97:ENST00000583381.5_1:exon4:c.198dupA:p.*70delinsMKETTTGPG*</t>
        </is>
      </c>
      <c r="Q443" t="n">
        <v>0.017241</v>
      </c>
      <c r="R443" t="n">
        <v>0.0004</v>
      </c>
      <c r="S443" t="n">
        <v>0.001</v>
      </c>
      <c r="T443" t="n">
        <v>-1</v>
      </c>
      <c r="U443" t="n">
        <v>0.0013</v>
      </c>
      <c r="V443" t="inlineStr">
        <is>
          <t>.</t>
        </is>
      </c>
      <c r="W443" t="inlineStr">
        <is>
          <t>.</t>
        </is>
      </c>
      <c r="X443" t="inlineStr">
        <is>
          <t>.</t>
        </is>
      </c>
      <c r="Y443" t="inlineStr">
        <is>
          <t>.</t>
        </is>
      </c>
      <c r="Z443" t="inlineStr">
        <is>
          <t>.</t>
        </is>
      </c>
      <c r="AA443" t="inlineStr">
        <is>
          <t>.</t>
        </is>
      </c>
      <c r="AB443" t="inlineStr">
        <is>
          <t>.</t>
        </is>
      </c>
      <c r="AC443" t="inlineStr">
        <is>
          <t>0/1</t>
        </is>
      </c>
      <c r="AD443" t="inlineStr">
        <is>
          <t>1</t>
        </is>
      </c>
      <c r="AE443" t="inlineStr">
        <is>
          <t>0.0284060151690812</t>
        </is>
      </c>
      <c r="AF443" t="inlineStr">
        <is>
          <t>transmembrane protein 97</t>
        </is>
      </c>
      <c r="AG443" t="inlineStr">
        <is>
          <t xml:space="preserve">FUNCTION: Plays a role as a regulator of cellular cholesterol homeostasis (PubMed:19583955). May function as sterol isomerase (PubMed:25566323). {ECO:0000269|PubMed:19583955, ECO:0000303|PubMed:25566323}.; </t>
        </is>
      </c>
      <c r="AH443" t="inlineStr">
        <is>
          <t>.</t>
        </is>
      </c>
      <c r="AI443" t="inlineStr">
        <is>
          <t>.</t>
        </is>
      </c>
      <c r="AJ443" t="inlineStr">
        <is>
          <t>.</t>
        </is>
      </c>
      <c r="AK443" t="inlineStr">
        <is>
          <t>.</t>
        </is>
      </c>
      <c r="AL443" t="inlineStr">
        <is>
          <t>.</t>
        </is>
      </c>
    </row>
    <row r="444">
      <c r="A444" t="inlineStr"/>
      <c r="B444">
        <f>HYPERLINK("https://genome.ucsc.edu/cgi-bin/hgTracks?db=hg19&amp;position=chr17%3A26708746%2D26708746", "chr17:26708746")</f>
        <v/>
      </c>
      <c r="C444" t="inlineStr">
        <is>
          <t>chr17</t>
        </is>
      </c>
      <c r="D444" t="n">
        <v>26708746</v>
      </c>
      <c r="E444" t="n">
        <v>26708746</v>
      </c>
      <c r="F444" t="inlineStr">
        <is>
          <t>C</t>
        </is>
      </c>
      <c r="G444" t="inlineStr">
        <is>
          <t>A</t>
        </is>
      </c>
      <c r="H444" t="inlineStr">
        <is>
          <t>1069.64</t>
        </is>
      </c>
      <c r="I444" t="inlineStr">
        <is>
          <t>75</t>
        </is>
      </c>
      <c r="J444" t="inlineStr">
        <is>
          <t>31,44</t>
        </is>
      </c>
      <c r="K444" t="inlineStr">
        <is>
          <t>.</t>
        </is>
      </c>
      <c r="L444">
        <f>HYPERLINK("https://www.ncbi.nlm.nih.gov/snp/rs140811640", "rs140811640")</f>
        <v/>
      </c>
      <c r="M444">
        <f>HYPERLINK("https://www.genecards.org/Search/Keyword?queryString=%5Baliases%5D(%20SARM1%20)&amp;keywords=SARM1", "SARM1")</f>
        <v/>
      </c>
      <c r="N444" t="inlineStr">
        <is>
          <t>exonic</t>
        </is>
      </c>
      <c r="O444" t="inlineStr">
        <is>
          <t>nonsynonymous SNV;unknown</t>
        </is>
      </c>
      <c r="P444" t="inlineStr">
        <is>
          <t>SARM1:NM_015077:exon6:c.C992A:p.P331Q;SARM1:uc010crl.1:exon4:c.C989A:p.P330Q;UNKNOWN</t>
        </is>
      </c>
      <c r="Q444" t="n">
        <v>0.017857</v>
      </c>
      <c r="R444" t="n">
        <v>0.0111</v>
      </c>
      <c r="S444" t="n">
        <v>0.0118</v>
      </c>
      <c r="T444" t="n">
        <v>-1</v>
      </c>
      <c r="U444" t="n">
        <v>0.0122</v>
      </c>
      <c r="V444" t="inlineStr">
        <is>
          <t>4/6</t>
        </is>
      </c>
      <c r="W444" t="inlineStr">
        <is>
          <t>.</t>
        </is>
      </c>
      <c r="X444" t="inlineStr">
        <is>
          <t>.</t>
        </is>
      </c>
      <c r="Y444" t="inlineStr">
        <is>
          <t>.</t>
        </is>
      </c>
      <c r="Z444" t="inlineStr">
        <is>
          <t>1/7</t>
        </is>
      </c>
      <c r="AA444" t="inlineStr">
        <is>
          <t>Uncertain significance</t>
        </is>
      </c>
      <c r="AB444" t="inlineStr">
        <is>
          <t>.</t>
        </is>
      </c>
      <c r="AC444" t="inlineStr">
        <is>
          <t>0/1</t>
        </is>
      </c>
      <c r="AD444" t="inlineStr">
        <is>
          <t>1</t>
        </is>
      </c>
      <c r="AE444" t="inlineStr">
        <is>
          <t>9.18622777225885e-09</t>
        </is>
      </c>
      <c r="AF444" t="inlineStr">
        <is>
          <t>sterile alpha and TIR motif containing 1</t>
        </is>
      </c>
      <c r="AG444" t="inlineStr">
        <is>
          <t xml:space="preserve">FUNCTION: Negative regulator of MYD88- and TRIF-dependent toll- like receptor signaling pathway which plays a pivotal role in activating axonal degeneration following injury. Promotes Wallerian degeneration an injury-induced axonal death pathway which involves degeneration of an axon distal to the injury site. Can activate neuronal death in response to stress. Regulates dendritic arborization through the MAPK4-JNK pathway. Involved in innate immune response. Inhibits both TICAM1/TRIF- and MYD88- dependent activation of JUN/AP-1, TRIF-dependent activation of NF- kappa-B and IRF3, and the phosphorylation of MAPK14/p38. {ECO:0000269|PubMed:15123841, ECO:0000269|PubMed:16964262, ECO:0000269|PubMed:16985498, ECO:0000269|PubMed:20306472}.; </t>
        </is>
      </c>
      <c r="AH444" t="inlineStr">
        <is>
          <t>.</t>
        </is>
      </c>
      <c r="AI444" t="inlineStr">
        <is>
          <t>.</t>
        </is>
      </c>
      <c r="AJ444" t="inlineStr">
        <is>
          <t>.</t>
        </is>
      </c>
      <c r="AK444" t="inlineStr">
        <is>
          <t>.</t>
        </is>
      </c>
      <c r="AL444" t="inlineStr">
        <is>
          <t>.</t>
        </is>
      </c>
    </row>
    <row r="445">
      <c r="A445" t="inlineStr"/>
      <c r="B445">
        <f>HYPERLINK("https://genome.ucsc.edu/cgi-bin/hgTracks?db=hg19&amp;position=chr17%3A26970237%2D26970237", "chr17:26970237")</f>
        <v/>
      </c>
      <c r="C445" t="inlineStr">
        <is>
          <t>chr17</t>
        </is>
      </c>
      <c r="D445" t="n">
        <v>26970237</v>
      </c>
      <c r="E445" t="n">
        <v>26970237</v>
      </c>
      <c r="F445" t="inlineStr">
        <is>
          <t>C</t>
        </is>
      </c>
      <c r="G445" t="inlineStr">
        <is>
          <t>A</t>
        </is>
      </c>
      <c r="H445" t="inlineStr">
        <is>
          <t>430.64</t>
        </is>
      </c>
      <c r="I445" t="inlineStr">
        <is>
          <t>192</t>
        </is>
      </c>
      <c r="J445" t="inlineStr">
        <is>
          <t>160,32</t>
        </is>
      </c>
      <c r="K445" t="inlineStr">
        <is>
          <t>.</t>
        </is>
      </c>
      <c r="L445">
        <f>HYPERLINK("https://www.ncbi.nlm.nih.gov/snp/rs139022939", "rs139022939")</f>
        <v/>
      </c>
      <c r="M445">
        <f>HYPERLINK("https://www.genecards.org/Search/Keyword?queryString=%5Baliases%5D(%20KIAA0100%20)&amp;keywords=KIAA0100", "KIAA0100")</f>
        <v/>
      </c>
      <c r="N445" t="inlineStr">
        <is>
          <t>exonic</t>
        </is>
      </c>
      <c r="O445" t="inlineStr">
        <is>
          <t>nonsynonymous SNV</t>
        </is>
      </c>
      <c r="P445" t="inlineStr">
        <is>
          <t>KIAA0100:NM_001321560:exon4:c.G341T:p.G114V,KIAA0100:NM_001321561:exon4:c.G341T:p.G114V,KIAA0100:NM_014680:exon4:c.G341T:p.G114V;KIAA0100:uc002hbu.3:exon4:c.G341T:p.G114V,KIAA0100:uc002hbv.3:exon4:c.G341T:p.G114V;KIAA0100:ENST00000528896.7_5:exon4:c.G341T:p.G114V</t>
        </is>
      </c>
      <c r="Q445" t="n">
        <v>0.0019</v>
      </c>
      <c r="R445" t="n">
        <v>0.0015</v>
      </c>
      <c r="S445" t="n">
        <v>0.0021</v>
      </c>
      <c r="T445" t="n">
        <v>-1</v>
      </c>
      <c r="U445" t="n">
        <v>0.0015</v>
      </c>
      <c r="V445" t="inlineStr">
        <is>
          <t>3/11</t>
        </is>
      </c>
      <c r="W445" t="inlineStr">
        <is>
          <t>.</t>
        </is>
      </c>
      <c r="X445" t="inlineStr">
        <is>
          <t>.</t>
        </is>
      </c>
      <c r="Y445" t="inlineStr">
        <is>
          <t>.</t>
        </is>
      </c>
      <c r="Z445" t="inlineStr">
        <is>
          <t>1/7</t>
        </is>
      </c>
      <c r="AA445" t="inlineStr">
        <is>
          <t>Uncertain significance</t>
        </is>
      </c>
      <c r="AB445" t="inlineStr">
        <is>
          <t>.</t>
        </is>
      </c>
      <c r="AC445" t="inlineStr">
        <is>
          <t>0/1</t>
        </is>
      </c>
      <c r="AD445" t="inlineStr">
        <is>
          <t>1</t>
        </is>
      </c>
      <c r="AE445" t="inlineStr">
        <is>
          <t>0.26524374601424</t>
        </is>
      </c>
      <c r="AF445" t="inlineStr">
        <is>
          <t>KIAA0100</t>
        </is>
      </c>
      <c r="AG445" t="inlineStr">
        <is>
          <t xml:space="preserve">FUNCTION: May be involved in membrane trafficking. {ECO:0000250|UniProtKB:K7VLR4}.; </t>
        </is>
      </c>
      <c r="AH445" t="inlineStr">
        <is>
          <t>.</t>
        </is>
      </c>
      <c r="AI445" t="inlineStr">
        <is>
          <t>.</t>
        </is>
      </c>
      <c r="AJ445" t="inlineStr">
        <is>
          <t>.</t>
        </is>
      </c>
      <c r="AK445" t="inlineStr">
        <is>
          <t>.</t>
        </is>
      </c>
      <c r="AL445" t="inlineStr">
        <is>
          <t>.</t>
        </is>
      </c>
    </row>
    <row r="446">
      <c r="A446" t="inlineStr"/>
      <c r="B446">
        <f>HYPERLINK("https://genome.ucsc.edu/cgi-bin/hgTracks?db=hg19&amp;position=chr17%3A27065916%2D27065916", "chr17:27065916")</f>
        <v/>
      </c>
      <c r="C446" t="inlineStr">
        <is>
          <t>chr17</t>
        </is>
      </c>
      <c r="D446" t="n">
        <v>27065916</v>
      </c>
      <c r="E446" t="n">
        <v>27065916</v>
      </c>
      <c r="F446" t="inlineStr">
        <is>
          <t>C</t>
        </is>
      </c>
      <c r="G446" t="inlineStr">
        <is>
          <t>T</t>
        </is>
      </c>
      <c r="H446" t="inlineStr">
        <is>
          <t>787.75</t>
        </is>
      </c>
      <c r="I446" t="inlineStr">
        <is>
          <t>26</t>
        </is>
      </c>
      <c r="J446" t="inlineStr">
        <is>
          <t>3,23</t>
        </is>
      </c>
      <c r="K446" t="inlineStr">
        <is>
          <t>.</t>
        </is>
      </c>
      <c r="L446">
        <f>HYPERLINK("https://www.ncbi.nlm.nih.gov/snp/rs17720850", "rs17720850")</f>
        <v/>
      </c>
      <c r="M446">
        <f>HYPERLINK("https://www.genecards.org/Search/Keyword?queryString=%5Baliases%5D(%20NEK8%20)&amp;keywords=NEK8", "NEK8")</f>
        <v/>
      </c>
      <c r="N446" t="inlineStr">
        <is>
          <t>intronic;ncRNA_intronic</t>
        </is>
      </c>
      <c r="O446" t="inlineStr">
        <is>
          <t>.</t>
        </is>
      </c>
      <c r="P446" t="inlineStr">
        <is>
          <t>.</t>
        </is>
      </c>
      <c r="Q446" t="n">
        <v>0.009046</v>
      </c>
      <c r="R446" t="n">
        <v>0.0068</v>
      </c>
      <c r="S446" t="n">
        <v>0.0077</v>
      </c>
      <c r="T446" t="n">
        <v>-1</v>
      </c>
      <c r="U446" t="n">
        <v>0.0053</v>
      </c>
      <c r="V446" t="inlineStr">
        <is>
          <t>.</t>
        </is>
      </c>
      <c r="W446" t="inlineStr">
        <is>
          <t>.</t>
        </is>
      </c>
      <c r="X446" t="inlineStr">
        <is>
          <t>.</t>
        </is>
      </c>
      <c r="Y446" t="inlineStr">
        <is>
          <t>.</t>
        </is>
      </c>
      <c r="Z446" t="inlineStr">
        <is>
          <t>.</t>
        </is>
      </c>
      <c r="AA446" t="inlineStr">
        <is>
          <t>.</t>
        </is>
      </c>
      <c r="AB446" t="inlineStr">
        <is>
          <t>.</t>
        </is>
      </c>
      <c r="AC446" t="inlineStr">
        <is>
          <t>0/1</t>
        </is>
      </c>
      <c r="AD446" t="inlineStr">
        <is>
          <t>1</t>
        </is>
      </c>
      <c r="AE446" t="inlineStr">
        <is>
          <t>1.56481397745759e-06</t>
        </is>
      </c>
      <c r="AF446" t="inlineStr">
        <is>
          <t>NIMA related kinase 8</t>
        </is>
      </c>
      <c r="AG446" t="inlineStr">
        <is>
          <t xml:space="preserve">FUNCTION: Required for renal tubular integrity. May regulate local cytoskeletal structure in kidney tubule epithelial cells. May regulate ciliary biogenesis through targeting of proteins to the cilia (By similarity). Plays a role in organogenesis and is involved in the regulation of the Hippo signaling pathway. {ECO:0000250, ECO:0000269|PubMed:23418306}.; </t>
        </is>
      </c>
      <c r="AH446" t="inlineStr">
        <is>
          <t xml:space="preserve">DISEASE: Renal-hepatic-pancreatic dysplasia 2 (RHPD2) [MIM:615415]: A form of renal-hepatic-pancreatic dysplasia, a disease characterized by cystic malformations of the kidneys, liver, and pancreas. The pathological findings consist of multicystic dysplastic kidneys, dilated and dysgenetic bile ducts, a dysplastic pancreas with dilated ducts, cysts, fibrosis and inflammatory infiltrates. {ECO:0000269|PubMed:23418306}. Note=The disease is caused by mutations affecting the gene represented in this entry.; </t>
        </is>
      </c>
      <c r="AI446" t="inlineStr">
        <is>
          <t>.</t>
        </is>
      </c>
      <c r="AJ446" t="inlineStr">
        <is>
          <t>.</t>
        </is>
      </c>
      <c r="AK446" t="inlineStr">
        <is>
          <t>.</t>
        </is>
      </c>
      <c r="AL446" t="inlineStr">
        <is>
          <t>.</t>
        </is>
      </c>
    </row>
    <row r="447">
      <c r="A447" t="inlineStr"/>
      <c r="B447">
        <f>HYPERLINK("https://genome.ucsc.edu/cgi-bin/hgTracks?db=hg19&amp;position=chr17%3A27425854%2D27425854", "chr17:27425854")</f>
        <v/>
      </c>
      <c r="C447" t="inlineStr">
        <is>
          <t>chr17</t>
        </is>
      </c>
      <c r="D447" t="n">
        <v>27425854</v>
      </c>
      <c r="E447" t="n">
        <v>27425854</v>
      </c>
      <c r="F447" t="inlineStr">
        <is>
          <t>C</t>
        </is>
      </c>
      <c r="G447" t="inlineStr">
        <is>
          <t>T</t>
        </is>
      </c>
      <c r="H447" t="inlineStr">
        <is>
          <t>2359.64</t>
        </is>
      </c>
      <c r="I447" t="inlineStr">
        <is>
          <t>134</t>
        </is>
      </c>
      <c r="J447" t="inlineStr">
        <is>
          <t>36,98</t>
        </is>
      </c>
      <c r="K447" t="inlineStr">
        <is>
          <t>.</t>
        </is>
      </c>
      <c r="L447">
        <f>HYPERLINK("https://www.ncbi.nlm.nih.gov/snp/rs76590796", "rs76590796")</f>
        <v/>
      </c>
      <c r="M447">
        <f>HYPERLINK("https://www.genecards.org/Search/Keyword?queryString=%5Baliases%5D(%20MYO18A%20)&amp;keywords=MYO18A", "MYO18A")</f>
        <v/>
      </c>
      <c r="N447" t="inlineStr">
        <is>
          <t>exonic</t>
        </is>
      </c>
      <c r="O447" t="inlineStr">
        <is>
          <t>nonsynonymous SNV</t>
        </is>
      </c>
      <c r="P447" t="inlineStr">
        <is>
          <t>MYO18A:NM_001346767:exon23:c.G3770A:p.R1257Q,MYO18A:NM_001346768:exon23:c.G2396A:p.R799Q,MYO18A:NM_078471:exon23:c.G3770A:p.R1257Q,MYO18A:NM_203318:exon23:c.G3770A:p.R1257Q,MYO18A:NM_001346766:exon24:c.G3806A:p.R1269Q,MYO18A:NM_001346765:exon25:c.G3827A:p.R1276Q;MYO18A:uc010wbc.1:exon19:c.G2396A:p.R799Q,MYO18A:uc010wbd.1:exon22:c.G2777A:p.R926Q,MYO18A:uc002hds.2:exon23:c.G2396A:p.R799Q,MYO18A:uc002hdt.1:exon23:c.G3770A:p.R1257Q,MYO18A:uc002hdu.1:exon23:c.G3770A:p.R1257Q,MYO18A:uc010csa.1:exon23:c.G3770A:p.R1257Q;MYO18A:ENST00000527372.7_7:exon23:c.G3770A:p.R1257Q,MYO18A:ENST00000531253.5_5:exon23:c.G3770A:p.R1257Q,MYO18A:ENST00000533112.5_5:exon23:c.G3770A:p.R1257Q</t>
        </is>
      </c>
      <c r="Q447" t="n">
        <v>0.006</v>
      </c>
      <c r="R447" t="n">
        <v>0.0027</v>
      </c>
      <c r="S447" t="n">
        <v>0.0035</v>
      </c>
      <c r="T447" t="n">
        <v>-1</v>
      </c>
      <c r="U447" t="n">
        <v>0.0025</v>
      </c>
      <c r="V447" t="inlineStr">
        <is>
          <t>11/11</t>
        </is>
      </c>
      <c r="W447" t="inlineStr">
        <is>
          <t>.</t>
        </is>
      </c>
      <c r="X447" t="inlineStr">
        <is>
          <t>.</t>
        </is>
      </c>
      <c r="Y447" t="inlineStr">
        <is>
          <t>.</t>
        </is>
      </c>
      <c r="Z447" t="inlineStr">
        <is>
          <t>5/7</t>
        </is>
      </c>
      <c r="AA447" t="inlineStr">
        <is>
          <t>Uncertain significance</t>
        </is>
      </c>
      <c r="AB447" t="inlineStr">
        <is>
          <t>Likely_benign</t>
        </is>
      </c>
      <c r="AC447" t="inlineStr">
        <is>
          <t>0/1</t>
        </is>
      </c>
      <c r="AD447" t="inlineStr">
        <is>
          <t>1</t>
        </is>
      </c>
      <c r="AE447" t="inlineStr">
        <is>
          <t>0.999417503618365</t>
        </is>
      </c>
      <c r="AF447" t="inlineStr">
        <is>
          <t>myosin XVIIIA</t>
        </is>
      </c>
      <c r="AG447" t="inlineStr">
        <is>
          <t xml:space="preserve">FUNCTION: May link Golgi membranes to the cytoskeleton and participate in the tensile force required for vesicle budding from the Golgi. Thereby, may play a role in Golgi membrane trafficking and could indirectly give its flattened shape to the Golgi apparatus. Alternatively, in concert with LURAP1 and CDC42BPA/CDC42BPB, has been involved in modulating lamellar actomyosin retrograde flow that is crucial to cell protrusion and migration. May be involved in the maintenance of the stromal cell architectures required for cell to cell contact. {ECO:0000269|PubMed:18854160, ECO:0000269|PubMed:19837035, ECO:0000269|PubMed:23345592}.; </t>
        </is>
      </c>
      <c r="AH447" t="inlineStr">
        <is>
          <t>.</t>
        </is>
      </c>
      <c r="AI447" t="inlineStr">
        <is>
          <t>.</t>
        </is>
      </c>
      <c r="AJ447" t="inlineStr">
        <is>
          <t>.</t>
        </is>
      </c>
      <c r="AK447" t="inlineStr">
        <is>
          <t>.</t>
        </is>
      </c>
      <c r="AL447" t="inlineStr">
        <is>
          <t>.</t>
        </is>
      </c>
    </row>
    <row r="448">
      <c r="A448" t="inlineStr"/>
      <c r="B448">
        <f>HYPERLINK("https://genome.ucsc.edu/cgi-bin/hgTracks?db=hg19&amp;position=chr17%3A29422306%2D29422306", "chr17:29422306")</f>
        <v/>
      </c>
      <c r="C448" t="inlineStr">
        <is>
          <t>chr17</t>
        </is>
      </c>
      <c r="D448" t="n">
        <v>29422306</v>
      </c>
      <c r="E448" t="n">
        <v>29422306</v>
      </c>
      <c r="F448" t="inlineStr">
        <is>
          <t>G</t>
        </is>
      </c>
      <c r="G448" t="inlineStr">
        <is>
          <t>C</t>
        </is>
      </c>
      <c r="H448" t="inlineStr">
        <is>
          <t>982.64</t>
        </is>
      </c>
      <c r="I448" t="inlineStr">
        <is>
          <t>53</t>
        </is>
      </c>
      <c r="J448" t="inlineStr">
        <is>
          <t>14,39</t>
        </is>
      </c>
      <c r="K448" t="inlineStr">
        <is>
          <t>.</t>
        </is>
      </c>
      <c r="L448">
        <f>HYPERLINK("https://www.ncbi.nlm.nih.gov/snp/rs556823296", "rs556823296")</f>
        <v/>
      </c>
      <c r="M448">
        <f>HYPERLINK("https://www.genecards.org/Search/Keyword?queryString=%5Baliases%5D(%20NF1%20)&amp;keywords=NF1", "NF1")</f>
        <v/>
      </c>
      <c r="N448" t="inlineStr">
        <is>
          <t>UTR5;ncRNA_exonic</t>
        </is>
      </c>
      <c r="O448" t="inlineStr">
        <is>
          <t>.</t>
        </is>
      </c>
      <c r="P448" t="inlineStr">
        <is>
          <t>NM_000267:c.-22G&gt;C;NM_001128147:c.-22G&gt;C;NM_001042492:c.-22G&gt;C;uc002hge.2:c.-22G&gt;C;uc002hgf.2:c.-22G&gt;C;uc002hgg.3:c.-22G&gt;C;uc002hgh.3:c.-22G&gt;C</t>
        </is>
      </c>
      <c r="Q448" t="n">
        <v>0.0061</v>
      </c>
      <c r="R448" t="n">
        <v>0.0043</v>
      </c>
      <c r="S448" t="n">
        <v>0.0051</v>
      </c>
      <c r="T448" t="n">
        <v>-1</v>
      </c>
      <c r="U448" t="n">
        <v>0.0041</v>
      </c>
      <c r="V448" t="inlineStr">
        <is>
          <t>.</t>
        </is>
      </c>
      <c r="W448" t="inlineStr">
        <is>
          <t>.</t>
        </is>
      </c>
      <c r="X448" t="inlineStr">
        <is>
          <t>.</t>
        </is>
      </c>
      <c r="Y448" t="inlineStr">
        <is>
          <t>.</t>
        </is>
      </c>
      <c r="Z448" t="inlineStr">
        <is>
          <t>.</t>
        </is>
      </c>
      <c r="AA448" t="inlineStr">
        <is>
          <t>.</t>
        </is>
      </c>
      <c r="AB448" t="inlineStr">
        <is>
          <t>Likely_benign</t>
        </is>
      </c>
      <c r="AC448" t="inlineStr">
        <is>
          <t>0/1</t>
        </is>
      </c>
      <c r="AD448" t="inlineStr">
        <is>
          <t>1</t>
        </is>
      </c>
      <c r="AE448" t="inlineStr">
        <is>
          <t>0.999999845570262</t>
        </is>
      </c>
      <c r="AF448" t="inlineStr">
        <is>
          <t>neurofibromin 1</t>
        </is>
      </c>
      <c r="AG448" t="inlineStr">
        <is>
          <t xml:space="preserve">FUNCTION: Stimulates the GTPase activity of Ras. NF1 shows greater affinity for Ras GAP, but lower specific activity. May be a regulator of Ras activity. {ECO:0000269|PubMed:2121371, ECO:0000269|PubMed:8417346}.; </t>
        </is>
      </c>
      <c r="AH448" t="inlineStr">
        <is>
          <t xml:space="preserve">DISEASE: Neurofibromatosis 1 (NF1) [MIM:162200]: A disease characterized by patches of skin pigmentation (cafe-au-lait spots), Lisch nodules of the iris, tumors in the peripheral nervous system and fibromatous skin tumors. Individuals with the disorder have increased susceptibility to the development of benign and malignant tumors. {ECO:0000269|PubMed:10220149, ECO:0000269|PubMed:10336779, ECO:0000269|PubMed:10607834, ECO:0000269|PubMed:10712197, ECO:0000269|PubMed:10980545, ECO:0000269|PubMed:11258625, ECO:0000269|PubMed:11735023, ECO:0000269|PubMed:11857752, ECO:0000269|PubMed:12522551, ECO:0000269|PubMed:12552569, ECO:0000269|PubMed:12746402, ECO:0000269|PubMed:1302608, ECO:0000269|PubMed:15060124, ECO:0000269|PubMed:15146469, ECO:0000269|PubMed:15520408, ECO:0000269|PubMed:15523642, ECO:0000269|PubMed:15948193, ECO:0000269|PubMed:17160901, ECO:0000269|PubMed:2114220, ECO:0000269|PubMed:21838856, ECO:0000269|PubMed:23758643, ECO:0000269|PubMed:24413922, ECO:0000269|PubMed:7981679, ECO:0000269|PubMed:8081387, ECO:0000269|PubMed:8544190, ECO:0000269|PubMed:8807336, ECO:0000269|PubMed:8834249, ECO:0000269|PubMed:9003501, ECO:0000269|PubMed:9101300, ECO:0000269|PubMed:9150739, ECO:0000269|PubMed:9298829, ECO:0000269|PubMed:9668168}. Note=The disease is caused by mutations affecting the gene represented in this entry.; DISEASE: Leukemia, juvenile myelomonocytic (JMML) [MIM:607785]: An aggressive pediatric myelodysplastic syndrome/myeloproliferative disorder characterized by malignant transformation in the hematopoietic stem cell compartment with proliferation of differentiated progeny. Patients have splenomegaly, enlarged lymph nodes, rashes, and hemorrhages. Note=The disease is caused by mutations affecting the gene represented in this entry.; DISEASE: Watson syndrome (WTSN) [MIM:193520]: A syndrome characterized by the presence of pulmonary stenosis, cafe-au-lait spots, and mental retardation. It is considered as an atypical form of neurofibromatosis. Note=The disease is caused by mutations affecting the gene represented in this entry.; DISEASE: Familial spinal neurofibromatosis (FSNF) [MIM:162210]: Considered to be an alternative form of neurofibromatosis, showing multiple spinal tumors. {ECO:0000269|PubMed:11704931}. Note=The disease is caused by mutations affecting the gene represented in this entry.; DISEASE: Neurofibromatosis-Noonan syndrome (NFNS) [MIM:601321]: Characterized by manifestations of both NF1 and Noonan syndrome (NS). NS is a disorder characterized by dysmorphic facial features, short stature, hypertelorism, cardiac anomalies, deafness, motor delay, and a bleeding diathesis. {ECO:0000269|PubMed:12707950, ECO:0000269|PubMed:16380919, ECO:0000269|PubMed:19845691}. Note=The disease is caused by mutations affecting the gene represented in this entry.; DISEASE: Colorectal cancer (CRC) [MIM:114500]: A complex disease characterized by malignant lesions arising from the inner wall of the large intestine (the colon) and the rectum. Genetic alterations are often associated with progression from premalignant lesion (adenoma) to invasive adenocarcinoma. Risk factors for cancer of the colon and rectum include colon polyps, long-standing ulcerative colitis, and genetic family history. Note=The gene represented in this entry may be involved in disease pathogenesis.; </t>
        </is>
      </c>
      <c r="AI448" t="inlineStr">
        <is>
          <t>.</t>
        </is>
      </c>
      <c r="AJ448" t="inlineStr">
        <is>
          <t>.</t>
        </is>
      </c>
      <c r="AK448" t="inlineStr">
        <is>
          <t>.</t>
        </is>
      </c>
      <c r="AL448" t="inlineStr">
        <is>
          <t>.</t>
        </is>
      </c>
    </row>
    <row r="449">
      <c r="A449" t="inlineStr"/>
      <c r="B449">
        <f>HYPERLINK("https://genome.ucsc.edu/cgi-bin/hgTracks?db=hg19&amp;position=chr17%3A30205515%2D30205515", "chr17:30205515")</f>
        <v/>
      </c>
      <c r="C449" t="inlineStr">
        <is>
          <t>chr17</t>
        </is>
      </c>
      <c r="D449" t="n">
        <v>30205515</v>
      </c>
      <c r="E449" t="n">
        <v>30205515</v>
      </c>
      <c r="F449" t="inlineStr">
        <is>
          <t>A</t>
        </is>
      </c>
      <c r="G449" t="inlineStr">
        <is>
          <t>T</t>
        </is>
      </c>
      <c r="H449" t="inlineStr">
        <is>
          <t>82.64</t>
        </is>
      </c>
      <c r="I449" t="inlineStr">
        <is>
          <t>12</t>
        </is>
      </c>
      <c r="J449" t="inlineStr">
        <is>
          <t>9,3</t>
        </is>
      </c>
      <c r="K449" t="inlineStr">
        <is>
          <t>.</t>
        </is>
      </c>
      <c r="L449">
        <f>HYPERLINK("https://www.ncbi.nlm.nih.gov/snp/rs947644982", "rs947644982")</f>
        <v/>
      </c>
      <c r="M449">
        <f>HYPERLINK("https://www.genecards.org/Search/Keyword?queryString=%5Baliases%5D(%20UTP6%20)&amp;keywords=UTP6", "UTP6")</f>
        <v/>
      </c>
      <c r="N449" t="inlineStr">
        <is>
          <t>intronic;ncRNA_intronic</t>
        </is>
      </c>
      <c r="O449" t="inlineStr">
        <is>
          <t>.</t>
        </is>
      </c>
      <c r="P449" t="inlineStr">
        <is>
          <t>.</t>
        </is>
      </c>
      <c r="Q449" t="n">
        <v>-1</v>
      </c>
      <c r="R449" t="n">
        <v>-1</v>
      </c>
      <c r="S449" t="n">
        <v>-1</v>
      </c>
      <c r="T449" t="n">
        <v>-1</v>
      </c>
      <c r="U449" t="n">
        <v>-1</v>
      </c>
      <c r="V449" t="inlineStr">
        <is>
          <t>.</t>
        </is>
      </c>
      <c r="W449" t="inlineStr">
        <is>
          <t>.</t>
        </is>
      </c>
      <c r="X449" t="inlineStr">
        <is>
          <t>PD</t>
        </is>
      </c>
      <c r="Y449" t="inlineStr">
        <is>
          <t>off</t>
        </is>
      </c>
      <c r="Z449" t="inlineStr">
        <is>
          <t>.</t>
        </is>
      </c>
      <c r="AA449" t="inlineStr">
        <is>
          <t>.</t>
        </is>
      </c>
      <c r="AB449" t="inlineStr">
        <is>
          <t>.</t>
        </is>
      </c>
      <c r="AC449" t="inlineStr">
        <is>
          <t>0/1</t>
        </is>
      </c>
      <c r="AD449" t="inlineStr">
        <is>
          <t>1</t>
        </is>
      </c>
      <c r="AE449" t="inlineStr">
        <is>
          <t>4.82881497097119e-06</t>
        </is>
      </c>
      <c r="AF449" t="inlineStr">
        <is>
          <t>UTP6, small subunit processome component</t>
        </is>
      </c>
      <c r="AG449" t="inlineStr">
        <is>
          <t xml:space="preserve">FUNCTION: Involved in nucleolar processing of pre-18S ribosomal RNA. {ECO:0000250}.; </t>
        </is>
      </c>
      <c r="AH449" t="inlineStr">
        <is>
          <t>.</t>
        </is>
      </c>
      <c r="AI449" t="inlineStr">
        <is>
          <t>.</t>
        </is>
      </c>
      <c r="AJ449" t="inlineStr">
        <is>
          <t>.</t>
        </is>
      </c>
      <c r="AK449" t="inlineStr">
        <is>
          <t>.</t>
        </is>
      </c>
      <c r="AL449" t="inlineStr">
        <is>
          <t>.</t>
        </is>
      </c>
    </row>
    <row r="450">
      <c r="A450" t="inlineStr"/>
      <c r="B450">
        <f>HYPERLINK("https://genome.ucsc.edu/cgi-bin/hgTracks?db=hg19&amp;position=chr17%3A33430313%2D33430313", "chr17:33430313")</f>
        <v/>
      </c>
      <c r="C450" t="inlineStr">
        <is>
          <t>chr17</t>
        </is>
      </c>
      <c r="D450" t="n">
        <v>33430313</v>
      </c>
      <c r="E450" t="n">
        <v>33430313</v>
      </c>
      <c r="F450" t="inlineStr">
        <is>
          <t>T</t>
        </is>
      </c>
      <c r="G450" t="inlineStr">
        <is>
          <t>C</t>
        </is>
      </c>
      <c r="H450" t="inlineStr">
        <is>
          <t>2234.64</t>
        </is>
      </c>
      <c r="I450" t="inlineStr">
        <is>
          <t>124</t>
        </is>
      </c>
      <c r="J450" t="inlineStr">
        <is>
          <t>42,82</t>
        </is>
      </c>
      <c r="K450" t="inlineStr">
        <is>
          <t>CM045804</t>
        </is>
      </c>
      <c r="L450">
        <f>HYPERLINK("https://www.ncbi.nlm.nih.gov/snp/rs28363284", "rs28363284")</f>
        <v/>
      </c>
      <c r="M450">
        <f>HYPERLINK("https://www.genecards.org/Search/Keyword?queryString=%5Baliases%5D(%20RAD51D%20)%20OR%20%5Baliases%5D(%20RAD51L3-RFFL%20)&amp;keywords=RAD51D,RAD51L3-RFFL", "RAD51D;RAD51L3-RFFL")</f>
        <v/>
      </c>
      <c r="N450" t="inlineStr">
        <is>
          <t>exonic</t>
        </is>
      </c>
      <c r="O450" t="inlineStr">
        <is>
          <t>nonsynonymous SNV</t>
        </is>
      </c>
      <c r="P450" t="inlineStr">
        <is>
          <t>RAD51D:NM_133629:exon5:c.A362G:p.E121G,RAD51D:NM_001142571:exon8:c.A758G:p.E253G,RAD51D:NM_002878:exon8:c.A698G:p.E233G;RAD51L3-RFFL:uc002hiq.2:exon4:c.A221G:p.E74G,RAD51D:uc002his.2:exon5:c.A362G:p.E121G,RAD51D:uc002hiu.2:exon6:c.A167G:p.E56G,RAD51D:uc002hit.2:exon7:c.A341G:p.E114G,RAD51D:uc010ctk.2:exon7:c.A341G:p.E114G,RAD51D:uc002hir.2:exon8:c.A698G:p.E233G,RAD51D:uc010wcd.1:exon8:c.A758G:p.E253G,RAD51D:uc010wce.1:exon8:c.A341G:p.E114G;ENSG00000267618:ENST00000593039.5_8:exon4:c.A221G:p.E74G,RAD51D:ENST00000335858.11_3:exon5:c.A362G:p.E121G,RAD51D:ENST00000460118.6_3:exon7:c.A167G:p.E56G,RAD51D:ENST00000345365.11_5:exon8:c.A698G:p.E233G,RAD51D:ENST00000590016.5_3:exon8:c.A758G:p.E253G,RAD51D:ENST00000394589.8_3:exon9:c.A698G:p.E233G</t>
        </is>
      </c>
      <c r="Q450" t="n">
        <v>0.017241</v>
      </c>
      <c r="R450" t="n">
        <v>0.0143</v>
      </c>
      <c r="S450" t="n">
        <v>0.0165</v>
      </c>
      <c r="T450" t="n">
        <v>-1</v>
      </c>
      <c r="U450" t="n">
        <v>0.009599999999999999</v>
      </c>
      <c r="V450" t="inlineStr">
        <is>
          <t>5/10</t>
        </is>
      </c>
      <c r="W450" t="inlineStr">
        <is>
          <t>.</t>
        </is>
      </c>
      <c r="X450" t="inlineStr">
        <is>
          <t>.</t>
        </is>
      </c>
      <c r="Y450" t="inlineStr">
        <is>
          <t>.</t>
        </is>
      </c>
      <c r="Z450" t="inlineStr">
        <is>
          <t>3/7</t>
        </is>
      </c>
      <c r="AA450" t="inlineStr">
        <is>
          <t>Likely benign</t>
        </is>
      </c>
      <c r="AB450" t="inlineStr">
        <is>
          <t>Benign/Likely_benign</t>
        </is>
      </c>
      <c r="AC450" t="inlineStr">
        <is>
          <t>0/1</t>
        </is>
      </c>
      <c r="AD450" t="inlineStr">
        <is>
          <t>1;1</t>
        </is>
      </c>
      <c r="AE450" t="inlineStr">
        <is>
          <t>6.18804564528162e-07</t>
        </is>
      </c>
      <c r="AF450" t="inlineStr">
        <is>
          <t>RAD51 paralog D</t>
        </is>
      </c>
      <c r="AG450" t="inlineStr">
        <is>
          <t xml:space="preserve">FUNCTION: Involved in the homologous recombination repair (HRR) pathway of double-stranded DNA breaks arising during DNA replication or induced by DNA-damaging agents. Bind to single- stranded DNA (ssDNA) and has DNA-dependent ATPase activity. Part of the Rad21 paralog protein complex BCDX2 which acts in the BRCA1-BRCA2-dependent HR pathway. Upon DNA damage, BCDX2 acts downstream of BRCA2 recruitment and upstream of RAD51 recruitment. BCDX2 binds predominantly to the intersection of the four duplex arms of the Holliday junction and to junction of replication forks. The BCDX2 complex was originally reported to bind single- stranded DNA, single-stranded gaps in duplex DNA and specifically to nicks in duplex DNA. Involved in telomere maintenance. The BCDX2 subcomplex XRCC2:RAD51D can stimulate Holliday junction resolution by BLM. {ECO:0000269|PubMed:10871607, ECO:0000269|PubMed:11751635, ECO:0000269|PubMed:11834724, ECO:0000269|PubMed:11842113, ECO:0000269|PubMed:12975363, ECO:0000269|PubMed:15109494, ECO:0000269|PubMed:23149936}.; </t>
        </is>
      </c>
      <c r="AH450" t="inlineStr">
        <is>
          <t>.</t>
        </is>
      </c>
      <c r="AI450" t="inlineStr">
        <is>
          <t>.</t>
        </is>
      </c>
      <c r="AJ450" t="inlineStr">
        <is>
          <t>.</t>
        </is>
      </c>
      <c r="AK450" t="inlineStr">
        <is>
          <t>.</t>
        </is>
      </c>
      <c r="AL450" t="inlineStr">
        <is>
          <t>.</t>
        </is>
      </c>
    </row>
    <row r="451">
      <c r="A451" t="inlineStr"/>
      <c r="B451">
        <f>HYPERLINK("https://genome.ucsc.edu/cgi-bin/hgTracks?db=hg19&amp;position=chr17%3A34001246%2D34001246", "chr17:34001246")</f>
        <v/>
      </c>
      <c r="C451" t="inlineStr">
        <is>
          <t>chr17</t>
        </is>
      </c>
      <c r="D451" t="n">
        <v>34001246</v>
      </c>
      <c r="E451" t="n">
        <v>34001246</v>
      </c>
      <c r="F451" t="inlineStr">
        <is>
          <t>A</t>
        </is>
      </c>
      <c r="G451" t="inlineStr">
        <is>
          <t>G</t>
        </is>
      </c>
      <c r="H451" t="inlineStr">
        <is>
          <t>979.64</t>
        </is>
      </c>
      <c r="I451" t="inlineStr">
        <is>
          <t>141</t>
        </is>
      </c>
      <c r="J451" t="inlineStr">
        <is>
          <t>96,45</t>
        </is>
      </c>
      <c r="K451" t="inlineStr">
        <is>
          <t>.</t>
        </is>
      </c>
      <c r="L451">
        <f>HYPERLINK("https://www.ncbi.nlm.nih.gov/snp/rs147829807", "rs147829807")</f>
        <v/>
      </c>
      <c r="M451">
        <f>HYPERLINK("https://www.genecards.org/Search/Keyword?queryString=%5Baliases%5D(%20AP2B1%20)&amp;keywords=AP2B1", "AP2B1")</f>
        <v/>
      </c>
      <c r="N451" t="inlineStr">
        <is>
          <t>exonic</t>
        </is>
      </c>
      <c r="O451" t="inlineStr">
        <is>
          <t>nonsynonymous SNV</t>
        </is>
      </c>
      <c r="P451" t="inlineStr">
        <is>
          <t>AP2B1:NM_001282:exon16:c.A2188G:p.T730A,AP2B1:NM_001030006:exon17:c.A2230G:p.T744A;AP2B1:uc010wcj.2:exon13:c.A1441G:p.T481A,AP2B1:uc002hjr.3:exon16:c.A2188G:p.T730A,AP2B1:uc002hjq.3:exon17:c.A2230G:p.T744A,AP2B1:uc002hjs.3:exon17:c.A2017G:p.T673A,AP2B1:uc002hjt.3:exon17:c.A2230G:p.T744A,AP2B1:uc010ctv.3:exon17:c.A2230G:p.T744A,AP2B1:uc010wci.2:exon17:c.A2116G:p.T706A;AP2B1:ENST00000621914.4_3:exon16:c.A2188G:p.T730A,AP2B1:ENST00000610402.5_5:exon17:c.A2230G:p.T744A,AP2B1:ENST00000616681.4_1:exon17:c.A2116G:p.T706A,AP2B1:ENST00000618940.4_3:exon17:c.A2230G:p.T744A</t>
        </is>
      </c>
      <c r="Q451" t="n">
        <v>0.0014</v>
      </c>
      <c r="R451" t="n">
        <v>0.0003</v>
      </c>
      <c r="S451" t="n">
        <v>0.0002</v>
      </c>
      <c r="T451" t="n">
        <v>-1</v>
      </c>
      <c r="U451" t="n">
        <v>0.0004</v>
      </c>
      <c r="V451" t="inlineStr">
        <is>
          <t>4/8</t>
        </is>
      </c>
      <c r="W451" t="inlineStr">
        <is>
          <t>.</t>
        </is>
      </c>
      <c r="X451" t="inlineStr">
        <is>
          <t>.</t>
        </is>
      </c>
      <c r="Y451" t="inlineStr">
        <is>
          <t>.</t>
        </is>
      </c>
      <c r="Z451" t="inlineStr">
        <is>
          <t>5/7</t>
        </is>
      </c>
      <c r="AA451" t="inlineStr">
        <is>
          <t>Uncertain significance</t>
        </is>
      </c>
      <c r="AB451" t="inlineStr">
        <is>
          <t>.</t>
        </is>
      </c>
      <c r="AC451" t="inlineStr">
        <is>
          <t>0/1</t>
        </is>
      </c>
      <c r="AD451" t="inlineStr">
        <is>
          <t>1</t>
        </is>
      </c>
      <c r="AE451" t="inlineStr">
        <is>
          <t>0.999667233317167</t>
        </is>
      </c>
      <c r="AF451" t="inlineStr">
        <is>
          <t>adaptor related protein complex 2 beta 1 subunit</t>
        </is>
      </c>
      <c r="AG451" t="inlineStr">
        <is>
          <t xml:space="preserve">FUNCTION: Component of the adaptor protein complex 2 (AP-2). Adaptor protein complexes function in protein transport via transport vesicles in different membrane traffic pathways. Adaptor protein complexes are vesicle coat components and appear to be involved in cargo selection and vesicle formation. AP-2 is involved in clathrin-dependent endocytosis in which cargo proteins are incorporated into vesicles surrounded by clathrin (clathrin- coated vesicles, CCVs) which are destined for fusion with the early endosome. The clathrin lattice serves as a mechanical scaffold but is itself unable to bind directly to membrane components. Clathrin-associated adaptor protein (AP) complexes which can bind directly to both the clathrin lattice and to the lipid and protein components of membranes are considered to be the major clathrin adaptors contributing the CCV formation. AP-2 also serves as a cargo receptor to selectively sort the membrane proteins involved in receptor-mediated endocytosis. AP-2 seems to play a role in the recycling of synaptic vesicle membranes from the presynaptic surface. AP-2 recognizes Y-X-X-[FILMV] (Y-X-X-Phi) and [ED]-X-X-X-L-[LI] endocytosis signal motifs within the cytosolic tails of transmembrane cargo molecules. AP-2 may also play a role in maintaining normal post-endocytic trafficking through the ARF6-regulated, non-clathrin pathway. The AP-2 beta subunit acts via its C-terminal appendage domain as a scaffolding platform for endocytic accessory proteins; at least some clathrin- associated sorting proteins (CLASPs) are recognized by their [DE]- X(1,2)-F-X-X-[FL]-X-X-X-R motif. The AP-2 beta subunit binds to clathrin heavy chain, promoting clathrin lattice assembly; clathrin displaces at least some CLASPs from AP2B1 which probably then can be positioned for further coat assembly. {ECO:0000269|PubMed:14745134, ECO:0000269|PubMed:14985334, ECO:0000269|PubMed:15473838, ECO:0000269|PubMed:19033387}.; </t>
        </is>
      </c>
      <c r="AH451" t="inlineStr">
        <is>
          <t>.</t>
        </is>
      </c>
      <c r="AI451" t="inlineStr">
        <is>
          <t>.</t>
        </is>
      </c>
      <c r="AJ451" t="inlineStr">
        <is>
          <t>.</t>
        </is>
      </c>
      <c r="AK451" t="inlineStr">
        <is>
          <t>.</t>
        </is>
      </c>
      <c r="AL451" t="inlineStr">
        <is>
          <t>.</t>
        </is>
      </c>
    </row>
    <row r="452">
      <c r="A452" t="inlineStr"/>
      <c r="B452">
        <f>HYPERLINK("https://genome.ucsc.edu/cgi-bin/hgTracks?db=hg19&amp;position=chr17%3A36875827%2D36875827", "chr17:36875827")</f>
        <v/>
      </c>
      <c r="C452" t="inlineStr">
        <is>
          <t>chr17</t>
        </is>
      </c>
      <c r="D452" t="n">
        <v>36875827</v>
      </c>
      <c r="E452" t="n">
        <v>36875827</v>
      </c>
      <c r="F452" t="inlineStr">
        <is>
          <t>T</t>
        </is>
      </c>
      <c r="G452" t="inlineStr">
        <is>
          <t>C</t>
        </is>
      </c>
      <c r="H452" t="inlineStr">
        <is>
          <t>202.64</t>
        </is>
      </c>
      <c r="I452" t="inlineStr">
        <is>
          <t>66</t>
        </is>
      </c>
      <c r="J452" t="inlineStr">
        <is>
          <t>53,13</t>
        </is>
      </c>
      <c r="K452" t="inlineStr">
        <is>
          <t>.</t>
        </is>
      </c>
      <c r="L452">
        <f>HYPERLINK("https://www.ncbi.nlm.nih.gov/snp/rs62620198", "rs62620198")</f>
        <v/>
      </c>
      <c r="M452">
        <f>HYPERLINK("https://www.genecards.org/Search/Keyword?queryString=%5Baliases%5D(%20MLLT6%20)&amp;keywords=MLLT6", "MLLT6")</f>
        <v/>
      </c>
      <c r="N452" t="inlineStr">
        <is>
          <t>exonic</t>
        </is>
      </c>
      <c r="O452" t="inlineStr">
        <is>
          <t>nonsynonymous SNV</t>
        </is>
      </c>
      <c r="P452" t="inlineStr">
        <is>
          <t>MLLT6:NM_005937:exon13:c.T2000C:p.L667P;MLLT6:uc002hqj.3:exon4:c.T305C:p.L102P,MLLT6:uc002hqi.4:exon13:c.T2000C:p.L667P;MLLT6:ENST00000621332.5_6:exon13:c.T2000C:p.L667P</t>
        </is>
      </c>
      <c r="Q452" t="n">
        <v>0.0121</v>
      </c>
      <c r="R452" t="n">
        <v>0.0101</v>
      </c>
      <c r="S452" t="n">
        <v>0.0102</v>
      </c>
      <c r="T452" t="n">
        <v>-1</v>
      </c>
      <c r="U452" t="n">
        <v>0.0104</v>
      </c>
      <c r="V452" t="inlineStr">
        <is>
          <t>3/7</t>
        </is>
      </c>
      <c r="W452" t="inlineStr">
        <is>
          <t>.</t>
        </is>
      </c>
      <c r="X452" t="inlineStr">
        <is>
          <t>.</t>
        </is>
      </c>
      <c r="Y452" t="inlineStr">
        <is>
          <t>.</t>
        </is>
      </c>
      <c r="Z452" t="inlineStr">
        <is>
          <t>3/7</t>
        </is>
      </c>
      <c r="AA452" t="inlineStr">
        <is>
          <t>Uncertain significance</t>
        </is>
      </c>
      <c r="AB452" t="inlineStr">
        <is>
          <t>.</t>
        </is>
      </c>
      <c r="AC452" t="inlineStr">
        <is>
          <t>0/1</t>
        </is>
      </c>
      <c r="AD452" t="inlineStr">
        <is>
          <t>1</t>
        </is>
      </c>
      <c r="AE452" t="inlineStr">
        <is>
          <t>0.998762157265753</t>
        </is>
      </c>
      <c r="AF452" t="inlineStr">
        <is>
          <t>myeloid/lymphoid or mixed-lineage leukemia; translocated to, 6</t>
        </is>
      </c>
      <c r="AG452" t="inlineStr">
        <is>
          <t>.</t>
        </is>
      </c>
      <c r="AH452" t="inlineStr">
        <is>
          <t xml:space="preserve">DISEASE: Note=A chromosomal aberration involving MLLT6 is associated with acute leukemias. Translocation t(11;17)(q23;q21) with KMT2A/MLL1. The result is a rogue activator protein.; </t>
        </is>
      </c>
      <c r="AI452" t="inlineStr">
        <is>
          <t>.</t>
        </is>
      </c>
      <c r="AJ452" t="inlineStr">
        <is>
          <t>.</t>
        </is>
      </c>
      <c r="AK452" t="inlineStr">
        <is>
          <t>.</t>
        </is>
      </c>
      <c r="AL452" t="inlineStr">
        <is>
          <t>.</t>
        </is>
      </c>
    </row>
    <row r="453">
      <c r="A453" t="inlineStr"/>
      <c r="B453">
        <f>HYPERLINK("https://genome.ucsc.edu/cgi-bin/hgTracks?db=hg19&amp;position=chr17%3A39406231%2D39406231", "chr17:39406231")</f>
        <v/>
      </c>
      <c r="C453" t="inlineStr">
        <is>
          <t>chr17</t>
        </is>
      </c>
      <c r="D453" t="n">
        <v>39406231</v>
      </c>
      <c r="E453" t="n">
        <v>39406231</v>
      </c>
      <c r="F453" t="inlineStr">
        <is>
          <t>G</t>
        </is>
      </c>
      <c r="G453" t="inlineStr">
        <is>
          <t>T</t>
        </is>
      </c>
      <c r="H453" t="inlineStr">
        <is>
          <t>1664.64</t>
        </is>
      </c>
      <c r="I453" t="inlineStr">
        <is>
          <t>229</t>
        </is>
      </c>
      <c r="J453" t="inlineStr">
        <is>
          <t>151,78</t>
        </is>
      </c>
      <c r="K453" t="inlineStr">
        <is>
          <t>.</t>
        </is>
      </c>
      <c r="L453">
        <f>HYPERLINK("https://www.ncbi.nlm.nih.gov/snp/rs142016041", "rs142016041")</f>
        <v/>
      </c>
      <c r="M453">
        <f>HYPERLINK("https://www.genecards.org/Search/Keyword?queryString=%5Baliases%5D(%20KRTAP9-4%20)&amp;keywords=KRTAP9-4", "KRTAP9-4")</f>
        <v/>
      </c>
      <c r="N453" t="inlineStr">
        <is>
          <t>exonic</t>
        </is>
      </c>
      <c r="O453" t="inlineStr">
        <is>
          <t>nonsynonymous SNV</t>
        </is>
      </c>
      <c r="P453" t="inlineStr">
        <is>
          <t>KRTAP9-4:NM_033191:exon1:c.G259T:p.G87W;KRTAP9-4:uc002hwi.3:exon1:c.G259T:p.G87W;KRTAP9-4:ENST00000334109.3_3:exon1:c.G259T:p.G87W</t>
        </is>
      </c>
      <c r="Q453" t="n">
        <v>0.0112</v>
      </c>
      <c r="R453" t="n">
        <v>0.0053</v>
      </c>
      <c r="S453" t="n">
        <v>0.0054</v>
      </c>
      <c r="T453" t="n">
        <v>-1</v>
      </c>
      <c r="U453" t="n">
        <v>0.0058</v>
      </c>
      <c r="V453" t="inlineStr">
        <is>
          <t>4/10</t>
        </is>
      </c>
      <c r="W453" t="inlineStr">
        <is>
          <t>.</t>
        </is>
      </c>
      <c r="X453" t="inlineStr">
        <is>
          <t>.</t>
        </is>
      </c>
      <c r="Y453" t="inlineStr">
        <is>
          <t>.</t>
        </is>
      </c>
      <c r="Z453" t="inlineStr">
        <is>
          <t>0/7</t>
        </is>
      </c>
      <c r="AA453" t="inlineStr">
        <is>
          <t>Likely benign</t>
        </is>
      </c>
      <c r="AB453" t="inlineStr">
        <is>
          <t>.</t>
        </is>
      </c>
      <c r="AC453" t="inlineStr">
        <is>
          <t>0/1</t>
        </is>
      </c>
      <c r="AD453" t="inlineStr">
        <is>
          <t>1</t>
        </is>
      </c>
      <c r="AE453" t="inlineStr">
        <is>
          <t>0.000785606510373498</t>
        </is>
      </c>
      <c r="AF453" t="inlineStr">
        <is>
          <t>keratin associated protein 9-4</t>
        </is>
      </c>
      <c r="AG453" t="inlineStr">
        <is>
          <t xml:space="preserve">FUNCTION: In the hair cortex, hair keratin intermediate filaments are embedded in an interfilamentous matrix, consisting of hair keratin-associated proteins (KRTAP), which are essential for the formation of a rigid and resistant hair shaft through their extensive disulfide bond cross-linking with abundant cysteine residues of hair keratins. The matrix proteins include the high- sulfur and high-glycine-tyrosine keratins.; </t>
        </is>
      </c>
      <c r="AH453" t="inlineStr">
        <is>
          <t>.</t>
        </is>
      </c>
      <c r="AI453" t="inlineStr">
        <is>
          <t>.</t>
        </is>
      </c>
      <c r="AJ453" t="inlineStr">
        <is>
          <t>.</t>
        </is>
      </c>
      <c r="AK453" t="inlineStr">
        <is>
          <t>.</t>
        </is>
      </c>
      <c r="AL453" t="inlineStr">
        <is>
          <t>NGS_LowStringency</t>
        </is>
      </c>
    </row>
    <row r="454">
      <c r="A454" t="inlineStr"/>
      <c r="B454">
        <f>HYPERLINK("https://genome.ucsc.edu/cgi-bin/hgTracks?db=hg19&amp;position=chr17%3A39657753%2D39657753", "chr17:39657753")</f>
        <v/>
      </c>
      <c r="C454" t="inlineStr">
        <is>
          <t>chr17</t>
        </is>
      </c>
      <c r="D454" t="n">
        <v>39657753</v>
      </c>
      <c r="E454" t="n">
        <v>39657753</v>
      </c>
      <c r="F454" t="inlineStr">
        <is>
          <t>G</t>
        </is>
      </c>
      <c r="G454" t="inlineStr">
        <is>
          <t>C</t>
        </is>
      </c>
      <c r="H454" t="inlineStr">
        <is>
          <t>38.64</t>
        </is>
      </c>
      <c r="I454" t="inlineStr">
        <is>
          <t>12</t>
        </is>
      </c>
      <c r="J454" t="inlineStr">
        <is>
          <t>10,2</t>
        </is>
      </c>
      <c r="K454" t="inlineStr">
        <is>
          <t>.</t>
        </is>
      </c>
      <c r="L454" t="inlineStr">
        <is>
          <t>.</t>
        </is>
      </c>
      <c r="M454">
        <f>HYPERLINK("https://www.genecards.org/Search/Keyword?queryString=%5Baliases%5D(%20KRT13%20)&amp;keywords=KRT13", "KRT13")</f>
        <v/>
      </c>
      <c r="N454" t="inlineStr">
        <is>
          <t>intronic;ncRNA_intronic</t>
        </is>
      </c>
      <c r="O454" t="inlineStr">
        <is>
          <t>.</t>
        </is>
      </c>
      <c r="P454" t="inlineStr">
        <is>
          <t>.</t>
        </is>
      </c>
      <c r="Q454" t="n">
        <v>-1</v>
      </c>
      <c r="R454" t="n">
        <v>-1</v>
      </c>
      <c r="S454" t="n">
        <v>-1</v>
      </c>
      <c r="T454" t="n">
        <v>-1</v>
      </c>
      <c r="U454" t="n">
        <v>-1</v>
      </c>
      <c r="V454" t="inlineStr">
        <is>
          <t>.</t>
        </is>
      </c>
      <c r="W454" t="inlineStr">
        <is>
          <t>.</t>
        </is>
      </c>
      <c r="X454" t="inlineStr">
        <is>
          <t>B</t>
        </is>
      </c>
      <c r="Y454" t="inlineStr">
        <is>
          <t>off</t>
        </is>
      </c>
      <c r="Z454" t="inlineStr">
        <is>
          <t>.</t>
        </is>
      </c>
      <c r="AA454" t="inlineStr">
        <is>
          <t>.</t>
        </is>
      </c>
      <c r="AB454" t="inlineStr">
        <is>
          <t>.</t>
        </is>
      </c>
      <c r="AC454" t="inlineStr">
        <is>
          <t>0/1</t>
        </is>
      </c>
      <c r="AD454" t="inlineStr">
        <is>
          <t>1</t>
        </is>
      </c>
      <c r="AE454" t="inlineStr">
        <is>
          <t>0.00166754074952747</t>
        </is>
      </c>
      <c r="AF454" t="inlineStr">
        <is>
          <t>keratin 13</t>
        </is>
      </c>
      <c r="AG454" t="inlineStr">
        <is>
          <t>.</t>
        </is>
      </c>
      <c r="AH454" t="inlineStr">
        <is>
          <t xml:space="preserve">DISEASE: White sponge nevus 2 (WSN2) [MIM:615785]: A rare disorder characterized by the presence of soft, white, and spongy plaques in the oral mucosa. The characteristic histopathologic features are epithelial thickening, parakeratosis, and vacuolization of the suprabasal layer of oral epithelial keratinocytes. Less frequently the mucous membranes of the nose, esophagus, genitalia and rectum are involved. {ECO:0000269|PubMed:10561721, ECO:0000269|PubMed:11379896, ECO:0000269|PubMed:14600690, ECO:0000269|PubMed:7493031}. Note=The disease is caused by mutations affecting the gene represented in this entry.; </t>
        </is>
      </c>
      <c r="AI454" t="inlineStr">
        <is>
          <t>.</t>
        </is>
      </c>
      <c r="AJ454" t="inlineStr">
        <is>
          <t>.</t>
        </is>
      </c>
      <c r="AK454" t="inlineStr">
        <is>
          <t>.</t>
        </is>
      </c>
      <c r="AL454" t="inlineStr">
        <is>
          <t>.</t>
        </is>
      </c>
    </row>
    <row r="455">
      <c r="A455" t="inlineStr"/>
      <c r="B455">
        <f>HYPERLINK("https://genome.ucsc.edu/cgi-bin/hgTracks?db=hg19&amp;position=chr17%3A39973601%2D39973601", "chr17:39973601")</f>
        <v/>
      </c>
      <c r="C455" t="inlineStr">
        <is>
          <t>chr17</t>
        </is>
      </c>
      <c r="D455" t="n">
        <v>39973601</v>
      </c>
      <c r="E455" t="n">
        <v>39973601</v>
      </c>
      <c r="F455" t="inlineStr">
        <is>
          <t>G</t>
        </is>
      </c>
      <c r="G455" t="inlineStr">
        <is>
          <t>A</t>
        </is>
      </c>
      <c r="H455" t="inlineStr">
        <is>
          <t>54.64</t>
        </is>
      </c>
      <c r="I455" t="inlineStr">
        <is>
          <t>7</t>
        </is>
      </c>
      <c r="J455" t="inlineStr">
        <is>
          <t>5,2</t>
        </is>
      </c>
      <c r="K455" t="inlineStr">
        <is>
          <t>.</t>
        </is>
      </c>
      <c r="L455" t="inlineStr">
        <is>
          <t>.</t>
        </is>
      </c>
      <c r="M455">
        <f>HYPERLINK("https://www.genecards.org/Search/Keyword?queryString=%5Baliases%5D(%20FKBP10%20)&amp;keywords=FKBP10", "FKBP10")</f>
        <v/>
      </c>
      <c r="N455" t="inlineStr">
        <is>
          <t>intronic</t>
        </is>
      </c>
      <c r="O455" t="inlineStr">
        <is>
          <t>.</t>
        </is>
      </c>
      <c r="P455" t="inlineStr">
        <is>
          <t>.</t>
        </is>
      </c>
      <c r="Q455" t="n">
        <v>-1</v>
      </c>
      <c r="R455" t="n">
        <v>-1</v>
      </c>
      <c r="S455" t="n">
        <v>-1</v>
      </c>
      <c r="T455" t="n">
        <v>-1</v>
      </c>
      <c r="U455" t="n">
        <v>-1</v>
      </c>
      <c r="V455" t="inlineStr">
        <is>
          <t>.</t>
        </is>
      </c>
      <c r="W455" t="inlineStr">
        <is>
          <t>.</t>
        </is>
      </c>
      <c r="X455" t="inlineStr">
        <is>
          <t>D</t>
        </is>
      </c>
      <c r="Y455" t="inlineStr">
        <is>
          <t>off</t>
        </is>
      </c>
      <c r="Z455" t="inlineStr">
        <is>
          <t>.</t>
        </is>
      </c>
      <c r="AA455" t="inlineStr">
        <is>
          <t>.</t>
        </is>
      </c>
      <c r="AB455" t="inlineStr">
        <is>
          <t>.</t>
        </is>
      </c>
      <c r="AC455" t="inlineStr">
        <is>
          <t>0/1</t>
        </is>
      </c>
      <c r="AD455" t="inlineStr">
        <is>
          <t>1</t>
        </is>
      </c>
      <c r="AE455" t="inlineStr">
        <is>
          <t>0.000807424942436765</t>
        </is>
      </c>
      <c r="AF455" t="inlineStr">
        <is>
          <t>FK506 binding protein 10</t>
        </is>
      </c>
      <c r="AG455" t="inlineStr">
        <is>
          <t xml:space="preserve">FUNCTION: PPIases accelerate the folding of proteins during protein synthesis.; </t>
        </is>
      </c>
      <c r="AH455" t="inlineStr">
        <is>
          <t xml:space="preserve">DISEASE: Osteogenesis imperfecta 11 (OI11) [MIM:610968]: A form of osteogenesis imperfecta, a connective tissue disorder characterized by low bone mass, bone fragility and susceptibility to fractures after minimal trauma. Disease severity ranges from very mild forms without fractures to intrauterine fractures and perinatal lethality. Extraskeletal manifestations, which affect a variable number of patients, are dentinogenesis imperfecta, hearing loss, and blue sclerae. OI11 is an autosomal recessive form. {ECO:0000269|PubMed:20362275, ECO:0000269|PubMed:20839288, ECO:0000269|PubMed:22949511}. Note=The disease is caused by mutations affecting the gene represented in this entry.; DISEASE: Bruck syndrome 1 (BRKS1) [MIM:259450]: A disease characterized by generalized osteopenia, congenital joint contractures, fragile bones with onset of fractures in infancy or early childhood, short stature, severe limb deformity, progressive scoliosis, and pterygia. {ECO:0000269|PubMed:20839288, ECO:0000269|PubMed:22949511}. Note=The disease is caused by mutations affecting the gene represented in this entry.; </t>
        </is>
      </c>
      <c r="AI455" t="inlineStr">
        <is>
          <t>.</t>
        </is>
      </c>
      <c r="AJ455" t="inlineStr">
        <is>
          <t>.</t>
        </is>
      </c>
      <c r="AK455" t="inlineStr">
        <is>
          <t>.</t>
        </is>
      </c>
      <c r="AL455" t="inlineStr">
        <is>
          <t>.</t>
        </is>
      </c>
    </row>
    <row r="456">
      <c r="A456" t="inlineStr"/>
      <c r="B456">
        <f>HYPERLINK("https://genome.ucsc.edu/cgi-bin/hgTracks?db=hg19&amp;position=chr17%3A40465397%2D40465397", "chr17:40465397")</f>
        <v/>
      </c>
      <c r="C456" t="inlineStr">
        <is>
          <t>chr17</t>
        </is>
      </c>
      <c r="D456" t="n">
        <v>40465397</v>
      </c>
      <c r="E456" t="n">
        <v>40465397</v>
      </c>
      <c r="F456" t="inlineStr">
        <is>
          <t>-</t>
        </is>
      </c>
      <c r="G456" t="inlineStr">
        <is>
          <t>AA</t>
        </is>
      </c>
      <c r="H456" t="inlineStr">
        <is>
          <t>36.60</t>
        </is>
      </c>
      <c r="I456" t="inlineStr">
        <is>
          <t>16</t>
        </is>
      </c>
      <c r="J456" t="inlineStr">
        <is>
          <t>8,3</t>
        </is>
      </c>
      <c r="K456" t="inlineStr">
        <is>
          <t>.</t>
        </is>
      </c>
      <c r="L456" t="inlineStr">
        <is>
          <t>.</t>
        </is>
      </c>
      <c r="M456">
        <f>HYPERLINK("https://www.genecards.org/Search/Keyword?queryString=%5Baliases%5D(%20AK024535%20)%20OR%20%5Baliases%5D(%20STAT3%20)&amp;keywords=AK024535,STAT3", "AK024535;STAT3")</f>
        <v/>
      </c>
      <c r="N456" t="inlineStr">
        <is>
          <t>UTR3;ncRNA_exonic</t>
        </is>
      </c>
      <c r="O456" t="inlineStr">
        <is>
          <t>.</t>
        </is>
      </c>
      <c r="P456" t="inlineStr">
        <is>
          <t>NM_001369513:c.*2365_*2366insTT;NM_001384986:c.*2459_*2460insTT;NM_001384990:c.*2459_*2460insTT;NM_213662:c.*2459_*2460insTT;NM_001384988:c.*2365_*2366insTT;NM_001369512:c.*2365_*2366insTT;NM_001384993:c.*2365_*2366insTT;NM_001369514:c.*2365_*2366insTT;NM_139276:c.*2365_*2366insTT;NM_003150:c.*2365_*2366insTT;NM_001384985:c.*2365_*2366insTT;NM_001384992:c.*2365_*2366insTT;NM_001384989:c.*2365_*2366insTT;NM_001384984:c.*2365_*2366insTT;NM_001384991:c.*2365_*2366insTT;NM_001384987:c.*2365_*2366insTT;NM_001369518:c.*2459_*2460insTT;NM_001369517:c.*2459_*2460insTT;NM_001369516:c.*2365_*2366insTT;NM_001369520:c.*2459_*2460insTT;NM_001369519:c.*2459_*2460insTT;ENST00000264657.10_6:c.*2365_*2366insTT</t>
        </is>
      </c>
      <c r="Q456" t="n">
        <v>-1</v>
      </c>
      <c r="R456" t="n">
        <v>-1</v>
      </c>
      <c r="S456" t="n">
        <v>-1</v>
      </c>
      <c r="T456" t="n">
        <v>-1</v>
      </c>
      <c r="U456" t="n">
        <v>-1</v>
      </c>
      <c r="V456" t="inlineStr">
        <is>
          <t>.</t>
        </is>
      </c>
      <c r="W456" t="inlineStr">
        <is>
          <t>.</t>
        </is>
      </c>
      <c r="X456" t="inlineStr">
        <is>
          <t>.</t>
        </is>
      </c>
      <c r="Y456" t="inlineStr">
        <is>
          <t>.</t>
        </is>
      </c>
      <c r="Z456" t="inlineStr">
        <is>
          <t>.</t>
        </is>
      </c>
      <c r="AA456" t="inlineStr">
        <is>
          <t>.</t>
        </is>
      </c>
      <c r="AB456" t="inlineStr">
        <is>
          <t>.</t>
        </is>
      </c>
      <c r="AC456" t="inlineStr">
        <is>
          <t>0/1</t>
        </is>
      </c>
      <c r="AD456" t="inlineStr">
        <is>
          <t>1;1</t>
        </is>
      </c>
      <c r="AE456" t="inlineStr">
        <is>
          <t>0.999989193151158</t>
        </is>
      </c>
      <c r="AF456" t="inlineStr">
        <is>
          <t>signal transducer and activator of transcription 3 (acute-phase response factor)</t>
        </is>
      </c>
      <c r="AG456" t="inlineStr">
        <is>
          <t xml:space="preserve">FUNCTION: Signal transducer and transcription activator that mediates cellular responses to interleukins, KITLG/SCF, LEP and other growth factors. Once activated, recruits coactivators, such as NCOA1 or MED1, to the promoter region of the target gene (PubMed:17344214). May mediate cellular responses to activated FGFR1, FGFR2, FGFR3 and FGFR4. Binds to the interleukin-6 (IL-6)- responsive elements identified in the promoters of various acute- phase protein genes. Activated by IL31 through IL31RA. Involved in cell cycle regulation by inducing the expression of key genes for the progression from G1 to S phase, such as CCND1 (PubMed:17344214). Mediates the effects of LEP on melanocortin production, body energy homeostasis and lactation (By similarity). May play an apoptotic role by transctivating BIRC5 expression under LEP activation (PubMed:18242580). Cytoplasmic STAT3 represses macroautophagy by inhibiting EIF2AK2/PKR activity. {ECO:0000250|UniProtKB:P42227, ECO:0000269|PubMed:10688651, ECO:0000269|PubMed:12359225, ECO:0000269|PubMed:12873986, ECO:0000269|PubMed:15194700, ECO:0000269|PubMed:17344214, ECO:0000269|PubMed:18242580, ECO:0000269|PubMed:23084476}.; </t>
        </is>
      </c>
      <c r="AH456" t="inlineStr">
        <is>
          <t xml:space="preserve">DISEASE: Hyperimmunoglobulin E recurrent infection syndrome, autosomal dominant (AD-HIES) [MIM:147060]: A rare disorder of immunity and connective tissue characterized by immunodeficiency, chronic eczema, recurrent Staphylococcal infections, increased serum IgE, eosinophilia, distinctive coarse facial appearance, abnormal dentition, hyperextensibility of the joints, and bone fractures. {ECO:0000269|PubMed:17676033, ECO:0000269|PubMed:17881745, ECO:0000269|PubMed:23342295}. Note=The disease is caused by mutations affecting the gene represented in this entry.; DISEASE: Autoimmune disease, multisystem, infantile-onset (ADMIO) [MIM:615952]: A disorder characterized by early childhood onset of a spectrum of autoimmune manifestations affecting multiple organs, including insulin-dependent diabetes mellitus and autoimmune enteropathy or celiac disease. Other features include short stature, non-specific dermatitis, hypothyroidism, autoimmune arthritis, and delayed puberty. {ECO:0000269|PubMed:25038750}. Note=The disease is caused by mutations affecting the gene represented in this entry.; </t>
        </is>
      </c>
      <c r="AI456" t="inlineStr">
        <is>
          <t>.</t>
        </is>
      </c>
      <c r="AJ456" t="inlineStr">
        <is>
          <t>.</t>
        </is>
      </c>
      <c r="AK456" t="inlineStr">
        <is>
          <t>.</t>
        </is>
      </c>
      <c r="AL456" t="inlineStr">
        <is>
          <t>.</t>
        </is>
      </c>
    </row>
    <row r="457">
      <c r="A457" t="inlineStr"/>
      <c r="B457">
        <f>HYPERLINK("https://genome.ucsc.edu/cgi-bin/hgTracks?db=hg19&amp;position=chr17%3A40688887%2D40688887", "chr17:40688887")</f>
        <v/>
      </c>
      <c r="C457" t="inlineStr">
        <is>
          <t>chr17</t>
        </is>
      </c>
      <c r="D457" t="n">
        <v>40688887</v>
      </c>
      <c r="E457" t="n">
        <v>40688887</v>
      </c>
      <c r="F457" t="inlineStr">
        <is>
          <t>T</t>
        </is>
      </c>
      <c r="G457" t="inlineStr">
        <is>
          <t>C</t>
        </is>
      </c>
      <c r="H457" t="inlineStr">
        <is>
          <t>54.64</t>
        </is>
      </c>
      <c r="I457" t="inlineStr">
        <is>
          <t>6</t>
        </is>
      </c>
      <c r="J457" t="inlineStr">
        <is>
          <t>4,2</t>
        </is>
      </c>
      <c r="K457" t="inlineStr">
        <is>
          <t>.</t>
        </is>
      </c>
      <c r="L457" t="inlineStr">
        <is>
          <t>.</t>
        </is>
      </c>
      <c r="M457">
        <f>HYPERLINK("https://www.genecards.org/Search/Keyword?queryString=%5Baliases%5D(%20NAGLU%20)&amp;keywords=NAGLU", "NAGLU")</f>
        <v/>
      </c>
      <c r="N457" t="inlineStr">
        <is>
          <t>intronic;ncRNA_intronic</t>
        </is>
      </c>
      <c r="O457" t="inlineStr">
        <is>
          <t>.</t>
        </is>
      </c>
      <c r="P457" t="inlineStr">
        <is>
          <t>.</t>
        </is>
      </c>
      <c r="Q457" t="n">
        <v>-1</v>
      </c>
      <c r="R457" t="n">
        <v>-1</v>
      </c>
      <c r="S457" t="n">
        <v>-1</v>
      </c>
      <c r="T457" t="n">
        <v>-1</v>
      </c>
      <c r="U457" t="n">
        <v>-1</v>
      </c>
      <c r="V457" t="inlineStr">
        <is>
          <t>.</t>
        </is>
      </c>
      <c r="W457" t="inlineStr">
        <is>
          <t>.</t>
        </is>
      </c>
      <c r="X457" t="inlineStr">
        <is>
          <t>B</t>
        </is>
      </c>
      <c r="Y457" t="inlineStr">
        <is>
          <t>off</t>
        </is>
      </c>
      <c r="Z457" t="inlineStr">
        <is>
          <t>.</t>
        </is>
      </c>
      <c r="AA457" t="inlineStr">
        <is>
          <t>.</t>
        </is>
      </c>
      <c r="AB457" t="inlineStr">
        <is>
          <t>.</t>
        </is>
      </c>
      <c r="AC457" t="inlineStr">
        <is>
          <t>0/1</t>
        </is>
      </c>
      <c r="AD457" t="inlineStr">
        <is>
          <t>1</t>
        </is>
      </c>
      <c r="AE457" t="inlineStr">
        <is>
          <t>0.000404074411747293</t>
        </is>
      </c>
      <c r="AF457" t="inlineStr">
        <is>
          <t>N-acetylglucosaminidase, alpha</t>
        </is>
      </c>
      <c r="AG457" t="inlineStr">
        <is>
          <t xml:space="preserve">FUNCTION: Involved in the degradation of heparan sulfate.; </t>
        </is>
      </c>
      <c r="AH457" t="inlineStr">
        <is>
          <t xml:space="preserve">DISEASE: Charcot-Marie-Tooth disease 2V (CMT2V) [MIM:616491]: An axonal form of Charcot-Marie-Tooth disease, a disorder of the peripheral nervous system, characterized by progressive weakness and atrophy, initially of the peroneal muscles and later of the distal muscles of the arms. Charcot-Marie-Tooth disease is classified in two main groups on the basis of electrophysiologic properties and histopathology: primary peripheral demyelinating neuropathies (designated CMT1 when they are dominantly inherited) and primary peripheral axonal neuropathies (CMT2). Neuropathies of the CMT2 group are characterized by signs of axonal degeneration in the absence of obvious myelin alterations, normal or slightly reduced nerve conduction velocities, and progressive distal muscle weakness and atrophy. CMT2V is an autosomal dominant sensory neuropathy with late onset. The main clinical feature is recurrent leg pain that progresses to constant painful paraesthesias in the feet and later the hands. As it evolves, some patients develop a mild sensory ataxia. {ECO:0000269|PubMed:25818867}. Note=The disease is caused by mutations affecting the gene represented in this entry.; </t>
        </is>
      </c>
      <c r="AI457" t="inlineStr">
        <is>
          <t>.</t>
        </is>
      </c>
      <c r="AJ457" t="inlineStr">
        <is>
          <t>.</t>
        </is>
      </c>
      <c r="AK457" t="inlineStr">
        <is>
          <t>.</t>
        </is>
      </c>
      <c r="AL457" t="inlineStr">
        <is>
          <t>.</t>
        </is>
      </c>
    </row>
    <row r="458">
      <c r="A458" t="inlineStr"/>
      <c r="B458">
        <f>HYPERLINK("https://genome.ucsc.edu/cgi-bin/hgTracks?db=hg19&amp;position=chr17%3A46690919%2D46690919", "chr17:46690919")</f>
        <v/>
      </c>
      <c r="C458" t="inlineStr">
        <is>
          <t>chr17</t>
        </is>
      </c>
      <c r="D458" t="n">
        <v>46690919</v>
      </c>
      <c r="E458" t="n">
        <v>46690919</v>
      </c>
      <c r="F458" t="inlineStr">
        <is>
          <t>A</t>
        </is>
      </c>
      <c r="G458" t="inlineStr">
        <is>
          <t>G</t>
        </is>
      </c>
      <c r="H458" t="inlineStr">
        <is>
          <t>37.64</t>
        </is>
      </c>
      <c r="I458" t="inlineStr">
        <is>
          <t>45</t>
        </is>
      </c>
      <c r="J458" t="inlineStr">
        <is>
          <t>33,12</t>
        </is>
      </c>
      <c r="K458" t="inlineStr">
        <is>
          <t>.</t>
        </is>
      </c>
      <c r="L458">
        <f>HYPERLINK("https://www.ncbi.nlm.nih.gov/snp/rs761141197", "rs761141197")</f>
        <v/>
      </c>
      <c r="M458">
        <f>HYPERLINK("https://www.genecards.org/Search/Keyword?queryString=%5Baliases%5D(%20HOXB8%20)&amp;keywords=HOXB8", "HOXB8")</f>
        <v/>
      </c>
      <c r="N458" t="inlineStr">
        <is>
          <t>intronic</t>
        </is>
      </c>
      <c r="O458" t="inlineStr">
        <is>
          <t>.</t>
        </is>
      </c>
      <c r="P458" t="inlineStr">
        <is>
          <t>.</t>
        </is>
      </c>
      <c r="Q458" t="n">
        <v>6.5e-06</v>
      </c>
      <c r="R458" t="n">
        <v>-1</v>
      </c>
      <c r="S458" t="n">
        <v>-1</v>
      </c>
      <c r="T458" t="n">
        <v>-1</v>
      </c>
      <c r="U458" t="n">
        <v>-1</v>
      </c>
      <c r="V458" t="inlineStr">
        <is>
          <t>.</t>
        </is>
      </c>
      <c r="W458" t="inlineStr">
        <is>
          <t>.</t>
        </is>
      </c>
      <c r="X458" t="inlineStr">
        <is>
          <t>D</t>
        </is>
      </c>
      <c r="Y458" t="inlineStr">
        <is>
          <t>off</t>
        </is>
      </c>
      <c r="Z458" t="inlineStr">
        <is>
          <t>.</t>
        </is>
      </c>
      <c r="AA458" t="inlineStr">
        <is>
          <t>.</t>
        </is>
      </c>
      <c r="AB458" t="inlineStr">
        <is>
          <t>.</t>
        </is>
      </c>
      <c r="AC458" t="inlineStr">
        <is>
          <t>0/1</t>
        </is>
      </c>
      <c r="AD458" t="inlineStr">
        <is>
          <t>1</t>
        </is>
      </c>
      <c r="AE458" t="inlineStr">
        <is>
          <t>0.444768417534794</t>
        </is>
      </c>
      <c r="AF458" t="inlineStr">
        <is>
          <t>homeobox B8</t>
        </is>
      </c>
      <c r="AG458" t="inlineStr">
        <is>
          <t xml:space="preserve">FUNCTION: Sequence-specific transcription factor which is part of a developmental regulatory system that provides cells with specific positional identities on the anterior-posterior axis.; </t>
        </is>
      </c>
      <c r="AH458" t="inlineStr">
        <is>
          <t>.</t>
        </is>
      </c>
      <c r="AI458" t="inlineStr">
        <is>
          <t>.</t>
        </is>
      </c>
      <c r="AJ458" t="inlineStr">
        <is>
          <t>.</t>
        </is>
      </c>
      <c r="AK458" t="inlineStr">
        <is>
          <t>.</t>
        </is>
      </c>
      <c r="AL458" t="inlineStr">
        <is>
          <t>.</t>
        </is>
      </c>
    </row>
    <row r="459">
      <c r="A459" t="inlineStr"/>
      <c r="B459">
        <f>HYPERLINK("https://genome.ucsc.edu/cgi-bin/hgTracks?db=hg19&amp;position=chr17%3A46928952%2D46928952", "chr17:46928952")</f>
        <v/>
      </c>
      <c r="C459" t="inlineStr">
        <is>
          <t>chr17</t>
        </is>
      </c>
      <c r="D459" t="n">
        <v>46928952</v>
      </c>
      <c r="E459" t="n">
        <v>46928952</v>
      </c>
      <c r="F459" t="inlineStr">
        <is>
          <t>G</t>
        </is>
      </c>
      <c r="G459" t="inlineStr">
        <is>
          <t>A</t>
        </is>
      </c>
      <c r="H459" t="inlineStr">
        <is>
          <t>838.64</t>
        </is>
      </c>
      <c r="I459" t="inlineStr">
        <is>
          <t>115</t>
        </is>
      </c>
      <c r="J459" t="inlineStr">
        <is>
          <t>74,41</t>
        </is>
      </c>
      <c r="K459" t="inlineStr">
        <is>
          <t>.</t>
        </is>
      </c>
      <c r="L459">
        <f>HYPERLINK("https://www.ncbi.nlm.nih.gov/snp/rs118148373", "rs118148373")</f>
        <v/>
      </c>
      <c r="M459">
        <f>HYPERLINK("https://www.genecards.org/Search/Keyword?queryString=%5Baliases%5D(%20CALCOCO2%20)&amp;keywords=CALCOCO2", "CALCOCO2")</f>
        <v/>
      </c>
      <c r="N459" t="inlineStr">
        <is>
          <t>exonic</t>
        </is>
      </c>
      <c r="O459" t="inlineStr">
        <is>
          <t>nonsynonymous SNV</t>
        </is>
      </c>
      <c r="P459" t="inlineStr">
        <is>
          <t>CALCOCO2:NM_001261393:exon6:c.G538A:p.E180K,CALCOCO2:NM_001261395:exon6:c.G448A:p.E150K,CALCOCO2:NM_005831:exon7:c.G664A:p.E222K,CALCOCO2:NM_001261390:exon8:c.G736A:p.E246K,CALCOCO2:NM_001261391:exon8:c.G727A:p.E243K;CALCOCO2:uc010wlq.3:exon6:c.G448A:p.E150K,CALCOCO2:uc010wls.3:exon6:c.G538A:p.E180K,CALCOCO2:uc002iof.4:exon7:c.G664A:p.E222K,CALCOCO2:uc010wlp.3:exon8:c.G727A:p.E243K,CALCOCO2:uc010wlr.3:exon8:c.G736A:p.E246K;CALCOCO2:ENST00000416445.6_5:exon6:c.G538A:p.E180K,CALCOCO2:ENST00000508679.5_1:exon6:c.G448A:p.E150K,CALCOCO2:ENST00000258947.8_7:exon7:c.G664A:p.E222K,CALCOCO2:ENST00000448105.6_1:exon8:c.G736A:p.E246K,CALCOCO2:ENST00000509507.5_1:exon8:c.G727A:p.E243K</t>
        </is>
      </c>
      <c r="Q459" t="n">
        <v>0.01</v>
      </c>
      <c r="R459" t="n">
        <v>0.0098</v>
      </c>
      <c r="S459" t="n">
        <v>0.009599999999999999</v>
      </c>
      <c r="T459" t="n">
        <v>-1</v>
      </c>
      <c r="U459" t="n">
        <v>0.0091</v>
      </c>
      <c r="V459" t="inlineStr">
        <is>
          <t>5/10</t>
        </is>
      </c>
      <c r="W459" t="inlineStr">
        <is>
          <t>.</t>
        </is>
      </c>
      <c r="X459" t="inlineStr">
        <is>
          <t>.</t>
        </is>
      </c>
      <c r="Y459" t="inlineStr">
        <is>
          <t>.</t>
        </is>
      </c>
      <c r="Z459" t="inlineStr">
        <is>
          <t>3/7</t>
        </is>
      </c>
      <c r="AA459" t="inlineStr">
        <is>
          <t>Uncertain significance</t>
        </is>
      </c>
      <c r="AB459" t="inlineStr">
        <is>
          <t>.</t>
        </is>
      </c>
      <c r="AC459" t="inlineStr">
        <is>
          <t>0/1</t>
        </is>
      </c>
      <c r="AD459" t="inlineStr">
        <is>
          <t>1</t>
        </is>
      </c>
      <c r="AE459" t="inlineStr">
        <is>
          <t>0.0317624526733932</t>
        </is>
      </c>
      <c r="AF459" t="inlineStr">
        <is>
          <t>calcium binding and coiled-coil domain 2</t>
        </is>
      </c>
      <c r="AG459" t="inlineStr">
        <is>
          <t xml:space="preserve">FUNCTION: Xenophagy-specific receptor required for autophagy- mediated intracellular bacteria degradation. Acts as an effector protein of galectin-sensed membrane damage that restricts the proliferation of infecting pathogens such as Salmonella typhimurium upon entry into the cytosol by targeting galectin-8- associated bacteria for autophagy (PubMed:22246324). Initially orchestrates bacteria targeting to autophagosomes and subsequently ensures pathogen degradation by regulating pathogen-containing autophagosome maturation (PubMed:23022382, PubMed:25771791). Bacteria targeting to autophagosomes relies on its interaction with MAP1LC3A, MAP1LC3B and/or GABARAPL2, whereas regulation of pathogen-containing autophagosome maturation requires the interaction with MAP3LC3C (PubMed:23022382, PubMed:25771791). May play a role in ruffle formation and actin cytoskeleton organization and seems to negatively regulate constitutive secretion (PubMed:17635994). {ECO:0000269|PubMed:17635994, ECO:0000269|PubMed:22246324, ECO:0000269|PubMed:23022382, ECO:0000269|PubMed:23386746, ECO:0000269|PubMed:25771791}.; </t>
        </is>
      </c>
      <c r="AH459" t="inlineStr">
        <is>
          <t>.</t>
        </is>
      </c>
      <c r="AI459" t="inlineStr">
        <is>
          <t>.</t>
        </is>
      </c>
      <c r="AJ459" t="inlineStr">
        <is>
          <t>.</t>
        </is>
      </c>
      <c r="AK459" t="inlineStr">
        <is>
          <t>.</t>
        </is>
      </c>
      <c r="AL459" t="inlineStr">
        <is>
          <t>.</t>
        </is>
      </c>
    </row>
    <row r="460">
      <c r="A460" t="inlineStr"/>
      <c r="B460">
        <f>HYPERLINK("https://genome.ucsc.edu/cgi-bin/hgTracks?db=hg19&amp;position=chr17%3A51900780%2D51900780", "chr17:51900780")</f>
        <v/>
      </c>
      <c r="C460" t="inlineStr">
        <is>
          <t>chr17</t>
        </is>
      </c>
      <c r="D460" t="n">
        <v>51900780</v>
      </c>
      <c r="E460" t="n">
        <v>51900780</v>
      </c>
      <c r="F460" t="inlineStr">
        <is>
          <t>A</t>
        </is>
      </c>
      <c r="G460" t="inlineStr">
        <is>
          <t>G</t>
        </is>
      </c>
      <c r="H460" t="inlineStr">
        <is>
          <t>1533.64</t>
        </is>
      </c>
      <c r="I460" t="inlineStr">
        <is>
          <t>112</t>
        </is>
      </c>
      <c r="J460" t="inlineStr">
        <is>
          <t>48,64</t>
        </is>
      </c>
      <c r="K460" t="inlineStr">
        <is>
          <t>.</t>
        </is>
      </c>
      <c r="L460">
        <f>HYPERLINK("https://www.ncbi.nlm.nih.gov/snp/rs117796484", "rs117796484")</f>
        <v/>
      </c>
      <c r="M460">
        <f>HYPERLINK("https://www.genecards.org/Search/Keyword?queryString=%5Baliases%5D(%20KIF2B%20)&amp;keywords=KIF2B", "KIF2B")</f>
        <v/>
      </c>
      <c r="N460" t="inlineStr">
        <is>
          <t>exonic</t>
        </is>
      </c>
      <c r="O460" t="inlineStr">
        <is>
          <t>nonsynonymous SNV</t>
        </is>
      </c>
      <c r="P460" t="inlineStr">
        <is>
          <t>KIF2B:NM_032559:exon1:c.A386G:p.D129G;KIF2B:uc002iua.2:exon1:c.A386G:p.D129G;KIF2B:ENST00000268919.6_3:exon1:c.A386G:p.D129G</t>
        </is>
      </c>
      <c r="Q460" t="n">
        <v>0.0134</v>
      </c>
      <c r="R460" t="n">
        <v>0.0125</v>
      </c>
      <c r="S460" t="n">
        <v>0.0137</v>
      </c>
      <c r="T460" t="n">
        <v>-1</v>
      </c>
      <c r="U460" t="n">
        <v>0.0102</v>
      </c>
      <c r="V460" t="inlineStr">
        <is>
          <t>3/10</t>
        </is>
      </c>
      <c r="W460" t="inlineStr">
        <is>
          <t>.</t>
        </is>
      </c>
      <c r="X460" t="inlineStr">
        <is>
          <t>.</t>
        </is>
      </c>
      <c r="Y460" t="inlineStr">
        <is>
          <t>.</t>
        </is>
      </c>
      <c r="Z460" t="inlineStr">
        <is>
          <t>1/7</t>
        </is>
      </c>
      <c r="AA460" t="inlineStr">
        <is>
          <t>Uncertain significance</t>
        </is>
      </c>
      <c r="AB460" t="inlineStr">
        <is>
          <t>.</t>
        </is>
      </c>
      <c r="AC460" t="inlineStr">
        <is>
          <t>0/1</t>
        </is>
      </c>
      <c r="AD460" t="inlineStr">
        <is>
          <t>1</t>
        </is>
      </c>
      <c r="AE460" t="inlineStr">
        <is>
          <t>3.73383408114166e-15</t>
        </is>
      </c>
      <c r="AF460" t="inlineStr">
        <is>
          <t>kinesin family member 2B</t>
        </is>
      </c>
      <c r="AG460" t="inlineStr">
        <is>
          <t xml:space="preserve">FUNCTION: Plus end-directed microtubule-dependent motor required for spindle assembly and chromosome movement. Has microtubule depolymerization activity. {ECO:0000269|PubMed:17538014}.; </t>
        </is>
      </c>
      <c r="AH460" t="inlineStr">
        <is>
          <t>.</t>
        </is>
      </c>
      <c r="AI460" t="inlineStr">
        <is>
          <t>.</t>
        </is>
      </c>
      <c r="AJ460" t="inlineStr">
        <is>
          <t>.</t>
        </is>
      </c>
      <c r="AK460" t="inlineStr">
        <is>
          <t>.</t>
        </is>
      </c>
      <c r="AL460" t="inlineStr">
        <is>
          <t>.</t>
        </is>
      </c>
    </row>
    <row r="461">
      <c r="A461" t="inlineStr"/>
      <c r="B461">
        <f>HYPERLINK("https://genome.ucsc.edu/cgi-bin/hgTracks?db=hg19&amp;position=chr17%3A55195780%2D55195780", "chr17:55195780")</f>
        <v/>
      </c>
      <c r="C461" t="inlineStr">
        <is>
          <t>chr17</t>
        </is>
      </c>
      <c r="D461" t="n">
        <v>55195780</v>
      </c>
      <c r="E461" t="n">
        <v>55195780</v>
      </c>
      <c r="F461" t="inlineStr">
        <is>
          <t>A</t>
        </is>
      </c>
      <c r="G461" t="inlineStr">
        <is>
          <t>G</t>
        </is>
      </c>
      <c r="H461" t="inlineStr">
        <is>
          <t>1118.64</t>
        </is>
      </c>
      <c r="I461" t="inlineStr">
        <is>
          <t>79</t>
        </is>
      </c>
      <c r="J461" t="inlineStr">
        <is>
          <t>31,48</t>
        </is>
      </c>
      <c r="K461" t="inlineStr">
        <is>
          <t>.</t>
        </is>
      </c>
      <c r="L461">
        <f>HYPERLINK("https://www.ncbi.nlm.nih.gov/snp/rs141664795", "rs141664795")</f>
        <v/>
      </c>
      <c r="M461">
        <f>HYPERLINK("https://www.genecards.org/Search/Keyword?queryString=%5Baliases%5D(%20AKAP1%20)&amp;keywords=AKAP1", "AKAP1")</f>
        <v/>
      </c>
      <c r="N461" t="inlineStr">
        <is>
          <t>exonic</t>
        </is>
      </c>
      <c r="O461" t="inlineStr">
        <is>
          <t>nonsynonymous SNV</t>
        </is>
      </c>
      <c r="P461" t="inlineStr">
        <is>
          <t>AKAP1:NM_001370424:exon9:c.A2539G:p.S847G,AKAP1:NM_001370426:exon9:c.A2539G:p.S847G,AKAP1:NM_003488:exon9:c.A2539G:p.S847G,AKAP1:NM_001242902:exon10:c.A2539G:p.S847G,AKAP1:NM_001242903:exon10:c.A2539G:p.S847G,AKAP1:NM_001370423:exon10:c.A2539G:p.S847G,AKAP1:NM_001370425:exon10:c.A2539G:p.S847G,AKAP1:NM_001370427:exon10:c.A2539G:p.S847G;AKAP1:uc002iux.3:exon9:c.A2539G:p.S847G,AKAP1:uc010dcm.3:exon9:c.A2539G:p.S847G,AKAP1:uc010wnl.2:exon10:c.A2539G:p.S847G,AKAP1:uc021uak.1:exon10:c.A2539G:p.S847G;AKAP1:ENST00000337714.8_3:exon9:c.A2539G:p.S847G,AKAP1:ENST00000539273.5_1:exon9:c.A2539G:p.S847G,AKAP1:ENST00000572557.5_1:exon9:c.A2539G:p.S847G,AKAP1:ENST00000571629.5_1:exon10:c.A2539G:p.S847G,AKAP1:ENST00000621116.4_1:exon10:c.A2539G:p.S847G</t>
        </is>
      </c>
      <c r="Q461" t="n">
        <v>0.0058</v>
      </c>
      <c r="R461" t="n">
        <v>0.0037</v>
      </c>
      <c r="S461" t="n">
        <v>0.0054</v>
      </c>
      <c r="T461" t="n">
        <v>-1</v>
      </c>
      <c r="U461" t="n">
        <v>0.0041</v>
      </c>
      <c r="V461" t="inlineStr">
        <is>
          <t>4/11</t>
        </is>
      </c>
      <c r="W461" t="inlineStr">
        <is>
          <t>.</t>
        </is>
      </c>
      <c r="X461" t="inlineStr">
        <is>
          <t>.</t>
        </is>
      </c>
      <c r="Y461" t="inlineStr">
        <is>
          <t>.</t>
        </is>
      </c>
      <c r="Z461" t="inlineStr">
        <is>
          <t>4/7</t>
        </is>
      </c>
      <c r="AA461" t="inlineStr">
        <is>
          <t>Uncertain significance</t>
        </is>
      </c>
      <c r="AB461" t="inlineStr">
        <is>
          <t>.</t>
        </is>
      </c>
      <c r="AC461" t="inlineStr">
        <is>
          <t>0/1</t>
        </is>
      </c>
      <c r="AD461" t="inlineStr">
        <is>
          <t>1</t>
        </is>
      </c>
      <c r="AE461" t="inlineStr">
        <is>
          <t>0.561768712699788</t>
        </is>
      </c>
      <c r="AF461" t="inlineStr">
        <is>
          <t>A-kinase anchoring protein 1</t>
        </is>
      </c>
      <c r="AG461" t="inlineStr">
        <is>
          <t xml:space="preserve">FUNCTION: Binds to type I and II regulatory subunits of protein kinase A and anchors them to the cytoplasmic face of the mitochondrial outer membrane.; </t>
        </is>
      </c>
      <c r="AH461" t="inlineStr">
        <is>
          <t>.</t>
        </is>
      </c>
      <c r="AI461" t="inlineStr">
        <is>
          <t>.</t>
        </is>
      </c>
      <c r="AJ461" t="inlineStr">
        <is>
          <t>.</t>
        </is>
      </c>
      <c r="AK461" t="inlineStr">
        <is>
          <t>.</t>
        </is>
      </c>
      <c r="AL461" t="inlineStr">
        <is>
          <t>.</t>
        </is>
      </c>
    </row>
    <row r="462">
      <c r="A462" t="inlineStr"/>
      <c r="B462">
        <f>HYPERLINK("https://genome.ucsc.edu/cgi-bin/hgTracks?db=hg19&amp;position=chr17%3A56389688%2D56389688", "chr17:56389688")</f>
        <v/>
      </c>
      <c r="C462" t="inlineStr">
        <is>
          <t>chr17</t>
        </is>
      </c>
      <c r="D462" t="n">
        <v>56389688</v>
      </c>
      <c r="E462" t="n">
        <v>56389688</v>
      </c>
      <c r="F462" t="inlineStr">
        <is>
          <t>G</t>
        </is>
      </c>
      <c r="G462" t="inlineStr">
        <is>
          <t>A</t>
        </is>
      </c>
      <c r="H462" t="inlineStr">
        <is>
          <t>2802.64</t>
        </is>
      </c>
      <c r="I462" t="inlineStr">
        <is>
          <t>151</t>
        </is>
      </c>
      <c r="J462" t="inlineStr">
        <is>
          <t>43,108</t>
        </is>
      </c>
      <c r="K462" t="inlineStr">
        <is>
          <t>.</t>
        </is>
      </c>
      <c r="L462" t="inlineStr">
        <is>
          <t>.</t>
        </is>
      </c>
      <c r="M462">
        <f>HYPERLINK("https://www.genecards.org/Search/Keyword?queryString=%5Baliases%5D(%20BZRAP1%20)%20OR%20%5Baliases%5D(%20TSPOAP1%20)&amp;keywords=BZRAP1,TSPOAP1", "BZRAP1;TSPOAP1")</f>
        <v/>
      </c>
      <c r="N462" t="inlineStr">
        <is>
          <t>exonic</t>
        </is>
      </c>
      <c r="O462" t="inlineStr">
        <is>
          <t>stopgain</t>
        </is>
      </c>
      <c r="P462" t="inlineStr">
        <is>
          <t>TSPOAP1:NM_024418:exon16:c.C2314T:p.R772X,TSPOAP1:NM_001261835:exon17:c.C2494T:p.R832X,TSPOAP1:NM_004758:exon17:c.C2494T:p.R832X;BZRAP1:uc010dcs.4:exon16:c.C2314T:p.R772X,BZRAP1:uc002ivx.5:exon17:c.C2494T:p.R832X,BZRAP1:uc010wnt.3:exon17:c.C2494T:p.R832X;TSPOAP1:ENST00000268893.10_3:exon16:c.C2314T:p.R772X,TSPOAP1:ENST00000343736.9_9:exon17:c.C2494T:p.R832X</t>
        </is>
      </c>
      <c r="Q462" t="n">
        <v>-1</v>
      </c>
      <c r="R462" t="n">
        <v>-1</v>
      </c>
      <c r="S462" t="n">
        <v>-1</v>
      </c>
      <c r="T462" t="n">
        <v>-1</v>
      </c>
      <c r="U462" t="n">
        <v>-1</v>
      </c>
      <c r="V462" t="inlineStr">
        <is>
          <t>3/3</t>
        </is>
      </c>
      <c r="W462" t="inlineStr">
        <is>
          <t>.</t>
        </is>
      </c>
      <c r="X462" t="inlineStr">
        <is>
          <t>.</t>
        </is>
      </c>
      <c r="Y462" t="inlineStr">
        <is>
          <t>.</t>
        </is>
      </c>
      <c r="Z462" t="inlineStr">
        <is>
          <t>1/7</t>
        </is>
      </c>
      <c r="AA462" t="inlineStr">
        <is>
          <t>Uncertain significance</t>
        </is>
      </c>
      <c r="AB462" t="inlineStr">
        <is>
          <t>.</t>
        </is>
      </c>
      <c r="AC462" t="inlineStr">
        <is>
          <t>0/1</t>
        </is>
      </c>
      <c r="AD462" t="inlineStr">
        <is>
          <t>1;1</t>
        </is>
      </c>
      <c r="AE462" t="inlineStr">
        <is>
          <t>0.0566264084919234</t>
        </is>
      </c>
      <c r="AF462" t="inlineStr">
        <is>
          <t>benzodiazepine receptor (peripheral) associated protein 1</t>
        </is>
      </c>
      <c r="AG462" t="inlineStr">
        <is>
          <t>.</t>
        </is>
      </c>
      <c r="AH462" t="inlineStr">
        <is>
          <t>.</t>
        </is>
      </c>
      <c r="AI462" t="inlineStr">
        <is>
          <t>.</t>
        </is>
      </c>
      <c r="AJ462" t="inlineStr">
        <is>
          <t>.</t>
        </is>
      </c>
      <c r="AK462" t="inlineStr">
        <is>
          <t>.</t>
        </is>
      </c>
      <c r="AL462" t="inlineStr">
        <is>
          <t>.</t>
        </is>
      </c>
    </row>
    <row r="463">
      <c r="A463" t="inlineStr"/>
      <c r="B463">
        <f>HYPERLINK("https://genome.ucsc.edu/cgi-bin/hgTracks?db=hg19&amp;position=chr17%3A58035769%2D58035769", "chr17:58035769")</f>
        <v/>
      </c>
      <c r="C463" t="inlineStr">
        <is>
          <t>chr17</t>
        </is>
      </c>
      <c r="D463" t="n">
        <v>58035769</v>
      </c>
      <c r="E463" t="n">
        <v>58035769</v>
      </c>
      <c r="F463" t="inlineStr">
        <is>
          <t>G</t>
        </is>
      </c>
      <c r="G463" t="inlineStr">
        <is>
          <t>C</t>
        </is>
      </c>
      <c r="H463" t="inlineStr">
        <is>
          <t>601.64</t>
        </is>
      </c>
      <c r="I463" t="inlineStr">
        <is>
          <t>86</t>
        </is>
      </c>
      <c r="J463" t="inlineStr">
        <is>
          <t>58,28</t>
        </is>
      </c>
      <c r="K463" t="inlineStr">
        <is>
          <t>.</t>
        </is>
      </c>
      <c r="L463">
        <f>HYPERLINK("https://www.ncbi.nlm.nih.gov/snp/rs766253181", "rs766253181")</f>
        <v/>
      </c>
      <c r="M463">
        <f>HYPERLINK("https://www.genecards.org/Search/Keyword?queryString=%5Baliases%5D(%20RNFT1%20)&amp;keywords=RNFT1", "RNFT1")</f>
        <v/>
      </c>
      <c r="N463" t="inlineStr">
        <is>
          <t>exonic</t>
        </is>
      </c>
      <c r="O463" t="inlineStr">
        <is>
          <t>nonsynonymous SNV</t>
        </is>
      </c>
      <c r="P463" t="inlineStr">
        <is>
          <t>RNFT1:NM_016125:exon5:c.C729G:p.S243R;RNFT1:uc002iya.3:exon5:c.C729G:p.S243R;RNFT1:ENST00000305783.13_5:exon5:c.C729G:p.S243R</t>
        </is>
      </c>
      <c r="Q463" t="n">
        <v>6.488e-05</v>
      </c>
      <c r="R463" t="n">
        <v>-1</v>
      </c>
      <c r="S463" t="n">
        <v>7.352e-05</v>
      </c>
      <c r="T463" t="n">
        <v>-1</v>
      </c>
      <c r="U463" t="n">
        <v>-1</v>
      </c>
      <c r="V463" t="inlineStr">
        <is>
          <t>5/12</t>
        </is>
      </c>
      <c r="W463" t="inlineStr">
        <is>
          <t>.</t>
        </is>
      </c>
      <c r="X463" t="inlineStr">
        <is>
          <t>.</t>
        </is>
      </c>
      <c r="Y463" t="inlineStr">
        <is>
          <t>.</t>
        </is>
      </c>
      <c r="Z463" t="inlineStr">
        <is>
          <t>2/7</t>
        </is>
      </c>
      <c r="AA463" t="inlineStr">
        <is>
          <t>Uncertain significance</t>
        </is>
      </c>
      <c r="AB463" t="inlineStr">
        <is>
          <t>.</t>
        </is>
      </c>
      <c r="AC463" t="inlineStr">
        <is>
          <t>0/1</t>
        </is>
      </c>
      <c r="AD463" t="inlineStr">
        <is>
          <t>1</t>
        </is>
      </c>
      <c r="AE463" t="inlineStr">
        <is>
          <t>0.011205655064819</t>
        </is>
      </c>
      <c r="AF463" t="inlineStr">
        <is>
          <t>ring finger protein, transmembrane 1</t>
        </is>
      </c>
      <c r="AG463" t="inlineStr">
        <is>
          <t>.</t>
        </is>
      </c>
      <c r="AH463" t="inlineStr">
        <is>
          <t>.</t>
        </is>
      </c>
      <c r="AI463" t="inlineStr">
        <is>
          <t>.</t>
        </is>
      </c>
      <c r="AJ463" t="inlineStr">
        <is>
          <t>.</t>
        </is>
      </c>
      <c r="AK463" t="inlineStr">
        <is>
          <t>.</t>
        </is>
      </c>
      <c r="AL463" t="inlineStr">
        <is>
          <t>.</t>
        </is>
      </c>
    </row>
    <row r="464">
      <c r="A464" t="inlineStr"/>
      <c r="B464">
        <f>HYPERLINK("https://genome.ucsc.edu/cgi-bin/hgTracks?db=hg19&amp;position=chr17%3A73238508%2D73238508", "chr17:73238508")</f>
        <v/>
      </c>
      <c r="C464" t="inlineStr">
        <is>
          <t>chr17</t>
        </is>
      </c>
      <c r="D464" t="n">
        <v>73238508</v>
      </c>
      <c r="E464" t="n">
        <v>73238508</v>
      </c>
      <c r="F464" t="inlineStr">
        <is>
          <t>T</t>
        </is>
      </c>
      <c r="G464" t="inlineStr">
        <is>
          <t>C</t>
        </is>
      </c>
      <c r="H464" t="inlineStr">
        <is>
          <t>1531.64</t>
        </is>
      </c>
      <c r="I464" t="inlineStr">
        <is>
          <t>92</t>
        </is>
      </c>
      <c r="J464" t="inlineStr">
        <is>
          <t>37,55</t>
        </is>
      </c>
      <c r="K464" t="inlineStr">
        <is>
          <t>.</t>
        </is>
      </c>
      <c r="L464">
        <f>HYPERLINK("https://www.ncbi.nlm.nih.gov/snp/rs52809447", "rs52809447")</f>
        <v/>
      </c>
      <c r="M464">
        <f>HYPERLINK("https://www.genecards.org/Search/Keyword?queryString=%5Baliases%5D(%20GGA3%20)&amp;keywords=GGA3", "GGA3")</f>
        <v/>
      </c>
      <c r="N464" t="inlineStr">
        <is>
          <t>exonic</t>
        </is>
      </c>
      <c r="O464" t="inlineStr">
        <is>
          <t>nonsynonymous SNV</t>
        </is>
      </c>
      <c r="P464" t="inlineStr">
        <is>
          <t>GGA3:NM_001291642:exon5:c.A290G:p.E97G,GGA3:NM_001172704:exon7:c.A290G:p.E97G,GGA3:NM_014001:exon7:c.A557G:p.E186G,GGA3:NM_001172703:exon8:c.A440G:p.E147G,GGA3:NM_138619:exon8:c.A656G:p.E219G,GGA3:NM_001291641:exon9:c.A440G:p.E147G;GGA3:uc010wrx.2:exon5:c.A290G:p.E97G,GGA3:uc002jnj.2:exon7:c.A557G:p.E186G,GGA3:uc010wrw.2:exon7:c.A290G:p.E97G,GGA3:uc002jni.2:exon8:c.A656G:p.E219G,GGA3:uc010wry.2:exon8:c.A440G:p.E147G,GGA3:uc002jnk.2:exon9:c.A440G:p.E147G;GGA3:ENST00000538886.5_3:exon7:c.A557G:p.E186G,GGA3:ENST00000578348.5_3:exon7:c.A290G:p.E97G,GGA3:ENST00000537686.6_5:exon8:c.A656G:p.E219G,GGA3:ENST00000582486.5_3:exon8:c.A440G:p.E147G,GGA3:ENST00000582717.5_3:exon8:c.A440G:p.E147G</t>
        </is>
      </c>
      <c r="Q464" t="n">
        <v>0.0161</v>
      </c>
      <c r="R464" t="n">
        <v>0.014</v>
      </c>
      <c r="S464" t="n">
        <v>0.0129</v>
      </c>
      <c r="T464" t="n">
        <v>-1</v>
      </c>
      <c r="U464" t="n">
        <v>0.015</v>
      </c>
      <c r="V464" t="inlineStr">
        <is>
          <t>5/8</t>
        </is>
      </c>
      <c r="W464" t="inlineStr">
        <is>
          <t>.</t>
        </is>
      </c>
      <c r="X464" t="inlineStr">
        <is>
          <t>.</t>
        </is>
      </c>
      <c r="Y464" t="inlineStr">
        <is>
          <t>.</t>
        </is>
      </c>
      <c r="Z464" t="inlineStr">
        <is>
          <t>4/7</t>
        </is>
      </c>
      <c r="AA464" t="inlineStr">
        <is>
          <t>Uncertain significance</t>
        </is>
      </c>
      <c r="AB464" t="inlineStr">
        <is>
          <t>.</t>
        </is>
      </c>
      <c r="AC464" t="inlineStr">
        <is>
          <t>0/1</t>
        </is>
      </c>
      <c r="AD464" t="inlineStr">
        <is>
          <t>1</t>
        </is>
      </c>
      <c r="AE464" t="inlineStr">
        <is>
          <t>0.505243695718199</t>
        </is>
      </c>
      <c r="AF464" t="inlineStr">
        <is>
          <t>golgi-associated, gamma adaptin ear containing, ARF binding protein 3</t>
        </is>
      </c>
      <c r="AG464" t="inlineStr">
        <is>
          <t xml:space="preserve">FUNCTION: Plays a role in protein sorting and trafficking between the trans-Golgi network (TGN) and endosomes. Mediates the ARF- dependent recruitment of clathrin to the TGN and binds ubiquitinated proteins and membrane cargo molecules with a cytosolic acidic cluster-dileucine (AC-LL) motif. {ECO:0000269|PubMed:11301005}.; </t>
        </is>
      </c>
      <c r="AH464" t="inlineStr">
        <is>
          <t>.</t>
        </is>
      </c>
      <c r="AI464" t="inlineStr">
        <is>
          <t>.</t>
        </is>
      </c>
      <c r="AJ464" t="inlineStr">
        <is>
          <t>.</t>
        </is>
      </c>
      <c r="AK464" t="inlineStr">
        <is>
          <t>.</t>
        </is>
      </c>
      <c r="AL464" t="inlineStr">
        <is>
          <t>.</t>
        </is>
      </c>
    </row>
    <row r="465">
      <c r="A465" t="inlineStr"/>
      <c r="B465">
        <f>HYPERLINK("https://genome.ucsc.edu/cgi-bin/hgTracks?db=hg19&amp;position=chr17%3A73739929%2D73739929", "chr17:73739929")</f>
        <v/>
      </c>
      <c r="C465" t="inlineStr">
        <is>
          <t>chr17</t>
        </is>
      </c>
      <c r="D465" t="n">
        <v>73739929</v>
      </c>
      <c r="E465" t="n">
        <v>73739929</v>
      </c>
      <c r="F465" t="inlineStr">
        <is>
          <t>C</t>
        </is>
      </c>
      <c r="G465" t="inlineStr">
        <is>
          <t>T</t>
        </is>
      </c>
      <c r="H465" t="inlineStr">
        <is>
          <t>591.64</t>
        </is>
      </c>
      <c r="I465" t="inlineStr">
        <is>
          <t>92</t>
        </is>
      </c>
      <c r="J465" t="inlineStr">
        <is>
          <t>65,27</t>
        </is>
      </c>
      <c r="K465" t="inlineStr">
        <is>
          <t>.</t>
        </is>
      </c>
      <c r="L465">
        <f>HYPERLINK("https://www.ncbi.nlm.nih.gov/snp/rs766918727", "rs766918727")</f>
        <v/>
      </c>
      <c r="M465">
        <f>HYPERLINK("https://www.genecards.org/Search/Keyword?queryString=%5Baliases%5D(%20ITGB4%20)&amp;keywords=ITGB4", "ITGB4")</f>
        <v/>
      </c>
      <c r="N465" t="inlineStr">
        <is>
          <t>exonic</t>
        </is>
      </c>
      <c r="O465" t="inlineStr">
        <is>
          <t>nonsynonymous SNV</t>
        </is>
      </c>
      <c r="P465" t="inlineStr">
        <is>
          <t>ITGB4:NM_001005619:exon25:c.C3098T:p.A1033V,ITGB4:NM_000213:exon26:c.C3098T:p.A1033V,ITGB4:NM_001005731:exon26:c.C3098T:p.A1033V,ITGB4:NM_001321123:exon26:c.C3098T:p.A1033V;ITGB4:uc002jpj.3:exon25:c.C3098T:p.A1033V,ITGB4:uc002jpg.3:exon26:c.C3098T:p.A1033V,ITGB4:uc002jph.3:exon26:c.C3098T:p.A1033V,ITGB4:uc002jpi.4:exon26:c.C3098T:p.A1033V;ITGB4:ENST00000449880.6_4:exon25:c.C3098T:p.A1033V,ITGB4:ENST00000200181.8_6:exon26:c.C3098T:p.A1033V,ITGB4:ENST00000450894.7_3:exon26:c.C3098T:p.A1033V,ITGB4:ENST00000579662.5_3:exon26:c.C3098T:p.A1033V</t>
        </is>
      </c>
      <c r="Q465" t="n">
        <v>1.94e-05</v>
      </c>
      <c r="R465" t="n">
        <v>-1</v>
      </c>
      <c r="S465" t="n">
        <v>-1</v>
      </c>
      <c r="T465" t="n">
        <v>-1</v>
      </c>
      <c r="U465" t="n">
        <v>-1</v>
      </c>
      <c r="V465" t="inlineStr">
        <is>
          <t>9/11</t>
        </is>
      </c>
      <c r="W465" t="inlineStr">
        <is>
          <t>.</t>
        </is>
      </c>
      <c r="X465" t="inlineStr">
        <is>
          <t>.</t>
        </is>
      </c>
      <c r="Y465" t="inlineStr">
        <is>
          <t>.</t>
        </is>
      </c>
      <c r="Z465" t="inlineStr">
        <is>
          <t>5/7</t>
        </is>
      </c>
      <c r="AA465" t="inlineStr">
        <is>
          <t>Uncertain significance</t>
        </is>
      </c>
      <c r="AB465" t="inlineStr">
        <is>
          <t>.</t>
        </is>
      </c>
      <c r="AC465" t="inlineStr">
        <is>
          <t>0/1</t>
        </is>
      </c>
      <c r="AD465" t="inlineStr">
        <is>
          <t>1</t>
        </is>
      </c>
      <c r="AE465" t="inlineStr">
        <is>
          <t>1.05348780207872e-11</t>
        </is>
      </c>
      <c r="AF465" t="inlineStr">
        <is>
          <t>integrin subunit beta 4</t>
        </is>
      </c>
      <c r="AG465" t="inlineStr">
        <is>
          <t xml:space="preserve">FUNCTION: Integrin alpha-6/beta-4 is a receptor for laminin. Plays a critical structural role in the hemidesmosome of epithelial cells. Is required for the regulation of keratinocyte polarity and motility. {ECO:0000269|PubMed:12482924, ECO:0000269|PubMed:19403692}.; </t>
        </is>
      </c>
      <c r="AH465" t="inlineStr">
        <is>
          <t xml:space="preserve">DISEASE: Epidermolysis bullosa letalis, with pyloric atresia (EB- PA) [MIM:226730]: An autosomal recessive, frequently lethal, epidermolysis bullosa with variable involvement of skin, nails, mucosa, and with variable effects on the digestive system. It is characterized by mucocutaneous fragility, aplasia cutis congenita, and gastrointestinal atresia, which most commonly affects the pylorus. Pyloric atresia is a primary manifestation rather than a scarring process secondary to epidermolysis bullosa. {ECO:0000269|PubMed:10873890, ECO:0000269|PubMed:11251584, ECO:0000269|PubMed:11328943, ECO:0000269|PubMed:9422533, ECO:0000269|PubMed:9546354, ECO:0000269|PubMed:9792864, ECO:0000269|PubMed:9892956}. Note=The disease is caused by mutations affecting the gene represented in this entry.; DISEASE: Generalized atrophic benign epidermolysis bullosa (GABEB) [MIM:226650]: A non-lethal, adult form of junctional epidermolysis bullosa characterized by life-long blistering of the skin, associated with hair and tooth abnormalities. {ECO:0000269|PubMed:10792571}. Note=The disease is caused by mutations affecting the gene represented in this entry.; </t>
        </is>
      </c>
      <c r="AI465" t="inlineStr">
        <is>
          <t>.</t>
        </is>
      </c>
      <c r="AJ465" t="inlineStr">
        <is>
          <t>.</t>
        </is>
      </c>
      <c r="AK465" t="inlineStr">
        <is>
          <t>.</t>
        </is>
      </c>
      <c r="AL465" t="inlineStr">
        <is>
          <t>.</t>
        </is>
      </c>
    </row>
    <row r="466">
      <c r="A466" t="inlineStr"/>
      <c r="B466">
        <f>HYPERLINK("https://genome.ucsc.edu/cgi-bin/hgTracks?db=hg19&amp;position=chr17%3A74005802%2D74005802", "chr17:74005802")</f>
        <v/>
      </c>
      <c r="C466" t="inlineStr">
        <is>
          <t>chr17</t>
        </is>
      </c>
      <c r="D466" t="n">
        <v>74005802</v>
      </c>
      <c r="E466" t="n">
        <v>74005802</v>
      </c>
      <c r="F466" t="inlineStr">
        <is>
          <t>C</t>
        </is>
      </c>
      <c r="G466" t="inlineStr">
        <is>
          <t>T</t>
        </is>
      </c>
      <c r="H466" t="inlineStr">
        <is>
          <t>985.64</t>
        </is>
      </c>
      <c r="I466" t="inlineStr">
        <is>
          <t>63</t>
        </is>
      </c>
      <c r="J466" t="inlineStr">
        <is>
          <t>28,35</t>
        </is>
      </c>
      <c r="K466" t="inlineStr">
        <is>
          <t>.</t>
        </is>
      </c>
      <c r="L466">
        <f>HYPERLINK("https://www.ncbi.nlm.nih.gov/snp/rs146508997", "rs146508997")</f>
        <v/>
      </c>
      <c r="M466">
        <f>HYPERLINK("https://www.genecards.org/Search/Keyword?queryString=%5Baliases%5D(%20EVPL%20)&amp;keywords=EVPL", "EVPL")</f>
        <v/>
      </c>
      <c r="N466" t="inlineStr">
        <is>
          <t>exonic</t>
        </is>
      </c>
      <c r="O466" t="inlineStr">
        <is>
          <t>nonsynonymous SNV</t>
        </is>
      </c>
      <c r="P466" t="inlineStr">
        <is>
          <t>EVPL:NM_001320747:exon22:c.G3550A:p.E1184K,EVPL:NM_001988:exon22:c.G3484A:p.E1162K;EVPL:uc010wst.1:exon20:c.G1894A:p.E632K,EVPL:uc002jqi.2:exon22:c.G3484A:p.E1162K,EVPL:uc010wss.1:exon22:c.G3550A:p.E1184K;EVPL:ENST00000301607.8_8:exon22:c.G3484A:p.E1162K,EVPL:ENST00000586740.1_6:exon22:c.G3550A:p.E1184K</t>
        </is>
      </c>
      <c r="Q466" t="n">
        <v>0.025253</v>
      </c>
      <c r="R466" t="n">
        <v>0.007</v>
      </c>
      <c r="S466" t="n">
        <v>0.0066</v>
      </c>
      <c r="T466" t="n">
        <v>-1</v>
      </c>
      <c r="U466" t="n">
        <v>0.006</v>
      </c>
      <c r="V466" t="inlineStr">
        <is>
          <t>7/10</t>
        </is>
      </c>
      <c r="W466" t="inlineStr">
        <is>
          <t>.</t>
        </is>
      </c>
      <c r="X466" t="inlineStr">
        <is>
          <t>.</t>
        </is>
      </c>
      <c r="Y466" t="inlineStr">
        <is>
          <t>.</t>
        </is>
      </c>
      <c r="Z466" t="inlineStr">
        <is>
          <t>1/7</t>
        </is>
      </c>
      <c r="AA466" t="inlineStr">
        <is>
          <t>Benign</t>
        </is>
      </c>
      <c r="AB466" t="inlineStr">
        <is>
          <t>.</t>
        </is>
      </c>
      <c r="AC466" t="inlineStr">
        <is>
          <t>0/1</t>
        </is>
      </c>
      <c r="AD466" t="inlineStr">
        <is>
          <t>1</t>
        </is>
      </c>
      <c r="AE466" t="inlineStr">
        <is>
          <t>6.48709103471533e-14</t>
        </is>
      </c>
      <c r="AF466" t="inlineStr">
        <is>
          <t>envoplakin</t>
        </is>
      </c>
      <c r="AG466" t="inlineStr">
        <is>
          <t xml:space="preserve">FUNCTION: Component of the cornified envelope of keratinocytes. May link the cornified envelope to desmosomes and intermediate filaments.; </t>
        </is>
      </c>
      <c r="AH466" t="inlineStr">
        <is>
          <t>.</t>
        </is>
      </c>
      <c r="AI466" t="inlineStr">
        <is>
          <t>.</t>
        </is>
      </c>
      <c r="AJ466" t="inlineStr">
        <is>
          <t>.</t>
        </is>
      </c>
      <c r="AK466" t="inlineStr">
        <is>
          <t>.</t>
        </is>
      </c>
      <c r="AL466" t="inlineStr">
        <is>
          <t>.</t>
        </is>
      </c>
    </row>
    <row r="467">
      <c r="A467" t="inlineStr"/>
      <c r="B467">
        <f>HYPERLINK("https://genome.ucsc.edu/cgi-bin/hgTracks?db=hg19&amp;position=chr17%3A74136151%2D74136151", "chr17:74136151")</f>
        <v/>
      </c>
      <c r="C467" t="inlineStr">
        <is>
          <t>chr17</t>
        </is>
      </c>
      <c r="D467" t="n">
        <v>74136151</v>
      </c>
      <c r="E467" t="n">
        <v>74136151</v>
      </c>
      <c r="F467" t="inlineStr">
        <is>
          <t>G</t>
        </is>
      </c>
      <c r="G467" t="inlineStr">
        <is>
          <t>T</t>
        </is>
      </c>
      <c r="H467" t="inlineStr">
        <is>
          <t>770.64</t>
        </is>
      </c>
      <c r="I467" t="inlineStr">
        <is>
          <t>101</t>
        </is>
      </c>
      <c r="J467" t="inlineStr">
        <is>
          <t>65,36</t>
        </is>
      </c>
      <c r="K467" t="inlineStr">
        <is>
          <t>.</t>
        </is>
      </c>
      <c r="L467">
        <f>HYPERLINK("https://www.ncbi.nlm.nih.gov/snp/rs745334236", "rs745334236")</f>
        <v/>
      </c>
      <c r="M467">
        <f>HYPERLINK("https://www.genecards.org/Search/Keyword?queryString=%5Baliases%5D(%20FOXJ1%20)&amp;keywords=FOXJ1", "FOXJ1")</f>
        <v/>
      </c>
      <c r="N467" t="inlineStr">
        <is>
          <t>exonic</t>
        </is>
      </c>
      <c r="O467" t="inlineStr">
        <is>
          <t>nonsynonymous SNV</t>
        </is>
      </c>
      <c r="P467" t="inlineStr">
        <is>
          <t>FOXJ1:NM_001454:exon2:c.C326A:p.P109H;FOXJ1:uc002jqx.3:exon2:c.C326A:p.P109H;FOXJ1:ENST00000322957.7_5:exon2:c.C326A:p.P109H</t>
        </is>
      </c>
      <c r="Q467" t="n">
        <v>0.0003</v>
      </c>
      <c r="R467" t="n">
        <v>-1</v>
      </c>
      <c r="S467" t="n">
        <v>-1</v>
      </c>
      <c r="T467" t="n">
        <v>-1</v>
      </c>
      <c r="U467" t="n">
        <v>-1</v>
      </c>
      <c r="V467" t="inlineStr">
        <is>
          <t>8/12</t>
        </is>
      </c>
      <c r="W467" t="inlineStr">
        <is>
          <t>.</t>
        </is>
      </c>
      <c r="X467" t="inlineStr">
        <is>
          <t>.</t>
        </is>
      </c>
      <c r="Y467" t="inlineStr">
        <is>
          <t>.</t>
        </is>
      </c>
      <c r="Z467" t="inlineStr">
        <is>
          <t>1/7</t>
        </is>
      </c>
      <c r="AA467" t="inlineStr">
        <is>
          <t>Uncertain significance</t>
        </is>
      </c>
      <c r="AB467" t="inlineStr">
        <is>
          <t>.</t>
        </is>
      </c>
      <c r="AC467" t="inlineStr">
        <is>
          <t>0/1</t>
        </is>
      </c>
      <c r="AD467" t="inlineStr">
        <is>
          <t>1</t>
        </is>
      </c>
      <c r="AE467" t="inlineStr">
        <is>
          <t>0.826867383152592</t>
        </is>
      </c>
      <c r="AF467" t="inlineStr">
        <is>
          <t>forkhead box J1</t>
        </is>
      </c>
      <c r="AG467" t="inlineStr">
        <is>
          <t xml:space="preserve">FUNCTION: Transcription factor required for motile ciliogenesis. {ECO:0000250|UniProtKB:Q61660}.; </t>
        </is>
      </c>
      <c r="AH467" t="inlineStr">
        <is>
          <t xml:space="preserve">DISEASE: Allergic rhinitis (ALRH) [MIM:607154]: A common disease with complex inheritance characterized by mucosal inflammation caused by allergen exposure. Note=Disease susceptibility may be associated with variations affecting the gene represented in this entry.; </t>
        </is>
      </c>
      <c r="AI467" t="inlineStr">
        <is>
          <t>.</t>
        </is>
      </c>
      <c r="AJ467" t="inlineStr">
        <is>
          <t>.</t>
        </is>
      </c>
      <c r="AK467" t="inlineStr">
        <is>
          <t>.</t>
        </is>
      </c>
      <c r="AL467" t="inlineStr">
        <is>
          <t>.</t>
        </is>
      </c>
    </row>
    <row r="468">
      <c r="A468" t="inlineStr"/>
      <c r="B468">
        <f>HYPERLINK("https://genome.ucsc.edu/cgi-bin/hgTracks?db=hg19&amp;position=chr17%3A74381833%2D74381833", "chr17:74381833")</f>
        <v/>
      </c>
      <c r="C468" t="inlineStr">
        <is>
          <t>chr17</t>
        </is>
      </c>
      <c r="D468" t="n">
        <v>74381833</v>
      </c>
      <c r="E468" t="n">
        <v>74381833</v>
      </c>
      <c r="F468" t="inlineStr">
        <is>
          <t>C</t>
        </is>
      </c>
      <c r="G468" t="inlineStr">
        <is>
          <t>A</t>
        </is>
      </c>
      <c r="H468" t="inlineStr">
        <is>
          <t>51.64</t>
        </is>
      </c>
      <c r="I468" t="inlineStr">
        <is>
          <t>8</t>
        </is>
      </c>
      <c r="J468" t="inlineStr">
        <is>
          <t>6,2</t>
        </is>
      </c>
      <c r="K468" t="inlineStr">
        <is>
          <t>.</t>
        </is>
      </c>
      <c r="L468">
        <f>HYPERLINK("https://www.ncbi.nlm.nih.gov/snp/rs371169499", "rs371169499")</f>
        <v/>
      </c>
      <c r="M468">
        <f>HYPERLINK("https://www.genecards.org/Search/Keyword?queryString=%5Baliases%5D(%20SPHK1%20)&amp;keywords=SPHK1", "SPHK1")</f>
        <v/>
      </c>
      <c r="N468" t="inlineStr">
        <is>
          <t>UTR5;intronic</t>
        </is>
      </c>
      <c r="O468" t="inlineStr">
        <is>
          <t>.</t>
        </is>
      </c>
      <c r="P468" t="inlineStr">
        <is>
          <t>uc002jrg.1:c.-376C&gt;A</t>
        </is>
      </c>
      <c r="Q468" t="n">
        <v>0.0009</v>
      </c>
      <c r="R468" t="n">
        <v>0.0009</v>
      </c>
      <c r="S468" t="n">
        <v>0.0012</v>
      </c>
      <c r="T468" t="n">
        <v>-1</v>
      </c>
      <c r="U468" t="n">
        <v>0.0012</v>
      </c>
      <c r="V468" t="inlineStr">
        <is>
          <t>.</t>
        </is>
      </c>
      <c r="W468" t="inlineStr">
        <is>
          <t>.</t>
        </is>
      </c>
      <c r="X468" t="inlineStr">
        <is>
          <t>PD</t>
        </is>
      </c>
      <c r="Y468" t="inlineStr">
        <is>
          <t>off</t>
        </is>
      </c>
      <c r="Z468" t="inlineStr">
        <is>
          <t>.</t>
        </is>
      </c>
      <c r="AA468" t="inlineStr">
        <is>
          <t>.</t>
        </is>
      </c>
      <c r="AB468" t="inlineStr">
        <is>
          <t>.</t>
        </is>
      </c>
      <c r="AC468" t="inlineStr">
        <is>
          <t>0/1</t>
        </is>
      </c>
      <c r="AD468" t="inlineStr">
        <is>
          <t>1</t>
        </is>
      </c>
      <c r="AE468" t="inlineStr">
        <is>
          <t>1.29152628928557e-05</t>
        </is>
      </c>
      <c r="AF468" t="inlineStr">
        <is>
          <t>sphingosine kinase 1</t>
        </is>
      </c>
      <c r="AG468" t="inlineStr">
        <is>
          <t xml:space="preserve">FUNCTION: Catalyzes the phosphorylation of sphingosine to form sphingosine 1-phosphate (SPP), a lipid mediator with both intra- and extracellular functions. Also acts on D-erythro-sphingosine and to a lesser extent sphinganine, but not other lipids, such as D,L-threo-dihydrosphingosine, N,N-dimethylsphingosine, diacylglycerol, ceramide, or phosphatidylinositol. {ECO:0000269|PubMed:20577214, ECO:0000269|PubMed:23602659}.; </t>
        </is>
      </c>
      <c r="AH468" t="inlineStr">
        <is>
          <t>.</t>
        </is>
      </c>
      <c r="AI468" t="inlineStr">
        <is>
          <t>.</t>
        </is>
      </c>
      <c r="AJ468" t="inlineStr">
        <is>
          <t>.</t>
        </is>
      </c>
      <c r="AK468" t="inlineStr">
        <is>
          <t>.</t>
        </is>
      </c>
      <c r="AL468" t="inlineStr">
        <is>
          <t>.</t>
        </is>
      </c>
    </row>
    <row r="469">
      <c r="A469" t="inlineStr"/>
      <c r="B469">
        <f>HYPERLINK("https://genome.ucsc.edu/cgi-bin/hgTracks?db=hg19&amp;position=chr17%3A77758653%2D77758653", "chr17:77758653")</f>
        <v/>
      </c>
      <c r="C469" t="inlineStr">
        <is>
          <t>chr17</t>
        </is>
      </c>
      <c r="D469" t="n">
        <v>77758653</v>
      </c>
      <c r="E469" t="n">
        <v>77758653</v>
      </c>
      <c r="F469" t="inlineStr">
        <is>
          <t>C</t>
        </is>
      </c>
      <c r="G469" t="inlineStr">
        <is>
          <t>G</t>
        </is>
      </c>
      <c r="H469" t="inlineStr">
        <is>
          <t>981.64</t>
        </is>
      </c>
      <c r="I469" t="inlineStr">
        <is>
          <t>144</t>
        </is>
      </c>
      <c r="J469" t="inlineStr">
        <is>
          <t>93,51</t>
        </is>
      </c>
      <c r="K469" t="inlineStr">
        <is>
          <t>.</t>
        </is>
      </c>
      <c r="L469">
        <f>HYPERLINK("https://www.ncbi.nlm.nih.gov/snp/rs141957173", "rs141957173")</f>
        <v/>
      </c>
      <c r="M469">
        <f>HYPERLINK("https://www.genecards.org/Search/Keyword?queryString=%5Baliases%5D(%20CBX2%20)&amp;keywords=CBX2", "CBX2")</f>
        <v/>
      </c>
      <c r="N469" t="inlineStr">
        <is>
          <t>exonic</t>
        </is>
      </c>
      <c r="O469" t="inlineStr">
        <is>
          <t>nonsynonymous SNV</t>
        </is>
      </c>
      <c r="P469" t="inlineStr">
        <is>
          <t>CBX2:NM_005189:exon5:c.C1411G:p.P471A;CBX2:uc002jxc.3:exon5:c.C1411G:p.P471A;CBX2:ENST00000310942.9_3:exon5:c.C1411G:p.P471A</t>
        </is>
      </c>
      <c r="Q469" t="n">
        <v>0.0172</v>
      </c>
      <c r="R469" t="n">
        <v>0.008399999999999999</v>
      </c>
      <c r="S469" t="n">
        <v>0.0081</v>
      </c>
      <c r="T469" t="n">
        <v>-1</v>
      </c>
      <c r="U469" t="n">
        <v>0.008500000000000001</v>
      </c>
      <c r="V469" t="inlineStr">
        <is>
          <t>4/9</t>
        </is>
      </c>
      <c r="W469" t="inlineStr">
        <is>
          <t>.</t>
        </is>
      </c>
      <c r="X469" t="inlineStr">
        <is>
          <t>.</t>
        </is>
      </c>
      <c r="Y469" t="inlineStr">
        <is>
          <t>.</t>
        </is>
      </c>
      <c r="Z469" t="inlineStr">
        <is>
          <t>4/7</t>
        </is>
      </c>
      <c r="AA469" t="inlineStr">
        <is>
          <t>Uncertain significance</t>
        </is>
      </c>
      <c r="AB469" t="inlineStr">
        <is>
          <t>Likely_benign</t>
        </is>
      </c>
      <c r="AC469" t="inlineStr">
        <is>
          <t>0/1</t>
        </is>
      </c>
      <c r="AD469" t="inlineStr">
        <is>
          <t>1</t>
        </is>
      </c>
      <c r="AE469" t="inlineStr">
        <is>
          <t>0.954823918488159</t>
        </is>
      </c>
      <c r="AF469" t="inlineStr">
        <is>
          <t>chromobox 2</t>
        </is>
      </c>
      <c r="AG469" t="inlineStr">
        <is>
          <t xml:space="preserve">FUNCTION: Component of a Polycomb group (PcG) multiprotein PRC1- like complex, a complex class required to maintain the transcriptionally repressive state of many genes, including Hox genes, throughout development. PcG PRC1 complex acts via chromatin remodeling and modification of histones; it mediates monoubiquitination of histone H2A 'Lys-119', rendering chromatin heritably changed in its expressibility. Involved in sexual development, acting as activator of NR5A1 expression. {ECO:0000269|PubMed:19361780, ECO:0000269|PubMed:21282530}.; </t>
        </is>
      </c>
      <c r="AH469" t="inlineStr">
        <is>
          <t xml:space="preserve">DISEASE: 46,XY sex reversal 5 (SRXY5) [MIM:613080]: A disorder of sex development. Affected individuals have a 46,XY karyotype but present as phenotypically normal females. {ECO:0000269|PubMed:19361780}. Note=The disease is caused by mutations affecting the gene represented in this entry.; </t>
        </is>
      </c>
      <c r="AI469" t="inlineStr">
        <is>
          <t>.</t>
        </is>
      </c>
      <c r="AJ469" t="inlineStr">
        <is>
          <t>.</t>
        </is>
      </c>
      <c r="AK469" t="inlineStr">
        <is>
          <t>.</t>
        </is>
      </c>
      <c r="AL469" t="inlineStr">
        <is>
          <t>.</t>
        </is>
      </c>
    </row>
    <row r="470">
      <c r="A470" t="inlineStr"/>
      <c r="B470">
        <f>HYPERLINK("https://genome.ucsc.edu/cgi-bin/hgTracks?db=hg19&amp;position=chr17%3A78069400%2D78069400", "chr17:78069400")</f>
        <v/>
      </c>
      <c r="C470" t="inlineStr">
        <is>
          <t>chr17</t>
        </is>
      </c>
      <c r="D470" t="n">
        <v>78069400</v>
      </c>
      <c r="E470" t="n">
        <v>78069400</v>
      </c>
      <c r="F470" t="inlineStr">
        <is>
          <t>G</t>
        </is>
      </c>
      <c r="G470" t="inlineStr">
        <is>
          <t>A</t>
        </is>
      </c>
      <c r="H470" t="inlineStr">
        <is>
          <t>127.64</t>
        </is>
      </c>
      <c r="I470" t="inlineStr">
        <is>
          <t>12</t>
        </is>
      </c>
      <c r="J470" t="inlineStr">
        <is>
          <t>8,4</t>
        </is>
      </c>
      <c r="K470" t="inlineStr">
        <is>
          <t>.</t>
        </is>
      </c>
      <c r="L470">
        <f>HYPERLINK("https://www.ncbi.nlm.nih.gov/snp/rs144480885", "rs144480885")</f>
        <v/>
      </c>
      <c r="M470">
        <f>HYPERLINK("https://www.genecards.org/Search/Keyword?queryString=%5Baliases%5D(%20CCDC40%20)&amp;keywords=CCDC40", "CCDC40")</f>
        <v/>
      </c>
      <c r="N470" t="inlineStr">
        <is>
          <t>intronic</t>
        </is>
      </c>
      <c r="O470" t="inlineStr">
        <is>
          <t>.</t>
        </is>
      </c>
      <c r="P470" t="inlineStr">
        <is>
          <t>.</t>
        </is>
      </c>
      <c r="Q470" t="n">
        <v>0.0242</v>
      </c>
      <c r="R470" t="n">
        <v>0.0159</v>
      </c>
      <c r="S470" t="n">
        <v>0.0139</v>
      </c>
      <c r="T470" t="n">
        <v>-1</v>
      </c>
      <c r="U470" t="n">
        <v>0.0144</v>
      </c>
      <c r="V470" t="inlineStr">
        <is>
          <t>.</t>
        </is>
      </c>
      <c r="W470" t="inlineStr">
        <is>
          <t>.</t>
        </is>
      </c>
      <c r="X470" t="inlineStr">
        <is>
          <t>PD</t>
        </is>
      </c>
      <c r="Y470" t="inlineStr">
        <is>
          <t>off</t>
        </is>
      </c>
      <c r="Z470" t="inlineStr">
        <is>
          <t>.</t>
        </is>
      </c>
      <c r="AA470" t="inlineStr">
        <is>
          <t>.</t>
        </is>
      </c>
      <c r="AB470" t="inlineStr">
        <is>
          <t>.</t>
        </is>
      </c>
      <c r="AC470" t="inlineStr">
        <is>
          <t>0/1</t>
        </is>
      </c>
      <c r="AD470" t="inlineStr">
        <is>
          <t>1</t>
        </is>
      </c>
      <c r="AE470" t="inlineStr">
        <is>
          <t>6.32159262183706e-11</t>
        </is>
      </c>
      <c r="AF470" t="inlineStr">
        <is>
          <t>coiled-coil domain containing 40</t>
        </is>
      </c>
      <c r="AG470" t="inlineStr">
        <is>
          <t xml:space="preserve">FUNCTION: Required for assembly of dynein regulatory complex (DRC) and inner dynein arm (IDA) complexes, which are responsible for ciliary beat regulation, thereby playing a central role in motility in cilia and flagella (PubMed:21131974). Probably acts together with CCDC39 to form a molecular ruler that determines the 96 nanometer (nm) repeat length and arrangements of components in cilia and flagella (By similarity). Not required for outer dynein arm complexes assembly. Required for axonemal recruitment of CCDC39 (PubMed:21131974). {ECO:0000250|UniProtKB:A8IQT2, ECO:0000269|PubMed:21131974}.; </t>
        </is>
      </c>
      <c r="AH470" t="inlineStr">
        <is>
          <t xml:space="preserve">DISEASE: Ciliary dyskinesia, primary, 15 (CILD15) [MIM:613808]: A disorder characterized by abnormalities of motile cilia. Respiratory infections leading to chronic inflammation and bronchiectasis are recurrent, due to defects in the respiratory cilia; reduced fertility is often observed in male patients due to abnormalities of sperm tails. Half of the patients exhibit randomization of left-right body asymmetry and situs inversus, due to dysfunction of monocilia at the embryonic node. Primary ciliary dyskinesia associated with situs inversus is referred to as Kartagener syndrome. {ECO:0000269|PubMed:21131974, ECO:0000269|PubMed:22693285, ECO:0000269|PubMed:23255504, ECO:0000269|PubMed:23402890, ECO:0000269|PubMed:25186273}. Note=The disease is caused by mutations affecting the gene represented in this entry. The disease is characterized by primary ciliary dyskinesia with inner dynein arm (IDA) defects and axonemal dizorganisation: defects in CCDC39 and CCDC40 constitute the major cause of this phenotype. {ECO:0000269|PubMed:22693285, ECO:0000269|PubMed:23255504}.; </t>
        </is>
      </c>
      <c r="AI470" t="inlineStr">
        <is>
          <t>.</t>
        </is>
      </c>
      <c r="AJ470" t="inlineStr">
        <is>
          <t>.</t>
        </is>
      </c>
      <c r="AK470" t="inlineStr">
        <is>
          <t>.</t>
        </is>
      </c>
      <c r="AL470" t="inlineStr">
        <is>
          <t>.</t>
        </is>
      </c>
    </row>
    <row r="471">
      <c r="A471" t="inlineStr"/>
      <c r="B471">
        <f>HYPERLINK("https://genome.ucsc.edu/cgi-bin/hgTracks?db=hg19&amp;position=chr17%3A78175451%2D78175451", "chr17:78175451")</f>
        <v/>
      </c>
      <c r="C471" t="inlineStr">
        <is>
          <t>chr17</t>
        </is>
      </c>
      <c r="D471" t="n">
        <v>78175451</v>
      </c>
      <c r="E471" t="n">
        <v>78175451</v>
      </c>
      <c r="F471" t="inlineStr">
        <is>
          <t>G</t>
        </is>
      </c>
      <c r="G471" t="inlineStr">
        <is>
          <t>A</t>
        </is>
      </c>
      <c r="H471" t="inlineStr">
        <is>
          <t>350.64</t>
        </is>
      </c>
      <c r="I471" t="inlineStr">
        <is>
          <t>24</t>
        </is>
      </c>
      <c r="J471" t="inlineStr">
        <is>
          <t>11,13</t>
        </is>
      </c>
      <c r="K471" t="inlineStr">
        <is>
          <t>.</t>
        </is>
      </c>
      <c r="L471">
        <f>HYPERLINK("https://www.ncbi.nlm.nih.gov/snp/rs531641311", "rs531641311")</f>
        <v/>
      </c>
      <c r="M471">
        <f>HYPERLINK("https://www.genecards.org/Search/Keyword?queryString=%5Baliases%5D(%20CARD14%20)&amp;keywords=CARD14", "CARD14")</f>
        <v/>
      </c>
      <c r="N471" t="inlineStr">
        <is>
          <t>intronic;ncRNA_exonic</t>
        </is>
      </c>
      <c r="O471" t="inlineStr">
        <is>
          <t>.</t>
        </is>
      </c>
      <c r="P471" t="inlineStr">
        <is>
          <t>.</t>
        </is>
      </c>
      <c r="Q471" t="n">
        <v>0.004112</v>
      </c>
      <c r="R471" t="n">
        <v>0.0012</v>
      </c>
      <c r="S471" t="n">
        <v>0.0018</v>
      </c>
      <c r="T471" t="n">
        <v>-1</v>
      </c>
      <c r="U471" t="n">
        <v>-1</v>
      </c>
      <c r="V471" t="inlineStr">
        <is>
          <t>.</t>
        </is>
      </c>
      <c r="W471" t="inlineStr">
        <is>
          <t>.</t>
        </is>
      </c>
      <c r="X471" t="inlineStr">
        <is>
          <t>.</t>
        </is>
      </c>
      <c r="Y471" t="inlineStr">
        <is>
          <t>.</t>
        </is>
      </c>
      <c r="Z471" t="inlineStr">
        <is>
          <t>.</t>
        </is>
      </c>
      <c r="AA471" t="inlineStr">
        <is>
          <t>.</t>
        </is>
      </c>
      <c r="AB471" t="inlineStr">
        <is>
          <t>.</t>
        </is>
      </c>
      <c r="AC471" t="inlineStr">
        <is>
          <t>0/1</t>
        </is>
      </c>
      <c r="AD471" t="inlineStr">
        <is>
          <t>2</t>
        </is>
      </c>
      <c r="AE471" t="inlineStr">
        <is>
          <t>3.14969356207765e-14</t>
        </is>
      </c>
      <c r="AF471" t="inlineStr">
        <is>
          <t>caspase recruitment domain family member 14</t>
        </is>
      </c>
      <c r="AG471" t="inlineStr">
        <is>
          <t xml:space="preserve">FUNCTION: Plays a role in signaling mediated by TRAF2, TRAF3 and TRAF6 and protects cells against apoptosis. Activates NF-kappa-B via BCL10 and IKK. Stimulates the phosphorylation of BCL10. {ECO:0000269|PubMed:21302310}.; </t>
        </is>
      </c>
      <c r="AH471" t="inlineStr">
        <is>
          <t xml:space="preserve">DISEASE: Pityriasis rubra pilaris (PRP) [MIM:173200]: A rare, papulosquamous skin disease characterized by the appearance of keratotic follicular papules, well-demarcated salmon-colored erythematous plaques covered with fine powdery scales interspersed with distinct islands of uninvolved skin, and palmoplantar keratoderma. Most cases are sporadic. The rare familial cases show autosomal dominant inheritance with incomplete penetrance and variable expression. Familial PRP usually presents at birth or appears during the first years of life and runs a chronic course. It is characterized by prominent follicular hyperkeratosis, diffuse palmoplantar keratoderma, and erythema. {ECO:0000269|PubMed:22703878}. Note=The disease is caused by mutations affecting the gene represented in this entry.; </t>
        </is>
      </c>
      <c r="AI471" t="inlineStr">
        <is>
          <t>.</t>
        </is>
      </c>
      <c r="AJ471" t="inlineStr">
        <is>
          <t>.</t>
        </is>
      </c>
      <c r="AK471" t="inlineStr">
        <is>
          <t>.</t>
        </is>
      </c>
      <c r="AL471" t="inlineStr">
        <is>
          <t>.</t>
        </is>
      </c>
    </row>
    <row r="472">
      <c r="A472" t="inlineStr"/>
      <c r="B472">
        <f>HYPERLINK("https://genome.ucsc.edu/cgi-bin/hgTracks?db=hg19&amp;position=chr17%3A78178326%2D78178326", "chr17:78178326")</f>
        <v/>
      </c>
      <c r="C472" t="inlineStr">
        <is>
          <t>chr17</t>
        </is>
      </c>
      <c r="D472" t="n">
        <v>78178326</v>
      </c>
      <c r="E472" t="n">
        <v>78178326</v>
      </c>
      <c r="F472" t="inlineStr">
        <is>
          <t>G</t>
        </is>
      </c>
      <c r="G472" t="inlineStr">
        <is>
          <t>A</t>
        </is>
      </c>
      <c r="H472" t="inlineStr">
        <is>
          <t>56.64</t>
        </is>
      </c>
      <c r="I472" t="inlineStr">
        <is>
          <t>8</t>
        </is>
      </c>
      <c r="J472" t="inlineStr">
        <is>
          <t>6,2</t>
        </is>
      </c>
      <c r="K472" t="inlineStr">
        <is>
          <t>.</t>
        </is>
      </c>
      <c r="L472" t="inlineStr">
        <is>
          <t>.</t>
        </is>
      </c>
      <c r="M472">
        <f>HYPERLINK("https://www.genecards.org/Search/Keyword?queryString=%5Baliases%5D(%20CARD14%20)&amp;keywords=CARD14", "CARD14")</f>
        <v/>
      </c>
      <c r="N472" t="inlineStr">
        <is>
          <t>intronic;ncRNA_exonic</t>
        </is>
      </c>
      <c r="O472" t="inlineStr">
        <is>
          <t>.</t>
        </is>
      </c>
      <c r="P472" t="inlineStr">
        <is>
          <t>.</t>
        </is>
      </c>
      <c r="Q472" t="n">
        <v>0.0001</v>
      </c>
      <c r="R472" t="n">
        <v>0.0001</v>
      </c>
      <c r="S472" t="n">
        <v>-1</v>
      </c>
      <c r="T472" t="n">
        <v>-1</v>
      </c>
      <c r="U472" t="n">
        <v>-1</v>
      </c>
      <c r="V472" t="inlineStr">
        <is>
          <t>.</t>
        </is>
      </c>
      <c r="W472" t="inlineStr">
        <is>
          <t>.</t>
        </is>
      </c>
      <c r="X472" t="inlineStr">
        <is>
          <t>.</t>
        </is>
      </c>
      <c r="Y472" t="inlineStr">
        <is>
          <t>.</t>
        </is>
      </c>
      <c r="Z472" t="inlineStr">
        <is>
          <t>.</t>
        </is>
      </c>
      <c r="AA472" t="inlineStr">
        <is>
          <t>.</t>
        </is>
      </c>
      <c r="AB472" t="inlineStr">
        <is>
          <t>.</t>
        </is>
      </c>
      <c r="AC472" t="inlineStr">
        <is>
          <t>0/1</t>
        </is>
      </c>
      <c r="AD472" t="inlineStr">
        <is>
          <t>2</t>
        </is>
      </c>
      <c r="AE472" t="inlineStr">
        <is>
          <t>3.14969356207765e-14</t>
        </is>
      </c>
      <c r="AF472" t="inlineStr">
        <is>
          <t>caspase recruitment domain family member 14</t>
        </is>
      </c>
      <c r="AG472" t="inlineStr">
        <is>
          <t xml:space="preserve">FUNCTION: Plays a role in signaling mediated by TRAF2, TRAF3 and TRAF6 and protects cells against apoptosis. Activates NF-kappa-B via BCL10 and IKK. Stimulates the phosphorylation of BCL10. {ECO:0000269|PubMed:21302310}.; </t>
        </is>
      </c>
      <c r="AH472" t="inlineStr">
        <is>
          <t xml:space="preserve">DISEASE: Pityriasis rubra pilaris (PRP) [MIM:173200]: A rare, papulosquamous skin disease characterized by the appearance of keratotic follicular papules, well-demarcated salmon-colored erythematous plaques covered with fine powdery scales interspersed with distinct islands of uninvolved skin, and palmoplantar keratoderma. Most cases are sporadic. The rare familial cases show autosomal dominant inheritance with incomplete penetrance and variable expression. Familial PRP usually presents at birth or appears during the first years of life and runs a chronic course. It is characterized by prominent follicular hyperkeratosis, diffuse palmoplantar keratoderma, and erythema. {ECO:0000269|PubMed:22703878}. Note=The disease is caused by mutations affecting the gene represented in this entry.; </t>
        </is>
      </c>
      <c r="AI472" t="inlineStr">
        <is>
          <t>.</t>
        </is>
      </c>
      <c r="AJ472" t="inlineStr">
        <is>
          <t>.</t>
        </is>
      </c>
      <c r="AK472" t="inlineStr">
        <is>
          <t>.</t>
        </is>
      </c>
      <c r="AL472" t="inlineStr">
        <is>
          <t>.</t>
        </is>
      </c>
    </row>
    <row r="473">
      <c r="A473" t="inlineStr"/>
      <c r="B473">
        <f>HYPERLINK("https://genome.ucsc.edu/cgi-bin/hgTracks?db=hg19&amp;position=chr17%3A78345568%2D78345569", "chr17:78345568")</f>
        <v/>
      </c>
      <c r="C473" t="inlineStr">
        <is>
          <t>chr17</t>
        </is>
      </c>
      <c r="D473" t="n">
        <v>78345568</v>
      </c>
      <c r="E473" t="n">
        <v>78345569</v>
      </c>
      <c r="F473" t="inlineStr">
        <is>
          <t>AC</t>
        </is>
      </c>
      <c r="G473" t="inlineStr">
        <is>
          <t>-</t>
        </is>
      </c>
      <c r="H473" t="inlineStr">
        <is>
          <t>59.60</t>
        </is>
      </c>
      <c r="I473" t="inlineStr">
        <is>
          <t>16</t>
        </is>
      </c>
      <c r="J473" t="inlineStr">
        <is>
          <t>13,3</t>
        </is>
      </c>
      <c r="K473" t="inlineStr">
        <is>
          <t>.</t>
        </is>
      </c>
      <c r="L473">
        <f>HYPERLINK("https://www.ncbi.nlm.nih.gov/snp/rs796104964", "rs796104964")</f>
        <v/>
      </c>
      <c r="M473">
        <f>HYPERLINK("https://www.genecards.org/Search/Keyword?queryString=%5Baliases%5D(%20LOC100294362%20)%20OR%20%5Baliases%5D(%20RNF213%20)%20OR%20%5Baliases%5D(%20RNF213-AS1%20)&amp;keywords=LOC100294362,RNF213,RNF213-AS1", "LOC100294362;RNF213;RNF213-AS1")</f>
        <v/>
      </c>
      <c r="N473" t="inlineStr">
        <is>
          <t>intronic;ncRNA_intronic</t>
        </is>
      </c>
      <c r="O473" t="inlineStr">
        <is>
          <t>.</t>
        </is>
      </c>
      <c r="P473" t="inlineStr">
        <is>
          <t>.</t>
        </is>
      </c>
      <c r="Q473" t="n">
        <v>0.022782</v>
      </c>
      <c r="R473" t="n">
        <v>0.0013</v>
      </c>
      <c r="S473" t="n">
        <v>-1</v>
      </c>
      <c r="T473" t="n">
        <v>-1</v>
      </c>
      <c r="U473" t="n">
        <v>-1</v>
      </c>
      <c r="V473" t="inlineStr">
        <is>
          <t>.</t>
        </is>
      </c>
      <c r="W473" t="inlineStr">
        <is>
          <t>.</t>
        </is>
      </c>
      <c r="X473" t="inlineStr">
        <is>
          <t>.</t>
        </is>
      </c>
      <c r="Y473" t="inlineStr">
        <is>
          <t>.</t>
        </is>
      </c>
      <c r="Z473" t="inlineStr">
        <is>
          <t>.</t>
        </is>
      </c>
      <c r="AA473" t="inlineStr">
        <is>
          <t>.</t>
        </is>
      </c>
      <c r="AB473" t="inlineStr">
        <is>
          <t>.</t>
        </is>
      </c>
      <c r="AC473" t="inlineStr">
        <is>
          <t>0/1</t>
        </is>
      </c>
      <c r="AD473" t="inlineStr">
        <is>
          <t>1;1;1</t>
        </is>
      </c>
      <c r="AE473" t="inlineStr">
        <is>
          <t>1.67778352788526e-29</t>
        </is>
      </c>
      <c r="AF473" t="inlineStr">
        <is>
          <t>ring finger protein 213</t>
        </is>
      </c>
      <c r="AG473" t="inlineStr">
        <is>
          <t xml:space="preserve">FUNCTION: Probable E3 ubiquitin-protein ligase that may play a role in angiogenesis. May also have an ATPase activity.; </t>
        </is>
      </c>
      <c r="AH473" t="inlineStr">
        <is>
          <t xml:space="preserve">DISEASE: Moyamoya disease 2 (MYMY2) [MIM:607151]: A progressive cerebral angiopathy characterized by bilateral intracranial carotid artery stenosis and telangiectatic vessels in the region of the basal ganglia. The abnormal vessels resemble a 'puff of smoke' (moyamoya) on cerebral angiogram. Affected individuals can develop transient ischemic attacks and/or cerebral infarction, and rupture of the collateral vessels can cause intracranial hemorrhage. Hemiplegia of sudden onset and epileptic seizures constitute the prevailing presentation in childhood, while subarachnoid bleeding occurs more frequently in adults. {ECO:0000269|PubMed:21048783, ECO:0000269|PubMed:21799892}. Note=Disease susceptibility is associated with variations affecting the gene represented in this entry.; DISEASE: Note=A chromosomal aberration involving ALO17 is associated with anaplastic large-cell lymphoma (ALCL). Translocation t(2;17)(p23;q25) with ALK.; </t>
        </is>
      </c>
      <c r="AI473" t="inlineStr">
        <is>
          <t>.</t>
        </is>
      </c>
      <c r="AJ473" t="inlineStr">
        <is>
          <t>.</t>
        </is>
      </c>
      <c r="AK473" t="inlineStr">
        <is>
          <t>.</t>
        </is>
      </c>
      <c r="AL473" t="inlineStr">
        <is>
          <t>.</t>
        </is>
      </c>
    </row>
    <row r="474">
      <c r="A474" t="inlineStr"/>
      <c r="B474">
        <f>HYPERLINK("https://genome.ucsc.edu/cgi-bin/hgTracks?db=hg19&amp;position=chr17%3A79662030%2D79662030", "chr17:79662030")</f>
        <v/>
      </c>
      <c r="C474" t="inlineStr">
        <is>
          <t>chr17</t>
        </is>
      </c>
      <c r="D474" t="n">
        <v>79662030</v>
      </c>
      <c r="E474" t="n">
        <v>79662030</v>
      </c>
      <c r="F474" t="inlineStr">
        <is>
          <t>C</t>
        </is>
      </c>
      <c r="G474" t="inlineStr">
        <is>
          <t>G</t>
        </is>
      </c>
      <c r="H474" t="inlineStr">
        <is>
          <t>385.64</t>
        </is>
      </c>
      <c r="I474" t="inlineStr">
        <is>
          <t>103</t>
        </is>
      </c>
      <c r="J474" t="inlineStr">
        <is>
          <t>77,26</t>
        </is>
      </c>
      <c r="K474" t="inlineStr">
        <is>
          <t>.</t>
        </is>
      </c>
      <c r="L474" t="inlineStr">
        <is>
          <t>.</t>
        </is>
      </c>
      <c r="M474">
        <f>HYPERLINK("https://www.genecards.org/Search/Keyword?queryString=%5Baliases%5D(%20HGS%20)&amp;keywords=HGS", "HGS")</f>
        <v/>
      </c>
      <c r="N474" t="inlineStr">
        <is>
          <t>exonic</t>
        </is>
      </c>
      <c r="O474" t="inlineStr">
        <is>
          <t>nonsynonymous SNV</t>
        </is>
      </c>
      <c r="P474" t="inlineStr">
        <is>
          <t>HGS:NM_004712:exon13:c.C1052G:p.P351R;HGS:uc002kbg.3:exon13:c.C1052G:p.P351R;HGS:ENST00000329138.9_5:exon13:c.C1052G:p.P351R,HGS:ENST00000676462.1_2:exon13:c.C1052G:p.P351R,HGS:ENST00000677044.1_2:exon13:c.C1052G:p.P351R,HGS:ENST00000677109.1_2:exon13:c.C1016G:p.P339R,HGS:ENST00000677161.1_1:exon13:c.C851G:p.P284R,HGS:ENST00000677225.1_1:exon13:c.C1004G:p.P335R,HGS:ENST00000677243.1_2:exon13:c.C1052G:p.P351R,HGS:ENST00000677484.1_2:exon13:c.C1070G:p.P357R,HGS:ENST00000678196.1_2:exon13:c.C1052G:p.P351R,HGS:ENST00000678866.1_2:exon13:c.C1106G:p.P369R,HGS:ENST00000679336.1_2:exon13:c.C1052G:p.P351R,HGS:ENST00000676729.1_1:exon14:c.C1025G:p.P342R,HGS:ENST00000678105.1_4:exon14:c.C851G:p.P284R</t>
        </is>
      </c>
      <c r="Q474" t="n">
        <v>-1</v>
      </c>
      <c r="R474" t="n">
        <v>-1</v>
      </c>
      <c r="S474" t="n">
        <v>-1</v>
      </c>
      <c r="T474" t="n">
        <v>-1</v>
      </c>
      <c r="U474" t="n">
        <v>-1</v>
      </c>
      <c r="V474" t="inlineStr">
        <is>
          <t>7/12</t>
        </is>
      </c>
      <c r="W474" t="inlineStr">
        <is>
          <t>.</t>
        </is>
      </c>
      <c r="X474" t="inlineStr">
        <is>
          <t>.</t>
        </is>
      </c>
      <c r="Y474" t="inlineStr">
        <is>
          <t>.</t>
        </is>
      </c>
      <c r="Z474" t="inlineStr">
        <is>
          <t>2/7</t>
        </is>
      </c>
      <c r="AA474" t="inlineStr">
        <is>
          <t>Uncertain significance</t>
        </is>
      </c>
      <c r="AB474" t="inlineStr">
        <is>
          <t>.</t>
        </is>
      </c>
      <c r="AC474" t="inlineStr">
        <is>
          <t>0/1</t>
        </is>
      </c>
      <c r="AD474" t="inlineStr">
        <is>
          <t>1</t>
        </is>
      </c>
      <c r="AE474" t="inlineStr">
        <is>
          <t>0.131424768706374</t>
        </is>
      </c>
      <c r="AF474" t="inlineStr">
        <is>
          <t>hepatocyte growth factor-regulated tyrosine kinase substrate</t>
        </is>
      </c>
      <c r="AG474" t="inlineStr">
        <is>
          <t xml:space="preserve">FUNCTION: Involved in intracellular signal transduction mediated by cytokines and growth factors. When associated with STAM, it suppresses DNA signaling upon stimulation by IL-2 and GM-CSF. Could be a direct effector of PI3-kinase in vesicular pathway via early endosomes and may regulate trafficking to early and late endosomes by recruiting clathrin. May concentrate ubiquitinated receptors within clathrin-coated regions. Involved in down- regulation of receptor tyrosine kinase via multivesicular body (MVBs) when complexed with STAM (ESCRT-0 complex). The ESCRT-0 complex binds ubiquitin and acts as sorting machinery that recognizes ubiquitinated receptors and transfers them to further sequential lysosomal sorting/trafficking processes. May contribute to the efficient recruitment of SMADs to the activin receptor complex. Involved in receptor recycling via its association with the CART complex, a multiprotein complex required for efficient transferrin receptor recycling but not for EGFR degradation.; </t>
        </is>
      </c>
      <c r="AH474" t="inlineStr">
        <is>
          <t>.</t>
        </is>
      </c>
      <c r="AI474" t="inlineStr">
        <is>
          <t>.</t>
        </is>
      </c>
      <c r="AJ474" t="inlineStr">
        <is>
          <t>.</t>
        </is>
      </c>
      <c r="AK474" t="inlineStr">
        <is>
          <t>.</t>
        </is>
      </c>
      <c r="AL474" t="inlineStr">
        <is>
          <t>.</t>
        </is>
      </c>
    </row>
    <row r="475">
      <c r="A475" t="inlineStr"/>
      <c r="B475">
        <f>HYPERLINK("https://genome.ucsc.edu/cgi-bin/hgTracks?db=hg19&amp;position=chr17%3A80022802%2D80022802", "chr17:80022802")</f>
        <v/>
      </c>
      <c r="C475" t="inlineStr">
        <is>
          <t>chr17</t>
        </is>
      </c>
      <c r="D475" t="n">
        <v>80022802</v>
      </c>
      <c r="E475" t="n">
        <v>80022802</v>
      </c>
      <c r="F475" t="inlineStr">
        <is>
          <t>T</t>
        </is>
      </c>
      <c r="G475" t="inlineStr">
        <is>
          <t>C</t>
        </is>
      </c>
      <c r="H475" t="inlineStr">
        <is>
          <t>561.64</t>
        </is>
      </c>
      <c r="I475" t="inlineStr">
        <is>
          <t>131</t>
        </is>
      </c>
      <c r="J475" t="inlineStr">
        <is>
          <t>98,33</t>
        </is>
      </c>
      <c r="K475" t="inlineStr">
        <is>
          <t>.</t>
        </is>
      </c>
      <c r="L475" t="inlineStr">
        <is>
          <t>.</t>
        </is>
      </c>
      <c r="M475">
        <f>HYPERLINK("https://www.genecards.org/Search/Keyword?queryString=%5Baliases%5D(%20DUS1L%20)&amp;keywords=DUS1L", "DUS1L")</f>
        <v/>
      </c>
      <c r="N475" t="inlineStr">
        <is>
          <t>exonic</t>
        </is>
      </c>
      <c r="O475" t="inlineStr">
        <is>
          <t>nonsynonymous SNV</t>
        </is>
      </c>
      <c r="P475" t="inlineStr">
        <is>
          <t>DUS1L:NM_022156:exon2:c.A134G:p.Y45C;DUS1L:uc002kdq.4:exon1:c.A134G:p.Y45C,DUS1L:uc010wvi.1:exon1:c.A134G:p.Y45C,DUS1L:uc002kdr.4:exon2:c.A134G:p.Y45C;DUS1L:ENST00000354321.11_3:exon1:c.A134G:p.Y45C,DUS1L:ENST00000306796.10_5:exon2:c.A134G:p.Y45C</t>
        </is>
      </c>
      <c r="Q475" t="n">
        <v>-1</v>
      </c>
      <c r="R475" t="n">
        <v>-1</v>
      </c>
      <c r="S475" t="n">
        <v>-1</v>
      </c>
      <c r="T475" t="n">
        <v>-1</v>
      </c>
      <c r="U475" t="n">
        <v>-1</v>
      </c>
      <c r="V475" t="inlineStr">
        <is>
          <t>7/12</t>
        </is>
      </c>
      <c r="W475" t="inlineStr">
        <is>
          <t>.</t>
        </is>
      </c>
      <c r="X475" t="inlineStr">
        <is>
          <t>.</t>
        </is>
      </c>
      <c r="Y475" t="inlineStr">
        <is>
          <t>.</t>
        </is>
      </c>
      <c r="Z475" t="inlineStr">
        <is>
          <t>4/7</t>
        </is>
      </c>
      <c r="AA475" t="inlineStr">
        <is>
          <t>Uncertain significance</t>
        </is>
      </c>
      <c r="AB475" t="inlineStr">
        <is>
          <t>.</t>
        </is>
      </c>
      <c r="AC475" t="inlineStr">
        <is>
          <t>0/1</t>
        </is>
      </c>
      <c r="AD475" t="inlineStr">
        <is>
          <t>1</t>
        </is>
      </c>
      <c r="AE475" t="inlineStr">
        <is>
          <t>1.5346357409002e-06</t>
        </is>
      </c>
      <c r="AF475" t="inlineStr">
        <is>
          <t>dihydrouridine synthase 1 like</t>
        </is>
      </c>
      <c r="AG475" t="inlineStr">
        <is>
          <t xml:space="preserve">FUNCTION: Catalyzes the synthesis of dihydrouridine, a modified base found in the D-loop of most tRNAs. {ECO:0000250}.; </t>
        </is>
      </c>
      <c r="AH475" t="inlineStr">
        <is>
          <t>.</t>
        </is>
      </c>
      <c r="AI475" t="inlineStr">
        <is>
          <t>.</t>
        </is>
      </c>
      <c r="AJ475" t="inlineStr">
        <is>
          <t>.</t>
        </is>
      </c>
      <c r="AK475" t="inlineStr">
        <is>
          <t>.</t>
        </is>
      </c>
      <c r="AL475" t="inlineStr">
        <is>
          <t>.</t>
        </is>
      </c>
    </row>
    <row r="476">
      <c r="A476" t="inlineStr"/>
      <c r="B476">
        <f>HYPERLINK("https://genome.ucsc.edu/cgi-bin/hgTracks?db=hg19&amp;position=chr18%3A2728742%2D2728742", "chr18:2728742")</f>
        <v/>
      </c>
      <c r="C476" t="inlineStr">
        <is>
          <t>chr18</t>
        </is>
      </c>
      <c r="D476" t="n">
        <v>2728742</v>
      </c>
      <c r="E476" t="n">
        <v>2728742</v>
      </c>
      <c r="F476" t="inlineStr">
        <is>
          <t>T</t>
        </is>
      </c>
      <c r="G476" t="inlineStr">
        <is>
          <t>-</t>
        </is>
      </c>
      <c r="H476" t="inlineStr">
        <is>
          <t>185.02</t>
        </is>
      </c>
      <c r="I476" t="inlineStr">
        <is>
          <t>7</t>
        </is>
      </c>
      <c r="J476" t="inlineStr">
        <is>
          <t>0,3,4</t>
        </is>
      </c>
      <c r="K476" t="inlineStr">
        <is>
          <t>.</t>
        </is>
      </c>
      <c r="L476" t="inlineStr">
        <is>
          <t>.</t>
        </is>
      </c>
      <c r="M476">
        <f>HYPERLINK("https://www.genecards.org/Search/Keyword?queryString=%5Baliases%5D(%20SMCHD1%20)&amp;keywords=SMCHD1", "SMCHD1")</f>
        <v/>
      </c>
      <c r="N476" t="inlineStr">
        <is>
          <t>intronic;ncRNA_intronic</t>
        </is>
      </c>
      <c r="O476" t="inlineStr">
        <is>
          <t>.</t>
        </is>
      </c>
      <c r="P476" t="inlineStr">
        <is>
          <t>.</t>
        </is>
      </c>
      <c r="Q476" t="n">
        <v>-1</v>
      </c>
      <c r="R476" t="n">
        <v>-1</v>
      </c>
      <c r="S476" t="n">
        <v>-1</v>
      </c>
      <c r="T476" t="n">
        <v>-1</v>
      </c>
      <c r="U476" t="n">
        <v>-1</v>
      </c>
      <c r="V476" t="inlineStr">
        <is>
          <t>.</t>
        </is>
      </c>
      <c r="W476" t="inlineStr">
        <is>
          <t>.</t>
        </is>
      </c>
      <c r="X476" t="inlineStr">
        <is>
          <t>.</t>
        </is>
      </c>
      <c r="Y476" t="inlineStr">
        <is>
          <t>.</t>
        </is>
      </c>
      <c r="Z476" t="inlineStr">
        <is>
          <t>.</t>
        </is>
      </c>
      <c r="AA476" t="inlineStr">
        <is>
          <t>.</t>
        </is>
      </c>
      <c r="AB476" t="inlineStr">
        <is>
          <t>.</t>
        </is>
      </c>
      <c r="AC476" t="inlineStr">
        <is>
          <t>1/2</t>
        </is>
      </c>
      <c r="AD476" t="inlineStr">
        <is>
          <t>6</t>
        </is>
      </c>
      <c r="AE476" t="inlineStr">
        <is>
          <t>0.999999998790609</t>
        </is>
      </c>
      <c r="AF476" t="inlineStr">
        <is>
          <t>structural maintenance of chromosomes flexible hinge domain containing 1</t>
        </is>
      </c>
      <c r="AG476" t="inlineStr">
        <is>
          <t xml:space="preserve">FUNCTION: Required for maintenance of X inactivation in females and hypermethylation of CpG islands associated with inactive X. Involved in a pathway that mediates the methylation of a subset of CpG islands slowly and requires the de novo methyltransferase DNMT3B (By similarity). Required for DUX4 silencing in somatic cells. {ECO:0000250, ECO:0000269|PubMed:23143600}.; </t>
        </is>
      </c>
      <c r="AH476" t="inlineStr">
        <is>
          <t xml:space="preserve">DISEASE: Facioscapulohumeral muscular dystrophy 2 (FSHD2) [MIM:158901]: A degenerative muscle disease characterized by slowly progressive weakness of the muscles of the face, upper-arm, and shoulder girdle. The onset of symptoms usually occurs in the first or second decade of life. Affected individuals usually present with impairment of upper extremity elevation. This tends to be followed by facial weakness, primarily involving the orbicularis oris and orbicularis oculi muscles. {ECO:0000269|PubMed:23143600}. Note=The disease is caused by mutations affecting the gene represented in this entry. SMCHD1 mutations lead to DUX4 expression in somatic tissues, including muscle cells, when an haplotype on chromosome 4 is permissive for DUX4 expression. Ectopic expression of DUX4 in skeletal muscle activates the expression of stem cell and germline genes, and, when overexpressed in somatic cells, DUX4 can ultimately lead to cell death.; </t>
        </is>
      </c>
      <c r="AI476" t="inlineStr">
        <is>
          <t>.</t>
        </is>
      </c>
      <c r="AJ476" t="inlineStr">
        <is>
          <t>.</t>
        </is>
      </c>
      <c r="AK476" t="inlineStr">
        <is>
          <t>.</t>
        </is>
      </c>
      <c r="AL476" t="inlineStr">
        <is>
          <t>.</t>
        </is>
      </c>
    </row>
    <row r="477">
      <c r="A477" t="inlineStr"/>
      <c r="B477">
        <f>HYPERLINK("https://genome.ucsc.edu/cgi-bin/hgTracks?db=hg19&amp;position=chr18%3A2732008%2D2732008", "chr18:2732008")</f>
        <v/>
      </c>
      <c r="C477" t="inlineStr">
        <is>
          <t>chr18</t>
        </is>
      </c>
      <c r="D477" t="n">
        <v>2732008</v>
      </c>
      <c r="E477" t="n">
        <v>2732008</v>
      </c>
      <c r="F477" t="inlineStr">
        <is>
          <t>-</t>
        </is>
      </c>
      <c r="G477" t="inlineStr">
        <is>
          <t>A</t>
        </is>
      </c>
      <c r="H477" t="inlineStr">
        <is>
          <t>32.60</t>
        </is>
      </c>
      <c r="I477" t="inlineStr">
        <is>
          <t>6</t>
        </is>
      </c>
      <c r="J477" t="inlineStr">
        <is>
          <t>4,2</t>
        </is>
      </c>
      <c r="K477" t="inlineStr">
        <is>
          <t>.</t>
        </is>
      </c>
      <c r="L477" t="inlineStr">
        <is>
          <t>.</t>
        </is>
      </c>
      <c r="M477">
        <f>HYPERLINK("https://www.genecards.org/Search/Keyword?queryString=%5Baliases%5D(%20SMCHD1%20)&amp;keywords=SMCHD1", "SMCHD1")</f>
        <v/>
      </c>
      <c r="N477" t="inlineStr">
        <is>
          <t>intronic;ncRNA_intronic</t>
        </is>
      </c>
      <c r="O477" t="inlineStr">
        <is>
          <t>.</t>
        </is>
      </c>
      <c r="P477" t="inlineStr">
        <is>
          <t>.</t>
        </is>
      </c>
      <c r="Q477" t="n">
        <v>0.0004226</v>
      </c>
      <c r="R477" t="n">
        <v>0.0002</v>
      </c>
      <c r="S477" t="n">
        <v>0.0003</v>
      </c>
      <c r="T477" t="n">
        <v>-1</v>
      </c>
      <c r="U477" t="n">
        <v>0.0004</v>
      </c>
      <c r="V477" t="inlineStr">
        <is>
          <t>.</t>
        </is>
      </c>
      <c r="W477" t="inlineStr">
        <is>
          <t>.</t>
        </is>
      </c>
      <c r="X477" t="inlineStr">
        <is>
          <t>.</t>
        </is>
      </c>
      <c r="Y477" t="inlineStr">
        <is>
          <t>.</t>
        </is>
      </c>
      <c r="Z477" t="inlineStr">
        <is>
          <t>.</t>
        </is>
      </c>
      <c r="AA477" t="inlineStr">
        <is>
          <t>.</t>
        </is>
      </c>
      <c r="AB477" t="inlineStr">
        <is>
          <t>.</t>
        </is>
      </c>
      <c r="AC477" t="inlineStr">
        <is>
          <t>0/1</t>
        </is>
      </c>
      <c r="AD477" t="inlineStr">
        <is>
          <t>6</t>
        </is>
      </c>
      <c r="AE477" t="inlineStr">
        <is>
          <t>0.999999998790609</t>
        </is>
      </c>
      <c r="AF477" t="inlineStr">
        <is>
          <t>structural maintenance of chromosomes flexible hinge domain containing 1</t>
        </is>
      </c>
      <c r="AG477" t="inlineStr">
        <is>
          <t xml:space="preserve">FUNCTION: Required for maintenance of X inactivation in females and hypermethylation of CpG islands associated with inactive X. Involved in a pathway that mediates the methylation of a subset of CpG islands slowly and requires the de novo methyltransferase DNMT3B (By similarity). Required for DUX4 silencing in somatic cells. {ECO:0000250, ECO:0000269|PubMed:23143600}.; </t>
        </is>
      </c>
      <c r="AH477" t="inlineStr">
        <is>
          <t xml:space="preserve">DISEASE: Facioscapulohumeral muscular dystrophy 2 (FSHD2) [MIM:158901]: A degenerative muscle disease characterized by slowly progressive weakness of the muscles of the face, upper-arm, and shoulder girdle. The onset of symptoms usually occurs in the first or second decade of life. Affected individuals usually present with impairment of upper extremity elevation. This tends to be followed by facial weakness, primarily involving the orbicularis oris and orbicularis oculi muscles. {ECO:0000269|PubMed:23143600}. Note=The disease is caused by mutations affecting the gene represented in this entry. SMCHD1 mutations lead to DUX4 expression in somatic tissues, including muscle cells, when an haplotype on chromosome 4 is permissive for DUX4 expression. Ectopic expression of DUX4 in skeletal muscle activates the expression of stem cell and germline genes, and, when overexpressed in somatic cells, DUX4 can ultimately lead to cell death.; </t>
        </is>
      </c>
      <c r="AI477" t="inlineStr">
        <is>
          <t>.</t>
        </is>
      </c>
      <c r="AJ477" t="inlineStr">
        <is>
          <t>.</t>
        </is>
      </c>
      <c r="AK477" t="inlineStr">
        <is>
          <t>.</t>
        </is>
      </c>
      <c r="AL477" t="inlineStr">
        <is>
          <t>.</t>
        </is>
      </c>
    </row>
    <row r="478">
      <c r="A478" t="inlineStr"/>
      <c r="B478">
        <f>HYPERLINK("https://genome.ucsc.edu/cgi-bin/hgTracks?db=hg19&amp;position=chr18%3A2754083%2D2754083", "chr18:2754083")</f>
        <v/>
      </c>
      <c r="C478" t="inlineStr">
        <is>
          <t>chr18</t>
        </is>
      </c>
      <c r="D478" t="n">
        <v>2754083</v>
      </c>
      <c r="E478" t="n">
        <v>2754083</v>
      </c>
      <c r="F478" t="inlineStr">
        <is>
          <t>T</t>
        </is>
      </c>
      <c r="G478" t="inlineStr">
        <is>
          <t>-</t>
        </is>
      </c>
      <c r="H478" t="inlineStr">
        <is>
          <t>45.60</t>
        </is>
      </c>
      <c r="I478" t="inlineStr">
        <is>
          <t>6</t>
        </is>
      </c>
      <c r="J478" t="inlineStr">
        <is>
          <t>4,2</t>
        </is>
      </c>
      <c r="K478" t="inlineStr">
        <is>
          <t>.</t>
        </is>
      </c>
      <c r="L478" t="inlineStr">
        <is>
          <t>.</t>
        </is>
      </c>
      <c r="M478">
        <f>HYPERLINK("https://www.genecards.org/Search/Keyword?queryString=%5Baliases%5D(%20SMCHD1%20)&amp;keywords=SMCHD1", "SMCHD1")</f>
        <v/>
      </c>
      <c r="N478" t="inlineStr">
        <is>
          <t>intronic;ncRNA_intronic</t>
        </is>
      </c>
      <c r="O478" t="inlineStr">
        <is>
          <t>.</t>
        </is>
      </c>
      <c r="P478" t="inlineStr">
        <is>
          <t>.</t>
        </is>
      </c>
      <c r="Q478" t="n">
        <v>-1</v>
      </c>
      <c r="R478" t="n">
        <v>-1</v>
      </c>
      <c r="S478" t="n">
        <v>-1</v>
      </c>
      <c r="T478" t="n">
        <v>-1</v>
      </c>
      <c r="U478" t="n">
        <v>-1</v>
      </c>
      <c r="V478" t="inlineStr">
        <is>
          <t>.</t>
        </is>
      </c>
      <c r="W478" t="inlineStr">
        <is>
          <t>.</t>
        </is>
      </c>
      <c r="X478" t="inlineStr">
        <is>
          <t>.</t>
        </is>
      </c>
      <c r="Y478" t="inlineStr">
        <is>
          <t>.</t>
        </is>
      </c>
      <c r="Z478" t="inlineStr">
        <is>
          <t>.</t>
        </is>
      </c>
      <c r="AA478" t="inlineStr">
        <is>
          <t>.</t>
        </is>
      </c>
      <c r="AB478" t="inlineStr">
        <is>
          <t>.</t>
        </is>
      </c>
      <c r="AC478" t="inlineStr">
        <is>
          <t>0/1</t>
        </is>
      </c>
      <c r="AD478" t="inlineStr">
        <is>
          <t>6</t>
        </is>
      </c>
      <c r="AE478" t="inlineStr">
        <is>
          <t>0.999999998790609</t>
        </is>
      </c>
      <c r="AF478" t="inlineStr">
        <is>
          <t>structural maintenance of chromosomes flexible hinge domain containing 1</t>
        </is>
      </c>
      <c r="AG478" t="inlineStr">
        <is>
          <t xml:space="preserve">FUNCTION: Required for maintenance of X inactivation in females and hypermethylation of CpG islands associated with inactive X. Involved in a pathway that mediates the methylation of a subset of CpG islands slowly and requires the de novo methyltransferase DNMT3B (By similarity). Required for DUX4 silencing in somatic cells. {ECO:0000250, ECO:0000269|PubMed:23143600}.; </t>
        </is>
      </c>
      <c r="AH478" t="inlineStr">
        <is>
          <t xml:space="preserve">DISEASE: Facioscapulohumeral muscular dystrophy 2 (FSHD2) [MIM:158901]: A degenerative muscle disease characterized by slowly progressive weakness of the muscles of the face, upper-arm, and shoulder girdle. The onset of symptoms usually occurs in the first or second decade of life. Affected individuals usually present with impairment of upper extremity elevation. This tends to be followed by facial weakness, primarily involving the orbicularis oris and orbicularis oculi muscles. {ECO:0000269|PubMed:23143600}. Note=The disease is caused by mutations affecting the gene represented in this entry. SMCHD1 mutations lead to DUX4 expression in somatic tissues, including muscle cells, when an haplotype on chromosome 4 is permissive for DUX4 expression. Ectopic expression of DUX4 in skeletal muscle activates the expression of stem cell and germline genes, and, when overexpressed in somatic cells, DUX4 can ultimately lead to cell death.; </t>
        </is>
      </c>
      <c r="AI478" t="inlineStr">
        <is>
          <t>.</t>
        </is>
      </c>
      <c r="AJ478" t="inlineStr">
        <is>
          <t>.</t>
        </is>
      </c>
      <c r="AK478" t="inlineStr">
        <is>
          <t>.</t>
        </is>
      </c>
      <c r="AL478" t="inlineStr">
        <is>
          <t>.</t>
        </is>
      </c>
    </row>
    <row r="479">
      <c r="A479" t="inlineStr"/>
      <c r="B479">
        <f>HYPERLINK("https://genome.ucsc.edu/cgi-bin/hgTracks?db=hg19&amp;position=chr18%3A2759861%2D2759861", "chr18:2759861")</f>
        <v/>
      </c>
      <c r="C479" t="inlineStr">
        <is>
          <t>chr18</t>
        </is>
      </c>
      <c r="D479" t="n">
        <v>2759861</v>
      </c>
      <c r="E479" t="n">
        <v>2759861</v>
      </c>
      <c r="F479" t="inlineStr">
        <is>
          <t>C</t>
        </is>
      </c>
      <c r="G479" t="inlineStr">
        <is>
          <t>T</t>
        </is>
      </c>
      <c r="H479" t="inlineStr">
        <is>
          <t>93.64</t>
        </is>
      </c>
      <c r="I479" t="inlineStr">
        <is>
          <t>7</t>
        </is>
      </c>
      <c r="J479" t="inlineStr">
        <is>
          <t>3,4</t>
        </is>
      </c>
      <c r="K479" t="inlineStr">
        <is>
          <t>.</t>
        </is>
      </c>
      <c r="L479">
        <f>HYPERLINK("https://www.ncbi.nlm.nih.gov/snp/rs72866516", "rs72866516")</f>
        <v/>
      </c>
      <c r="M479">
        <f>HYPERLINK("https://www.genecards.org/Search/Keyword?queryString=%5Baliases%5D(%20SMCHD1%20)&amp;keywords=SMCHD1", "SMCHD1")</f>
        <v/>
      </c>
      <c r="N479" t="inlineStr">
        <is>
          <t>intronic;ncRNA_intronic</t>
        </is>
      </c>
      <c r="O479" t="inlineStr">
        <is>
          <t>.</t>
        </is>
      </c>
      <c r="P479" t="inlineStr">
        <is>
          <t>.</t>
        </is>
      </c>
      <c r="Q479" t="n">
        <v>0.0154</v>
      </c>
      <c r="R479" t="n">
        <v>0.0161</v>
      </c>
      <c r="S479" t="n">
        <v>0.0199</v>
      </c>
      <c r="T479" t="n">
        <v>-1</v>
      </c>
      <c r="U479" t="n">
        <v>0.0163</v>
      </c>
      <c r="V479" t="inlineStr">
        <is>
          <t>.</t>
        </is>
      </c>
      <c r="W479" t="inlineStr">
        <is>
          <t>.</t>
        </is>
      </c>
      <c r="X479" t="inlineStr">
        <is>
          <t>.</t>
        </is>
      </c>
      <c r="Y479" t="inlineStr">
        <is>
          <t>.</t>
        </is>
      </c>
      <c r="Z479" t="inlineStr">
        <is>
          <t>.</t>
        </is>
      </c>
      <c r="AA479" t="inlineStr">
        <is>
          <t>.</t>
        </is>
      </c>
      <c r="AB479" t="inlineStr">
        <is>
          <t>.</t>
        </is>
      </c>
      <c r="AC479" t="inlineStr">
        <is>
          <t>0/1</t>
        </is>
      </c>
      <c r="AD479" t="inlineStr">
        <is>
          <t>6</t>
        </is>
      </c>
      <c r="AE479" t="inlineStr">
        <is>
          <t>0.999999998790609</t>
        </is>
      </c>
      <c r="AF479" t="inlineStr">
        <is>
          <t>structural maintenance of chromosomes flexible hinge domain containing 1</t>
        </is>
      </c>
      <c r="AG479" t="inlineStr">
        <is>
          <t xml:space="preserve">FUNCTION: Required for maintenance of X inactivation in females and hypermethylation of CpG islands associated with inactive X. Involved in a pathway that mediates the methylation of a subset of CpG islands slowly and requires the de novo methyltransferase DNMT3B (By similarity). Required for DUX4 silencing in somatic cells. {ECO:0000250, ECO:0000269|PubMed:23143600}.; </t>
        </is>
      </c>
      <c r="AH479" t="inlineStr">
        <is>
          <t xml:space="preserve">DISEASE: Facioscapulohumeral muscular dystrophy 2 (FSHD2) [MIM:158901]: A degenerative muscle disease characterized by slowly progressive weakness of the muscles of the face, upper-arm, and shoulder girdle. The onset of symptoms usually occurs in the first or second decade of life. Affected individuals usually present with impairment of upper extremity elevation. This tends to be followed by facial weakness, primarily involving the orbicularis oris and orbicularis oculi muscles. {ECO:0000269|PubMed:23143600}. Note=The disease is caused by mutations affecting the gene represented in this entry. SMCHD1 mutations lead to DUX4 expression in somatic tissues, including muscle cells, when an haplotype on chromosome 4 is permissive for DUX4 expression. Ectopic expression of DUX4 in skeletal muscle activates the expression of stem cell and germline genes, and, when overexpressed in somatic cells, DUX4 can ultimately lead to cell death.; </t>
        </is>
      </c>
      <c r="AI479" t="inlineStr">
        <is>
          <t>.</t>
        </is>
      </c>
      <c r="AJ479" t="inlineStr">
        <is>
          <t>.</t>
        </is>
      </c>
      <c r="AK479" t="inlineStr">
        <is>
          <t>.</t>
        </is>
      </c>
      <c r="AL479" t="inlineStr">
        <is>
          <t>.</t>
        </is>
      </c>
    </row>
    <row r="480">
      <c r="A480" t="inlineStr"/>
      <c r="B480">
        <f>HYPERLINK("https://genome.ucsc.edu/cgi-bin/hgTracks?db=hg19&amp;position=chr18%3A2764685%2D2764699", "chr18:2764685")</f>
        <v/>
      </c>
      <c r="C480" t="inlineStr">
        <is>
          <t>chr18</t>
        </is>
      </c>
      <c r="D480" t="n">
        <v>2764685</v>
      </c>
      <c r="E480" t="n">
        <v>2764699</v>
      </c>
      <c r="F480" t="inlineStr">
        <is>
          <t>TATTACTAAGTAATC</t>
        </is>
      </c>
      <c r="G480" t="inlineStr">
        <is>
          <t>-</t>
        </is>
      </c>
      <c r="H480" t="inlineStr">
        <is>
          <t>58.60</t>
        </is>
      </c>
      <c r="I480" t="inlineStr">
        <is>
          <t>8</t>
        </is>
      </c>
      <c r="J480" t="inlineStr">
        <is>
          <t>6,2</t>
        </is>
      </c>
      <c r="K480" t="inlineStr">
        <is>
          <t>.</t>
        </is>
      </c>
      <c r="L480" t="inlineStr">
        <is>
          <t>.</t>
        </is>
      </c>
      <c r="M480">
        <f>HYPERLINK("https://www.genecards.org/Search/Keyword?queryString=%5Baliases%5D(%20SMCHD1%20)&amp;keywords=SMCHD1", "SMCHD1")</f>
        <v/>
      </c>
      <c r="N480" t="inlineStr">
        <is>
          <t>intronic;ncRNA_intronic</t>
        </is>
      </c>
      <c r="O480" t="inlineStr">
        <is>
          <t>.</t>
        </is>
      </c>
      <c r="P480" t="inlineStr">
        <is>
          <t>.</t>
        </is>
      </c>
      <c r="Q480" t="n">
        <v>-1</v>
      </c>
      <c r="R480" t="n">
        <v>-1</v>
      </c>
      <c r="S480" t="n">
        <v>-1</v>
      </c>
      <c r="T480" t="n">
        <v>-1</v>
      </c>
      <c r="U480" t="n">
        <v>-1</v>
      </c>
      <c r="V480" t="inlineStr">
        <is>
          <t>.</t>
        </is>
      </c>
      <c r="W480" t="inlineStr">
        <is>
          <t>.</t>
        </is>
      </c>
      <c r="X480" t="inlineStr">
        <is>
          <t>.</t>
        </is>
      </c>
      <c r="Y480" t="inlineStr">
        <is>
          <t>.</t>
        </is>
      </c>
      <c r="Z480" t="inlineStr">
        <is>
          <t>.</t>
        </is>
      </c>
      <c r="AA480" t="inlineStr">
        <is>
          <t>.</t>
        </is>
      </c>
      <c r="AB480" t="inlineStr">
        <is>
          <t>.</t>
        </is>
      </c>
      <c r="AC480" t="inlineStr">
        <is>
          <t>0/1</t>
        </is>
      </c>
      <c r="AD480" t="inlineStr">
        <is>
          <t>6</t>
        </is>
      </c>
      <c r="AE480" t="inlineStr">
        <is>
          <t>0.999999998790609</t>
        </is>
      </c>
      <c r="AF480" t="inlineStr">
        <is>
          <t>structural maintenance of chromosomes flexible hinge domain containing 1</t>
        </is>
      </c>
      <c r="AG480" t="inlineStr">
        <is>
          <t xml:space="preserve">FUNCTION: Required for maintenance of X inactivation in females and hypermethylation of CpG islands associated with inactive X. Involved in a pathway that mediates the methylation of a subset of CpG islands slowly and requires the de novo methyltransferase DNMT3B (By similarity). Required for DUX4 silencing in somatic cells. {ECO:0000250, ECO:0000269|PubMed:23143600}.; </t>
        </is>
      </c>
      <c r="AH480" t="inlineStr">
        <is>
          <t xml:space="preserve">DISEASE: Facioscapulohumeral muscular dystrophy 2 (FSHD2) [MIM:158901]: A degenerative muscle disease characterized by slowly progressive weakness of the muscles of the face, upper-arm, and shoulder girdle. The onset of symptoms usually occurs in the first or second decade of life. Affected individuals usually present with impairment of upper extremity elevation. This tends to be followed by facial weakness, primarily involving the orbicularis oris and orbicularis oculi muscles. {ECO:0000269|PubMed:23143600}. Note=The disease is caused by mutations affecting the gene represented in this entry. SMCHD1 mutations lead to DUX4 expression in somatic tissues, including muscle cells, when an haplotype on chromosome 4 is permissive for DUX4 expression. Ectopic expression of DUX4 in skeletal muscle activates the expression of stem cell and germline genes, and, when overexpressed in somatic cells, DUX4 can ultimately lead to cell death.; </t>
        </is>
      </c>
      <c r="AI480" t="inlineStr">
        <is>
          <t>.</t>
        </is>
      </c>
      <c r="AJ480" t="inlineStr">
        <is>
          <t>.</t>
        </is>
      </c>
      <c r="AK480" t="inlineStr">
        <is>
          <t>.</t>
        </is>
      </c>
      <c r="AL480" t="inlineStr">
        <is>
          <t>.</t>
        </is>
      </c>
    </row>
    <row r="481">
      <c r="A481" t="inlineStr"/>
      <c r="B481">
        <f>HYPERLINK("https://genome.ucsc.edu/cgi-bin/hgTracks?db=hg19&amp;position=chr18%3A2784265%2D2784265", "chr18:2784265")</f>
        <v/>
      </c>
      <c r="C481" t="inlineStr">
        <is>
          <t>chr18</t>
        </is>
      </c>
      <c r="D481" t="n">
        <v>2784265</v>
      </c>
      <c r="E481" t="n">
        <v>2784265</v>
      </c>
      <c r="F481" t="inlineStr">
        <is>
          <t>A</t>
        </is>
      </c>
      <c r="G481" t="inlineStr">
        <is>
          <t>G</t>
        </is>
      </c>
      <c r="H481" t="inlineStr">
        <is>
          <t>46.64</t>
        </is>
      </c>
      <c r="I481" t="inlineStr">
        <is>
          <t>8</t>
        </is>
      </c>
      <c r="J481" t="inlineStr">
        <is>
          <t>6,2</t>
        </is>
      </c>
      <c r="K481" t="inlineStr">
        <is>
          <t>.</t>
        </is>
      </c>
      <c r="L481" t="inlineStr">
        <is>
          <t>.</t>
        </is>
      </c>
      <c r="M481">
        <f>HYPERLINK("https://www.genecards.org/Search/Keyword?queryString=%5Baliases%5D(%20SMCHD1%20)&amp;keywords=SMCHD1", "SMCHD1")</f>
        <v/>
      </c>
      <c r="N481" t="inlineStr">
        <is>
          <t>intronic;ncRNA_intronic</t>
        </is>
      </c>
      <c r="O481" t="inlineStr">
        <is>
          <t>.</t>
        </is>
      </c>
      <c r="P481" t="inlineStr">
        <is>
          <t>.</t>
        </is>
      </c>
      <c r="Q481" t="n">
        <v>-1</v>
      </c>
      <c r="R481" t="n">
        <v>-1</v>
      </c>
      <c r="S481" t="n">
        <v>-1</v>
      </c>
      <c r="T481" t="n">
        <v>-1</v>
      </c>
      <c r="U481" t="n">
        <v>-1</v>
      </c>
      <c r="V481" t="inlineStr">
        <is>
          <t>.</t>
        </is>
      </c>
      <c r="W481" t="inlineStr">
        <is>
          <t>.</t>
        </is>
      </c>
      <c r="X481" t="inlineStr">
        <is>
          <t>B</t>
        </is>
      </c>
      <c r="Y481" t="inlineStr">
        <is>
          <t>off</t>
        </is>
      </c>
      <c r="Z481" t="inlineStr">
        <is>
          <t>.</t>
        </is>
      </c>
      <c r="AA481" t="inlineStr">
        <is>
          <t>.</t>
        </is>
      </c>
      <c r="AB481" t="inlineStr">
        <is>
          <t>.</t>
        </is>
      </c>
      <c r="AC481" t="inlineStr">
        <is>
          <t>0/1</t>
        </is>
      </c>
      <c r="AD481" t="inlineStr">
        <is>
          <t>6</t>
        </is>
      </c>
      <c r="AE481" t="inlineStr">
        <is>
          <t>0.999999998790609</t>
        </is>
      </c>
      <c r="AF481" t="inlineStr">
        <is>
          <t>structural maintenance of chromosomes flexible hinge domain containing 1</t>
        </is>
      </c>
      <c r="AG481" t="inlineStr">
        <is>
          <t xml:space="preserve">FUNCTION: Required for maintenance of X inactivation in females and hypermethylation of CpG islands associated with inactive X. Involved in a pathway that mediates the methylation of a subset of CpG islands slowly and requires the de novo methyltransferase DNMT3B (By similarity). Required for DUX4 silencing in somatic cells. {ECO:0000250, ECO:0000269|PubMed:23143600}.; </t>
        </is>
      </c>
      <c r="AH481" t="inlineStr">
        <is>
          <t xml:space="preserve">DISEASE: Facioscapulohumeral muscular dystrophy 2 (FSHD2) [MIM:158901]: A degenerative muscle disease characterized by slowly progressive weakness of the muscles of the face, upper-arm, and shoulder girdle. The onset of symptoms usually occurs in the first or second decade of life. Affected individuals usually present with impairment of upper extremity elevation. This tends to be followed by facial weakness, primarily involving the orbicularis oris and orbicularis oculi muscles. {ECO:0000269|PubMed:23143600}. Note=The disease is caused by mutations affecting the gene represented in this entry. SMCHD1 mutations lead to DUX4 expression in somatic tissues, including muscle cells, when an haplotype on chromosome 4 is permissive for DUX4 expression. Ectopic expression of DUX4 in skeletal muscle activates the expression of stem cell and germline genes, and, when overexpressed in somatic cells, DUX4 can ultimately lead to cell death.; </t>
        </is>
      </c>
      <c r="AI481" t="inlineStr">
        <is>
          <t>.</t>
        </is>
      </c>
      <c r="AJ481" t="inlineStr">
        <is>
          <t>.</t>
        </is>
      </c>
      <c r="AK481" t="inlineStr">
        <is>
          <t>.</t>
        </is>
      </c>
      <c r="AL481" t="inlineStr">
        <is>
          <t>.</t>
        </is>
      </c>
    </row>
    <row r="482">
      <c r="A482" t="inlineStr"/>
      <c r="B482">
        <f>HYPERLINK("https://genome.ucsc.edu/cgi-bin/hgTracks?db=hg19&amp;position=chr18%3A2951448%2D2951450", "chr18:2951448")</f>
        <v/>
      </c>
      <c r="C482" t="inlineStr">
        <is>
          <t>chr18</t>
        </is>
      </c>
      <c r="D482" t="n">
        <v>2951448</v>
      </c>
      <c r="E482" t="n">
        <v>2951450</v>
      </c>
      <c r="F482" t="inlineStr">
        <is>
          <t>AAA</t>
        </is>
      </c>
      <c r="G482" t="inlineStr">
        <is>
          <t>-</t>
        </is>
      </c>
      <c r="H482" t="inlineStr">
        <is>
          <t>885.02</t>
        </is>
      </c>
      <c r="I482" t="inlineStr">
        <is>
          <t>28</t>
        </is>
      </c>
      <c r="J482" t="inlineStr">
        <is>
          <t>0,8,18</t>
        </is>
      </c>
      <c r="K482" t="inlineStr">
        <is>
          <t>.</t>
        </is>
      </c>
      <c r="L482">
        <f>HYPERLINK("https://www.ncbi.nlm.nih.gov/snp/rs553199051", "rs553199051")</f>
        <v/>
      </c>
      <c r="M482">
        <f>HYPERLINK("https://www.genecards.org/Search/Keyword?queryString=%5Baliases%5D(%20LPIN2%20)&amp;keywords=LPIN2", "LPIN2")</f>
        <v/>
      </c>
      <c r="N482" t="inlineStr">
        <is>
          <t>intronic;ncRNA_exonic</t>
        </is>
      </c>
      <c r="O482" t="inlineStr">
        <is>
          <t>.</t>
        </is>
      </c>
      <c r="P482" t="inlineStr">
        <is>
          <t>.</t>
        </is>
      </c>
      <c r="Q482" t="n">
        <v>0.0205</v>
      </c>
      <c r="R482" t="n">
        <v>0.0156</v>
      </c>
      <c r="S482" t="n">
        <v>0.007900000000000001</v>
      </c>
      <c r="T482" t="n">
        <v>-1</v>
      </c>
      <c r="U482" t="n">
        <v>0.0153</v>
      </c>
      <c r="V482" t="inlineStr">
        <is>
          <t>.</t>
        </is>
      </c>
      <c r="W482" t="inlineStr">
        <is>
          <t>.</t>
        </is>
      </c>
      <c r="X482" t="inlineStr">
        <is>
          <t>.</t>
        </is>
      </c>
      <c r="Y482" t="inlineStr">
        <is>
          <t>.</t>
        </is>
      </c>
      <c r="Z482" t="inlineStr">
        <is>
          <t>.</t>
        </is>
      </c>
      <c r="AA482" t="inlineStr">
        <is>
          <t>.</t>
        </is>
      </c>
      <c r="AB482" t="inlineStr">
        <is>
          <t>.</t>
        </is>
      </c>
      <c r="AC482" t="inlineStr">
        <is>
          <t>1/2</t>
        </is>
      </c>
      <c r="AD482" t="inlineStr">
        <is>
          <t>3</t>
        </is>
      </c>
      <c r="AE482" t="inlineStr">
        <is>
          <t>0.673512974845848</t>
        </is>
      </c>
      <c r="AF482" t="inlineStr">
        <is>
          <t>lipin 2</t>
        </is>
      </c>
      <c r="AG482" t="inlineStr">
        <is>
          <t xml:space="preserve">FUNCTION: Plays important roles in controlling the metabolism of fatty acids at differents levels. Acts as a magnesium-dependent phosphatidate phosphatase enzyme which catalyzes the conversion of phosphatidic acid to diacylglycerol during triglyceride, phosphatidylcholine and phosphatidylethanolamine biosynthesis in the reticulum endoplasmic membrane. Acts also as a nuclear transcriptional coactivator for PPARGC1A to modulate lipid metabolism (By similarity). {ECO:0000250}.; </t>
        </is>
      </c>
      <c r="AH482" t="inlineStr">
        <is>
          <t xml:space="preserve">DISEASE: Majeed syndrome (MAJEEDS) [MIM:609628]: An autosomal recessive syndrome characterized by chronic recurrent multifocal osteomyelitis that is of early onset with a lifelong course, congenital dyserythropoietic anemia that presents as hypochromic, microcytic anemia during the first year of life and ranges from mild to transfusion-dependent, and transient inflammatory dermatosis, often manifesting as Sweet syndrome (neutrophilic skin infiltration). {ECO:0000269|PubMed:15994876}. Note=The disease is caused by mutations affecting the gene represented in this entry.; </t>
        </is>
      </c>
      <c r="AI482" t="inlineStr">
        <is>
          <t>.</t>
        </is>
      </c>
      <c r="AJ482" t="inlineStr">
        <is>
          <t>.</t>
        </is>
      </c>
      <c r="AK482" t="inlineStr">
        <is>
          <t>.</t>
        </is>
      </c>
      <c r="AL482" t="inlineStr">
        <is>
          <t>.</t>
        </is>
      </c>
    </row>
    <row r="483">
      <c r="A483" t="inlineStr"/>
      <c r="B483">
        <f>HYPERLINK("https://genome.ucsc.edu/cgi-bin/hgTracks?db=hg19&amp;position=chr18%3A2951449%2D2951450", "chr18:2951449")</f>
        <v/>
      </c>
      <c r="C483" t="inlineStr">
        <is>
          <t>chr18</t>
        </is>
      </c>
      <c r="D483" t="n">
        <v>2951449</v>
      </c>
      <c r="E483" t="n">
        <v>2951450</v>
      </c>
      <c r="F483" t="inlineStr">
        <is>
          <t>AA</t>
        </is>
      </c>
      <c r="G483" t="inlineStr">
        <is>
          <t>-</t>
        </is>
      </c>
      <c r="H483" t="inlineStr">
        <is>
          <t>885.02</t>
        </is>
      </c>
      <c r="I483" t="inlineStr">
        <is>
          <t>28</t>
        </is>
      </c>
      <c r="J483" t="inlineStr">
        <is>
          <t>0,8,18</t>
        </is>
      </c>
      <c r="K483" t="inlineStr">
        <is>
          <t>.</t>
        </is>
      </c>
      <c r="L483" t="inlineStr">
        <is>
          <t>.</t>
        </is>
      </c>
      <c r="M483">
        <f>HYPERLINK("https://www.genecards.org/Search/Keyword?queryString=%5Baliases%5D(%20LPIN2%20)&amp;keywords=LPIN2", "LPIN2")</f>
        <v/>
      </c>
      <c r="N483" t="inlineStr">
        <is>
          <t>intronic;ncRNA_exonic</t>
        </is>
      </c>
      <c r="O483" t="inlineStr">
        <is>
          <t>.</t>
        </is>
      </c>
      <c r="P483" t="inlineStr">
        <is>
          <t>.</t>
        </is>
      </c>
      <c r="Q483" t="n">
        <v>-1</v>
      </c>
      <c r="R483" t="n">
        <v>-1</v>
      </c>
      <c r="S483" t="n">
        <v>-1</v>
      </c>
      <c r="T483" t="n">
        <v>-1</v>
      </c>
      <c r="U483" t="n">
        <v>-1</v>
      </c>
      <c r="V483" t="inlineStr">
        <is>
          <t>.</t>
        </is>
      </c>
      <c r="W483" t="inlineStr">
        <is>
          <t>.</t>
        </is>
      </c>
      <c r="X483" t="inlineStr">
        <is>
          <t>.</t>
        </is>
      </c>
      <c r="Y483" t="inlineStr">
        <is>
          <t>.</t>
        </is>
      </c>
      <c r="Z483" t="inlineStr">
        <is>
          <t>.</t>
        </is>
      </c>
      <c r="AA483" t="inlineStr">
        <is>
          <t>.</t>
        </is>
      </c>
      <c r="AB483" t="inlineStr">
        <is>
          <t>.</t>
        </is>
      </c>
      <c r="AC483" t="inlineStr">
        <is>
          <t>1/2</t>
        </is>
      </c>
      <c r="AD483" t="inlineStr">
        <is>
          <t>3</t>
        </is>
      </c>
      <c r="AE483" t="inlineStr">
        <is>
          <t>0.673512974845848</t>
        </is>
      </c>
      <c r="AF483" t="inlineStr">
        <is>
          <t>lipin 2</t>
        </is>
      </c>
      <c r="AG483" t="inlineStr">
        <is>
          <t xml:space="preserve">FUNCTION: Plays important roles in controlling the metabolism of fatty acids at differents levels. Acts as a magnesium-dependent phosphatidate phosphatase enzyme which catalyzes the conversion of phosphatidic acid to diacylglycerol during triglyceride, phosphatidylcholine and phosphatidylethanolamine biosynthesis in the reticulum endoplasmic membrane. Acts also as a nuclear transcriptional coactivator for PPARGC1A to modulate lipid metabolism (By similarity). {ECO:0000250}.; </t>
        </is>
      </c>
      <c r="AH483" t="inlineStr">
        <is>
          <t xml:space="preserve">DISEASE: Majeed syndrome (MAJEEDS) [MIM:609628]: An autosomal recessive syndrome characterized by chronic recurrent multifocal osteomyelitis that is of early onset with a lifelong course, congenital dyserythropoietic anemia that presents as hypochromic, microcytic anemia during the first year of life and ranges from mild to transfusion-dependent, and transient inflammatory dermatosis, often manifesting as Sweet syndrome (neutrophilic skin infiltration). {ECO:0000269|PubMed:15994876}. Note=The disease is caused by mutations affecting the gene represented in this entry.; </t>
        </is>
      </c>
      <c r="AI483" t="inlineStr">
        <is>
          <t>.</t>
        </is>
      </c>
      <c r="AJ483" t="inlineStr">
        <is>
          <t>.</t>
        </is>
      </c>
      <c r="AK483" t="inlineStr">
        <is>
          <t>.</t>
        </is>
      </c>
      <c r="AL483" t="inlineStr">
        <is>
          <t>.</t>
        </is>
      </c>
    </row>
    <row r="484">
      <c r="A484" t="inlineStr"/>
      <c r="B484">
        <f>HYPERLINK("https://genome.ucsc.edu/cgi-bin/hgTracks?db=hg19&amp;position=chr18%3A2982903%2D2982903", "chr18:2982903")</f>
        <v/>
      </c>
      <c r="C484" t="inlineStr">
        <is>
          <t>chr18</t>
        </is>
      </c>
      <c r="D484" t="n">
        <v>2982903</v>
      </c>
      <c r="E484" t="n">
        <v>2982903</v>
      </c>
      <c r="F484" t="inlineStr">
        <is>
          <t>-</t>
        </is>
      </c>
      <c r="G484" t="inlineStr">
        <is>
          <t>A</t>
        </is>
      </c>
      <c r="H484" t="inlineStr">
        <is>
          <t>66.60</t>
        </is>
      </c>
      <c r="I484" t="inlineStr">
        <is>
          <t>10</t>
        </is>
      </c>
      <c r="J484" t="inlineStr">
        <is>
          <t>6,4</t>
        </is>
      </c>
      <c r="K484" t="inlineStr">
        <is>
          <t>.</t>
        </is>
      </c>
      <c r="L484" t="inlineStr">
        <is>
          <t>.</t>
        </is>
      </c>
      <c r="M484">
        <f>HYPERLINK("https://www.genecards.org/Search/Keyword?queryString=%5Baliases%5D(%20LPIN2%20)&amp;keywords=LPIN2", "LPIN2")</f>
        <v/>
      </c>
      <c r="N484" t="inlineStr">
        <is>
          <t>intronic;ncRNA_intronic</t>
        </is>
      </c>
      <c r="O484" t="inlineStr">
        <is>
          <t>.</t>
        </is>
      </c>
      <c r="P484" t="inlineStr">
        <is>
          <t>.</t>
        </is>
      </c>
      <c r="Q484" t="n">
        <v>0.0141</v>
      </c>
      <c r="R484" t="n">
        <v>0.008399999999999999</v>
      </c>
      <c r="S484" t="n">
        <v>0.01</v>
      </c>
      <c r="T484" t="n">
        <v>-1</v>
      </c>
      <c r="U484" t="n">
        <v>0.0288</v>
      </c>
      <c r="V484" t="inlineStr">
        <is>
          <t>.</t>
        </is>
      </c>
      <c r="W484" t="inlineStr">
        <is>
          <t>.</t>
        </is>
      </c>
      <c r="X484" t="inlineStr">
        <is>
          <t>.</t>
        </is>
      </c>
      <c r="Y484" t="inlineStr">
        <is>
          <t>.</t>
        </is>
      </c>
      <c r="Z484" t="inlineStr">
        <is>
          <t>.</t>
        </is>
      </c>
      <c r="AA484" t="inlineStr">
        <is>
          <t>.</t>
        </is>
      </c>
      <c r="AB484" t="inlineStr">
        <is>
          <t>.</t>
        </is>
      </c>
      <c r="AC484" t="inlineStr">
        <is>
          <t>0/1</t>
        </is>
      </c>
      <c r="AD484" t="inlineStr">
        <is>
          <t>3</t>
        </is>
      </c>
      <c r="AE484" t="inlineStr">
        <is>
          <t>0.673512974845848</t>
        </is>
      </c>
      <c r="AF484" t="inlineStr">
        <is>
          <t>lipin 2</t>
        </is>
      </c>
      <c r="AG484" t="inlineStr">
        <is>
          <t xml:space="preserve">FUNCTION: Plays important roles in controlling the metabolism of fatty acids at differents levels. Acts as a magnesium-dependent phosphatidate phosphatase enzyme which catalyzes the conversion of phosphatidic acid to diacylglycerol during triglyceride, phosphatidylcholine and phosphatidylethanolamine biosynthesis in the reticulum endoplasmic membrane. Acts also as a nuclear transcriptional coactivator for PPARGC1A to modulate lipid metabolism (By similarity). {ECO:0000250}.; </t>
        </is>
      </c>
      <c r="AH484" t="inlineStr">
        <is>
          <t xml:space="preserve">DISEASE: Majeed syndrome (MAJEEDS) [MIM:609628]: An autosomal recessive syndrome characterized by chronic recurrent multifocal osteomyelitis that is of early onset with a lifelong course, congenital dyserythropoietic anemia that presents as hypochromic, microcytic anemia during the first year of life and ranges from mild to transfusion-dependent, and transient inflammatory dermatosis, often manifesting as Sweet syndrome (neutrophilic skin infiltration). {ECO:0000269|PubMed:15994876}. Note=The disease is caused by mutations affecting the gene represented in this entry.; </t>
        </is>
      </c>
      <c r="AI484" t="inlineStr">
        <is>
          <t>.</t>
        </is>
      </c>
      <c r="AJ484" t="inlineStr">
        <is>
          <t>.</t>
        </is>
      </c>
      <c r="AK484" t="inlineStr">
        <is>
          <t>.</t>
        </is>
      </c>
      <c r="AL484" t="inlineStr">
        <is>
          <t>.</t>
        </is>
      </c>
    </row>
    <row r="485">
      <c r="A485" t="inlineStr"/>
      <c r="B485">
        <f>HYPERLINK("https://genome.ucsc.edu/cgi-bin/hgTracks?db=hg19&amp;position=chr18%3A9263633%2D9263633", "chr18:9263633")</f>
        <v/>
      </c>
      <c r="C485" t="inlineStr">
        <is>
          <t>chr18</t>
        </is>
      </c>
      <c r="D485" t="n">
        <v>9263633</v>
      </c>
      <c r="E485" t="n">
        <v>9263633</v>
      </c>
      <c r="F485" t="inlineStr">
        <is>
          <t>A</t>
        </is>
      </c>
      <c r="G485" t="inlineStr">
        <is>
          <t>G</t>
        </is>
      </c>
      <c r="H485" t="inlineStr">
        <is>
          <t>109.64</t>
        </is>
      </c>
      <c r="I485" t="inlineStr">
        <is>
          <t>8</t>
        </is>
      </c>
      <c r="J485" t="inlineStr">
        <is>
          <t>3,5</t>
        </is>
      </c>
      <c r="K485" t="inlineStr">
        <is>
          <t>.</t>
        </is>
      </c>
      <c r="L485">
        <f>HYPERLINK("https://www.ncbi.nlm.nih.gov/snp/rs780118086", "rs780118086")</f>
        <v/>
      </c>
      <c r="M485">
        <f>HYPERLINK("https://www.genecards.org/Search/Keyword?queryString=%5Baliases%5D(%20ANKRD12%20)&amp;keywords=ANKRD12", "ANKRD12")</f>
        <v/>
      </c>
      <c r="N485" t="inlineStr">
        <is>
          <t>intronic</t>
        </is>
      </c>
      <c r="O485" t="inlineStr">
        <is>
          <t>.</t>
        </is>
      </c>
      <c r="P485" t="inlineStr">
        <is>
          <t>.</t>
        </is>
      </c>
      <c r="Q485" t="n">
        <v>0.0018</v>
      </c>
      <c r="R485" t="n">
        <v>0.0012</v>
      </c>
      <c r="S485" t="n">
        <v>0.0014</v>
      </c>
      <c r="T485" t="n">
        <v>-1</v>
      </c>
      <c r="U485" t="n">
        <v>0.0014</v>
      </c>
      <c r="V485" t="inlineStr">
        <is>
          <t>.</t>
        </is>
      </c>
      <c r="W485" t="inlineStr">
        <is>
          <t>.</t>
        </is>
      </c>
      <c r="X485" t="inlineStr">
        <is>
          <t>D</t>
        </is>
      </c>
      <c r="Y485" t="inlineStr">
        <is>
          <t>off</t>
        </is>
      </c>
      <c r="Z485" t="inlineStr">
        <is>
          <t>.</t>
        </is>
      </c>
      <c r="AA485" t="inlineStr">
        <is>
          <t>.</t>
        </is>
      </c>
      <c r="AB485" t="inlineStr">
        <is>
          <t>.</t>
        </is>
      </c>
      <c r="AC485" t="inlineStr">
        <is>
          <t>0/1</t>
        </is>
      </c>
      <c r="AD485" t="inlineStr">
        <is>
          <t>1</t>
        </is>
      </c>
      <c r="AE485" t="inlineStr">
        <is>
          <t>0.999985243734791</t>
        </is>
      </c>
      <c r="AF485" t="inlineStr">
        <is>
          <t>ankyrin repeat domain 12</t>
        </is>
      </c>
      <c r="AG485" t="inlineStr">
        <is>
          <t xml:space="preserve">FUNCTION: May recruit HDACs to the p160 coactivators/nuclear receptor complex to inhibit ligand-dependent transactivation.; </t>
        </is>
      </c>
      <c r="AH485" t="inlineStr">
        <is>
          <t>.</t>
        </is>
      </c>
      <c r="AI485" t="inlineStr">
        <is>
          <t>.</t>
        </is>
      </c>
      <c r="AJ485" t="inlineStr">
        <is>
          <t>.</t>
        </is>
      </c>
      <c r="AK485" t="inlineStr">
        <is>
          <t>.</t>
        </is>
      </c>
      <c r="AL485" t="inlineStr">
        <is>
          <t>.</t>
        </is>
      </c>
    </row>
    <row r="486">
      <c r="A486" t="inlineStr"/>
      <c r="B486">
        <f>HYPERLINK("https://genome.ucsc.edu/cgi-bin/hgTracks?db=hg19&amp;position=chr18%3A11754142%2D11754142", "chr18:11754142")</f>
        <v/>
      </c>
      <c r="C486" t="inlineStr">
        <is>
          <t>chr18</t>
        </is>
      </c>
      <c r="D486" t="n">
        <v>11754142</v>
      </c>
      <c r="E486" t="n">
        <v>11754142</v>
      </c>
      <c r="F486" t="inlineStr">
        <is>
          <t>G</t>
        </is>
      </c>
      <c r="G486" t="inlineStr">
        <is>
          <t>A</t>
        </is>
      </c>
      <c r="H486" t="inlineStr">
        <is>
          <t>106.14</t>
        </is>
      </c>
      <c r="I486" t="inlineStr">
        <is>
          <t>4</t>
        </is>
      </c>
      <c r="J486" t="inlineStr">
        <is>
          <t>0,4</t>
        </is>
      </c>
      <c r="K486" t="inlineStr">
        <is>
          <t>.</t>
        </is>
      </c>
      <c r="L486">
        <f>HYPERLINK("https://www.ncbi.nlm.nih.gov/snp/rs1004300671", "rs1004300671")</f>
        <v/>
      </c>
      <c r="M486">
        <f>HYPERLINK("https://www.genecards.org/Search/Keyword?queryString=%5Baliases%5D(%20GNAL%20)&amp;keywords=GNAL", "GNAL")</f>
        <v/>
      </c>
      <c r="N486" t="inlineStr">
        <is>
          <t>intronic</t>
        </is>
      </c>
      <c r="O486" t="inlineStr">
        <is>
          <t>.</t>
        </is>
      </c>
      <c r="P486" t="inlineStr">
        <is>
          <t>.</t>
        </is>
      </c>
      <c r="Q486" t="n">
        <v>-1</v>
      </c>
      <c r="R486" t="n">
        <v>-1</v>
      </c>
      <c r="S486" t="n">
        <v>-1</v>
      </c>
      <c r="T486" t="n">
        <v>-1</v>
      </c>
      <c r="U486" t="n">
        <v>-1</v>
      </c>
      <c r="V486" t="inlineStr">
        <is>
          <t>.</t>
        </is>
      </c>
      <c r="W486" t="inlineStr">
        <is>
          <t>.</t>
        </is>
      </c>
      <c r="X486" t="inlineStr">
        <is>
          <t>PD</t>
        </is>
      </c>
      <c r="Y486" t="inlineStr">
        <is>
          <t>off</t>
        </is>
      </c>
      <c r="Z486" t="inlineStr">
        <is>
          <t>.</t>
        </is>
      </c>
      <c r="AA486" t="inlineStr">
        <is>
          <t>.</t>
        </is>
      </c>
      <c r="AB486" t="inlineStr">
        <is>
          <t>.</t>
        </is>
      </c>
      <c r="AC486" t="inlineStr">
        <is>
          <t>HOMO</t>
        </is>
      </c>
      <c r="AD486" t="inlineStr">
        <is>
          <t>1</t>
        </is>
      </c>
      <c r="AE486" t="inlineStr">
        <is>
          <t>0.987372719895044</t>
        </is>
      </c>
      <c r="AF486" t="inlineStr">
        <is>
          <t>G protein subunit alpha L</t>
        </is>
      </c>
      <c r="AG486" t="inlineStr">
        <is>
          <t xml:space="preserve">FUNCTION: Guanine nucleotide-binding proteins (G proteins) are involved as modulators or transducers in various transmembrane signaling systems. G(olf) alpha mediates signal transduction within the olfactory neuroepithelium and the basal ganglia. May be involved in some aspect of visual transduction, and in mediating the effect of one or more hormones/neurotransmitters.; </t>
        </is>
      </c>
      <c r="AH486" t="inlineStr">
        <is>
          <t>.</t>
        </is>
      </c>
      <c r="AI486" t="inlineStr">
        <is>
          <t>.</t>
        </is>
      </c>
      <c r="AJ486" t="inlineStr">
        <is>
          <t>.</t>
        </is>
      </c>
      <c r="AK486" t="inlineStr">
        <is>
          <t>.</t>
        </is>
      </c>
      <c r="AL486" t="inlineStr">
        <is>
          <t>.</t>
        </is>
      </c>
    </row>
    <row r="487">
      <c r="A487" t="inlineStr"/>
      <c r="B487">
        <f>HYPERLINK("https://genome.ucsc.edu/cgi-bin/hgTracks?db=hg19&amp;position=chr18%3A20716258%2D20716258", "chr18:20716258")</f>
        <v/>
      </c>
      <c r="C487" t="inlineStr">
        <is>
          <t>chr18</t>
        </is>
      </c>
      <c r="D487" t="n">
        <v>20716258</v>
      </c>
      <c r="E487" t="n">
        <v>20716258</v>
      </c>
      <c r="F487" t="inlineStr">
        <is>
          <t>G</t>
        </is>
      </c>
      <c r="G487" t="inlineStr">
        <is>
          <t>A</t>
        </is>
      </c>
      <c r="H487" t="inlineStr">
        <is>
          <t>793.64</t>
        </is>
      </c>
      <c r="I487" t="inlineStr">
        <is>
          <t>59</t>
        </is>
      </c>
      <c r="J487" t="inlineStr">
        <is>
          <t>25,34</t>
        </is>
      </c>
      <c r="K487" t="inlineStr">
        <is>
          <t>.</t>
        </is>
      </c>
      <c r="L487">
        <f>HYPERLINK("https://www.ncbi.nlm.nih.gov/snp/rs200098768", "rs200098768")</f>
        <v/>
      </c>
      <c r="M487">
        <f>HYPERLINK("https://www.genecards.org/Search/Keyword?queryString=%5Baliases%5D(%20CABLES1%20)&amp;keywords=CABLES1", "CABLES1")</f>
        <v/>
      </c>
      <c r="N487" t="inlineStr">
        <is>
          <t>exonic</t>
        </is>
      </c>
      <c r="O487" t="inlineStr">
        <is>
          <t>nonsynonymous SNV</t>
        </is>
      </c>
      <c r="P487" t="inlineStr">
        <is>
          <t>CABLES1:NM_001100619:exon1:c.G532A:p.E178K;CABLES1:uc002kuc.2:exon1:c.G532A:p.E178K;CABLES1:ENST00000256925.12_4:exon1:c.G532A:p.E178K</t>
        </is>
      </c>
      <c r="Q487" t="n">
        <v>0.018</v>
      </c>
      <c r="R487" t="n">
        <v>0.0119</v>
      </c>
      <c r="S487" t="n">
        <v>0.0114</v>
      </c>
      <c r="T487" t="n">
        <v>-1</v>
      </c>
      <c r="U487" t="n">
        <v>0.0119</v>
      </c>
      <c r="V487" t="inlineStr">
        <is>
          <t>3/9</t>
        </is>
      </c>
      <c r="W487" t="inlineStr">
        <is>
          <t>.</t>
        </is>
      </c>
      <c r="X487" t="inlineStr">
        <is>
          <t>.</t>
        </is>
      </c>
      <c r="Y487" t="inlineStr">
        <is>
          <t>.</t>
        </is>
      </c>
      <c r="Z487" t="inlineStr">
        <is>
          <t>1/7</t>
        </is>
      </c>
      <c r="AA487" t="inlineStr">
        <is>
          <t>Uncertain significance</t>
        </is>
      </c>
      <c r="AB487" t="inlineStr">
        <is>
          <t>.</t>
        </is>
      </c>
      <c r="AC487" t="inlineStr">
        <is>
          <t>0/1</t>
        </is>
      </c>
      <c r="AD487" t="inlineStr">
        <is>
          <t>1</t>
        </is>
      </c>
      <c r="AE487" t="inlineStr">
        <is>
          <t>0.445044394222778</t>
        </is>
      </c>
      <c r="AF487" t="inlineStr">
        <is>
          <t>Cdk5 and Abl enzyme substrate 1</t>
        </is>
      </c>
      <c r="AG487" t="inlineStr">
        <is>
          <t xml:space="preserve">FUNCTION: Cyclin-dependent kinase binding protein. Enhances cyclin-dependent kinase tyrosine phosphorylation by nonreceptor tyrosine kinases, such as that of CDK5 by activated ABL1, which leads to increased CDK5 activity and is critical for neuronal development, and that of CDK2 by WEE1, which leads to decreased CDK2 activity and growth inhibition. Positively affects neuronal outgrowth. Plays a role as a regulator for p53/p73-induced cell death (By similarity). {ECO:0000250}.; </t>
        </is>
      </c>
      <c r="AH487" t="inlineStr">
        <is>
          <t>.</t>
        </is>
      </c>
      <c r="AI487" t="inlineStr">
        <is>
          <t>.</t>
        </is>
      </c>
      <c r="AJ487" t="inlineStr">
        <is>
          <t>.</t>
        </is>
      </c>
      <c r="AK487" t="inlineStr">
        <is>
          <t>.</t>
        </is>
      </c>
      <c r="AL487" t="inlineStr">
        <is>
          <t>.</t>
        </is>
      </c>
    </row>
    <row r="488">
      <c r="A488" t="inlineStr"/>
      <c r="B488">
        <f>HYPERLINK("https://genome.ucsc.edu/cgi-bin/hgTracks?db=hg19&amp;position=chr18%3A21102886%2D21102886", "chr18:21102886")</f>
        <v/>
      </c>
      <c r="C488" t="inlineStr">
        <is>
          <t>chr18</t>
        </is>
      </c>
      <c r="D488" t="n">
        <v>21102886</v>
      </c>
      <c r="E488" t="n">
        <v>21102886</v>
      </c>
      <c r="F488" t="inlineStr">
        <is>
          <t>T</t>
        </is>
      </c>
      <c r="G488" t="inlineStr">
        <is>
          <t>C</t>
        </is>
      </c>
      <c r="H488" t="inlineStr">
        <is>
          <t>864.64</t>
        </is>
      </c>
      <c r="I488" t="inlineStr">
        <is>
          <t>70</t>
        </is>
      </c>
      <c r="J488" t="inlineStr">
        <is>
          <t>36,34</t>
        </is>
      </c>
      <c r="K488" t="inlineStr">
        <is>
          <t>.</t>
        </is>
      </c>
      <c r="L488">
        <f>HYPERLINK("https://www.ncbi.nlm.nih.gov/snp/rs537968240", "rs537968240")</f>
        <v/>
      </c>
      <c r="M488">
        <f>HYPERLINK("https://www.genecards.org/Search/Keyword?queryString=%5Baliases%5D(%20C18orf8%20)%20OR%20%5Baliases%5D(%20RMC1%20)&amp;keywords=C18orf8,RMC1", "C18orf8;RMC1")</f>
        <v/>
      </c>
      <c r="N488" t="inlineStr">
        <is>
          <t>intronic</t>
        </is>
      </c>
      <c r="O488" t="inlineStr">
        <is>
          <t>.</t>
        </is>
      </c>
      <c r="P488" t="inlineStr">
        <is>
          <t>.</t>
        </is>
      </c>
      <c r="Q488" t="n">
        <v>0.004</v>
      </c>
      <c r="R488" t="n">
        <v>0.0016</v>
      </c>
      <c r="S488" t="n">
        <v>0.0013</v>
      </c>
      <c r="T488" t="n">
        <v>-1</v>
      </c>
      <c r="U488" t="n">
        <v>0.0016</v>
      </c>
      <c r="V488" t="inlineStr">
        <is>
          <t>.</t>
        </is>
      </c>
      <c r="W488" t="inlineStr">
        <is>
          <t>.</t>
        </is>
      </c>
      <c r="X488" t="inlineStr">
        <is>
          <t>PD</t>
        </is>
      </c>
      <c r="Y488" t="inlineStr">
        <is>
          <t>off</t>
        </is>
      </c>
      <c r="Z488" t="inlineStr">
        <is>
          <t>.</t>
        </is>
      </c>
      <c r="AA488" t="inlineStr">
        <is>
          <t>.</t>
        </is>
      </c>
      <c r="AB488" t="inlineStr">
        <is>
          <t>.</t>
        </is>
      </c>
      <c r="AC488" t="inlineStr">
        <is>
          <t>0/1</t>
        </is>
      </c>
      <c r="AD488" t="inlineStr">
        <is>
          <t>1;1</t>
        </is>
      </c>
      <c r="AE488" t="inlineStr">
        <is>
          <t>0.999882357316615</t>
        </is>
      </c>
      <c r="AF488" t="inlineStr">
        <is>
          <t>chromosome 18 open reading frame 8</t>
        </is>
      </c>
      <c r="AG488" t="inlineStr">
        <is>
          <t>.</t>
        </is>
      </c>
      <c r="AH488" t="inlineStr">
        <is>
          <t>.</t>
        </is>
      </c>
      <c r="AI488" t="inlineStr">
        <is>
          <t>.</t>
        </is>
      </c>
      <c r="AJ488" t="inlineStr">
        <is>
          <t>.</t>
        </is>
      </c>
      <c r="AK488" t="inlineStr">
        <is>
          <t>.</t>
        </is>
      </c>
      <c r="AL488" t="inlineStr">
        <is>
          <t>.</t>
        </is>
      </c>
    </row>
    <row r="489">
      <c r="A489" t="inlineStr"/>
      <c r="B489">
        <f>HYPERLINK("https://genome.ucsc.edu/cgi-bin/hgTracks?db=hg19&amp;position=chr18%3A25565101%2D25565101", "chr18:25565101")</f>
        <v/>
      </c>
      <c r="C489" t="inlineStr">
        <is>
          <t>chr18</t>
        </is>
      </c>
      <c r="D489" t="n">
        <v>25565101</v>
      </c>
      <c r="E489" t="n">
        <v>25565101</v>
      </c>
      <c r="F489" t="inlineStr">
        <is>
          <t>G</t>
        </is>
      </c>
      <c r="G489" t="inlineStr">
        <is>
          <t>A</t>
        </is>
      </c>
      <c r="H489" t="inlineStr">
        <is>
          <t>516.64</t>
        </is>
      </c>
      <c r="I489" t="inlineStr">
        <is>
          <t>110</t>
        </is>
      </c>
      <c r="J489" t="inlineStr">
        <is>
          <t>82,28</t>
        </is>
      </c>
      <c r="K489" t="inlineStr">
        <is>
          <t>.</t>
        </is>
      </c>
      <c r="L489" t="inlineStr">
        <is>
          <t>.</t>
        </is>
      </c>
      <c r="M489">
        <f>HYPERLINK("https://www.genecards.org/Search/Keyword?queryString=%5Baliases%5D(%20CDH2%20)&amp;keywords=CDH2", "CDH2")</f>
        <v/>
      </c>
      <c r="N489" t="inlineStr">
        <is>
          <t>exonic</t>
        </is>
      </c>
      <c r="O489" t="inlineStr">
        <is>
          <t>nonsynonymous SNV</t>
        </is>
      </c>
      <c r="P489" t="inlineStr">
        <is>
          <t>CDH2:NM_001308176:exon12:c.C1979T:p.S660L,CDH2:NM_001792:exon13:c.C2072T:p.S691L;CDH2:uc010xbn.1:exon12:c.C1979T:p.S660L,CDH2:uc002kwg.2:exon13:c.C2072T:p.S691L;CDH2:ENST00000399380.7_4:exon12:c.C1979T:p.S660L,CDH2:ENST00000269141.8_5:exon13:c.C2072T:p.S691L,CDH2:ENST00000676445.1_1:exon13:c.C1817T:p.S606L</t>
        </is>
      </c>
      <c r="Q489" t="n">
        <v>-1</v>
      </c>
      <c r="R489" t="n">
        <v>-1</v>
      </c>
      <c r="S489" t="n">
        <v>-1</v>
      </c>
      <c r="T489" t="n">
        <v>-1</v>
      </c>
      <c r="U489" t="n">
        <v>-1</v>
      </c>
      <c r="V489" t="inlineStr">
        <is>
          <t>6/12</t>
        </is>
      </c>
      <c r="W489" t="inlineStr">
        <is>
          <t>.</t>
        </is>
      </c>
      <c r="X489" t="inlineStr">
        <is>
          <t>.</t>
        </is>
      </c>
      <c r="Y489" t="inlineStr">
        <is>
          <t>.</t>
        </is>
      </c>
      <c r="Z489" t="inlineStr">
        <is>
          <t>5/7</t>
        </is>
      </c>
      <c r="AA489" t="inlineStr">
        <is>
          <t>Uncertain significance</t>
        </is>
      </c>
      <c r="AB489" t="inlineStr">
        <is>
          <t>.</t>
        </is>
      </c>
      <c r="AC489" t="inlineStr">
        <is>
          <t>0/1</t>
        </is>
      </c>
      <c r="AD489" t="inlineStr">
        <is>
          <t>2</t>
        </is>
      </c>
      <c r="AE489" t="inlineStr">
        <is>
          <t>0.897440931236462</t>
        </is>
      </c>
      <c r="AF489" t="inlineStr">
        <is>
          <t>cadherin 2</t>
        </is>
      </c>
      <c r="AG489" t="inlineStr">
        <is>
          <t xml:space="preserve">FUNCTION: Cadherins are calcium-dependent cell adhesion proteins. They preferentially interact with themselves in a homophilic manner in connecting cells; cadherins may thus contribute to the sorting of heterogeneous cell types. Acts as a regulator of neural stem cells quiescence by mediating anchorage of neural stem cells to ependymocytes in the adult subependymal zone: upon cleavage by MMP24, CDH2-mediated anchorage is affected, leading to modulate neural stem cell quiescence. CDH2 may be involved in neuronal recognition mechanism. In hippocampal neurons, may regulate dendritic spine density (By similarity). {ECO:0000250}.; </t>
        </is>
      </c>
      <c r="AH489" t="inlineStr">
        <is>
          <t>.</t>
        </is>
      </c>
      <c r="AI489" t="inlineStr">
        <is>
          <t>.</t>
        </is>
      </c>
      <c r="AJ489" t="inlineStr">
        <is>
          <t>.</t>
        </is>
      </c>
      <c r="AK489" t="inlineStr">
        <is>
          <t>.</t>
        </is>
      </c>
      <c r="AL489" t="inlineStr">
        <is>
          <t>.</t>
        </is>
      </c>
    </row>
    <row r="490">
      <c r="A490" t="inlineStr"/>
      <c r="B490">
        <f>HYPERLINK("https://genome.ucsc.edu/cgi-bin/hgTracks?db=hg19&amp;position=chr18%3A25573588%2D25573588", "chr18:25573588")</f>
        <v/>
      </c>
      <c r="C490" t="inlineStr">
        <is>
          <t>chr18</t>
        </is>
      </c>
      <c r="D490" t="n">
        <v>25573588</v>
      </c>
      <c r="E490" t="n">
        <v>25573588</v>
      </c>
      <c r="F490" t="inlineStr">
        <is>
          <t>T</t>
        </is>
      </c>
      <c r="G490" t="inlineStr">
        <is>
          <t>C</t>
        </is>
      </c>
      <c r="H490" t="inlineStr">
        <is>
          <t>423.64</t>
        </is>
      </c>
      <c r="I490" t="inlineStr">
        <is>
          <t>58</t>
        </is>
      </c>
      <c r="J490" t="inlineStr">
        <is>
          <t>39,19</t>
        </is>
      </c>
      <c r="K490" t="inlineStr">
        <is>
          <t>.</t>
        </is>
      </c>
      <c r="L490" t="inlineStr">
        <is>
          <t>.</t>
        </is>
      </c>
      <c r="M490">
        <f>HYPERLINK("https://www.genecards.org/Search/Keyword?queryString=%5Baliases%5D(%20CDH2%20)&amp;keywords=CDH2", "CDH2")</f>
        <v/>
      </c>
      <c r="N490" t="inlineStr">
        <is>
          <t>exonic</t>
        </is>
      </c>
      <c r="O490" t="inlineStr">
        <is>
          <t>nonsynonymous SNV</t>
        </is>
      </c>
      <c r="P490" t="inlineStr">
        <is>
          <t>CDH2:NM_001308176:exon7:c.A941G:p.Y314C,CDH2:NM_001792:exon8:c.A1034G:p.Y345C;CDH2:uc010xbn.1:exon7:c.A941G:p.Y314C,CDH2:uc002kwg.2:exon8:c.A1034G:p.Y345C;CDH2:ENST00000399380.7_4:exon7:c.A941G:p.Y314C,CDH2:ENST00000269141.8_5:exon8:c.A1034G:p.Y345C,CDH2:ENST00000676445.1_1:exon8:c.A779G:p.Y260C</t>
        </is>
      </c>
      <c r="Q490" t="n">
        <v>-1</v>
      </c>
      <c r="R490" t="n">
        <v>-1</v>
      </c>
      <c r="S490" t="n">
        <v>-1</v>
      </c>
      <c r="T490" t="n">
        <v>-1</v>
      </c>
      <c r="U490" t="n">
        <v>-1</v>
      </c>
      <c r="V490" t="inlineStr">
        <is>
          <t>10/12</t>
        </is>
      </c>
      <c r="W490" t="inlineStr">
        <is>
          <t>.</t>
        </is>
      </c>
      <c r="X490" t="inlineStr">
        <is>
          <t>.</t>
        </is>
      </c>
      <c r="Y490" t="inlineStr">
        <is>
          <t>.</t>
        </is>
      </c>
      <c r="Z490" t="inlineStr">
        <is>
          <t>7/7</t>
        </is>
      </c>
      <c r="AA490" t="inlineStr">
        <is>
          <t>Uncertain significance</t>
        </is>
      </c>
      <c r="AB490" t="inlineStr">
        <is>
          <t>.</t>
        </is>
      </c>
      <c r="AC490" t="inlineStr">
        <is>
          <t>0/1</t>
        </is>
      </c>
      <c r="AD490" t="inlineStr">
        <is>
          <t>2</t>
        </is>
      </c>
      <c r="AE490" t="inlineStr">
        <is>
          <t>0.897440931236462</t>
        </is>
      </c>
      <c r="AF490" t="inlineStr">
        <is>
          <t>cadherin 2</t>
        </is>
      </c>
      <c r="AG490" t="inlineStr">
        <is>
          <t xml:space="preserve">FUNCTION: Cadherins are calcium-dependent cell adhesion proteins. They preferentially interact with themselves in a homophilic manner in connecting cells; cadherins may thus contribute to the sorting of heterogeneous cell types. Acts as a regulator of neural stem cells quiescence by mediating anchorage of neural stem cells to ependymocytes in the adult subependymal zone: upon cleavage by MMP24, CDH2-mediated anchorage is affected, leading to modulate neural stem cell quiescence. CDH2 may be involved in neuronal recognition mechanism. In hippocampal neurons, may regulate dendritic spine density (By similarity). {ECO:0000250}.; </t>
        </is>
      </c>
      <c r="AH490" t="inlineStr">
        <is>
          <t>.</t>
        </is>
      </c>
      <c r="AI490" t="inlineStr">
        <is>
          <t>.</t>
        </is>
      </c>
      <c r="AJ490" t="inlineStr">
        <is>
          <t>.</t>
        </is>
      </c>
      <c r="AK490" t="inlineStr">
        <is>
          <t>.</t>
        </is>
      </c>
      <c r="AL490" t="inlineStr">
        <is>
          <t>.</t>
        </is>
      </c>
    </row>
    <row r="491">
      <c r="A491" t="inlineStr"/>
      <c r="B491">
        <f>HYPERLINK("https://genome.ucsc.edu/cgi-bin/hgTracks?db=hg19&amp;position=chr18%3A28926884%2D28926884", "chr18:28926884")</f>
        <v/>
      </c>
      <c r="C491" t="inlineStr">
        <is>
          <t>chr18</t>
        </is>
      </c>
      <c r="D491" t="n">
        <v>28926884</v>
      </c>
      <c r="E491" t="n">
        <v>28926884</v>
      </c>
      <c r="F491" t="inlineStr">
        <is>
          <t>T</t>
        </is>
      </c>
      <c r="G491" t="inlineStr">
        <is>
          <t>C</t>
        </is>
      </c>
      <c r="H491" t="inlineStr">
        <is>
          <t>53.64</t>
        </is>
      </c>
      <c r="I491" t="inlineStr">
        <is>
          <t>6</t>
        </is>
      </c>
      <c r="J491" t="inlineStr">
        <is>
          <t>4,2</t>
        </is>
      </c>
      <c r="K491" t="inlineStr">
        <is>
          <t>.</t>
        </is>
      </c>
      <c r="L491" t="inlineStr">
        <is>
          <t>.</t>
        </is>
      </c>
      <c r="M491">
        <f>HYPERLINK("https://www.genecards.org/Search/Keyword?queryString=%5Baliases%5D(%20DSG1%20)%20OR%20%5Baliases%5D(%20DSG1-AS1%20)&amp;keywords=DSG1,DSG1-AS1", "DSG1;DSG1-AS1")</f>
        <v/>
      </c>
      <c r="N491" t="inlineStr">
        <is>
          <t>intronic;ncRNA_intronic</t>
        </is>
      </c>
      <c r="O491" t="inlineStr">
        <is>
          <t>.</t>
        </is>
      </c>
      <c r="P491" t="inlineStr">
        <is>
          <t>.</t>
        </is>
      </c>
      <c r="Q491" t="n">
        <v>-1</v>
      </c>
      <c r="R491" t="n">
        <v>-1</v>
      </c>
      <c r="S491" t="n">
        <v>-1</v>
      </c>
      <c r="T491" t="n">
        <v>-1</v>
      </c>
      <c r="U491" t="n">
        <v>-1</v>
      </c>
      <c r="V491" t="inlineStr">
        <is>
          <t>.</t>
        </is>
      </c>
      <c r="W491" t="inlineStr">
        <is>
          <t>.</t>
        </is>
      </c>
      <c r="X491" t="inlineStr">
        <is>
          <t>.</t>
        </is>
      </c>
      <c r="Y491" t="inlineStr">
        <is>
          <t>.</t>
        </is>
      </c>
      <c r="Z491" t="inlineStr">
        <is>
          <t>.</t>
        </is>
      </c>
      <c r="AA491" t="inlineStr">
        <is>
          <t>.</t>
        </is>
      </c>
      <c r="AB491" t="inlineStr">
        <is>
          <t>.</t>
        </is>
      </c>
      <c r="AC491" t="inlineStr">
        <is>
          <t>0/1</t>
        </is>
      </c>
      <c r="AD491" t="inlineStr">
        <is>
          <t>1;1</t>
        </is>
      </c>
      <c r="AE491" t="inlineStr">
        <is>
          <t>0.979103460229869</t>
        </is>
      </c>
      <c r="AF491" t="inlineStr">
        <is>
          <t>DSG1 antisense RNA 1;desmoglein 1</t>
        </is>
      </c>
      <c r="AG491" t="inlineStr">
        <is>
          <t xml:space="preserve">FUNCTION: Component of intercellular desmosome junctions. Involved in the interaction of plaque proteins and intermediate filaments mediating cell-cell adhesion.; </t>
        </is>
      </c>
      <c r="AH491" t="inlineStr">
        <is>
          <t xml:space="preserve">DISEASE: Palmoplantar keratoderma 1, striate, focal, or diffuse (PPKS1) [MIM:148700]: A dermatological disorder characterized by thickening of the skin on the palms and soles, and longitudinal hyperkeratotic lesions on the palms, running the length of each finger. {ECO:0000269|PubMed:10332028}. Note=The disease is caused by mutations affecting the gene represented in this entry.; DISEASE: Erythroderma, congenital, with palmoplantar keratoderma, hypotrichosis, and hyper IgE (EPKHE) [MIM:615508]: A syndrome characterized by severe dermatitis, multiple allergies and metabolic wasting. Clinical features include erythroderma, yellowish papules and plaques arranged at the periphery of the palms, along the fingers and over weight-bearing areas of the feet, skin erosions and scaling, and hypotrichosis. Additionally, patients manifest severe food allergies, elevated immunoglobulin E (IgE) levels and recurrent infections with marked metabolic wasting. {ECO:0000269|PubMed:23974871}. Note=The disease is caused by mutations affecting the gene represented in this entry.; </t>
        </is>
      </c>
      <c r="AI491" t="inlineStr">
        <is>
          <t>.</t>
        </is>
      </c>
      <c r="AJ491" t="inlineStr">
        <is>
          <t>.</t>
        </is>
      </c>
      <c r="AK491" t="inlineStr">
        <is>
          <t>.</t>
        </is>
      </c>
      <c r="AL491" t="inlineStr">
        <is>
          <t>.</t>
        </is>
      </c>
    </row>
    <row r="492">
      <c r="A492" t="inlineStr"/>
      <c r="B492">
        <f>HYPERLINK("https://genome.ucsc.edu/cgi-bin/hgTracks?db=hg19&amp;position=chr18%3A28971125%2D28971125", "chr18:28971125")</f>
        <v/>
      </c>
      <c r="C492" t="inlineStr">
        <is>
          <t>chr18</t>
        </is>
      </c>
      <c r="D492" t="n">
        <v>28971125</v>
      </c>
      <c r="E492" t="n">
        <v>28971125</v>
      </c>
      <c r="F492" t="inlineStr">
        <is>
          <t>A</t>
        </is>
      </c>
      <c r="G492" t="inlineStr">
        <is>
          <t>T</t>
        </is>
      </c>
      <c r="H492" t="inlineStr">
        <is>
          <t>680.64</t>
        </is>
      </c>
      <c r="I492" t="inlineStr">
        <is>
          <t>115</t>
        </is>
      </c>
      <c r="J492" t="inlineStr">
        <is>
          <t>82,33</t>
        </is>
      </c>
      <c r="K492" t="inlineStr">
        <is>
          <t>.</t>
        </is>
      </c>
      <c r="L492" t="inlineStr">
        <is>
          <t>.</t>
        </is>
      </c>
      <c r="M492">
        <f>HYPERLINK("https://www.genecards.org/Search/Keyword?queryString=%5Baliases%5D(%20DSG4%20)&amp;keywords=DSG4", "DSG4")</f>
        <v/>
      </c>
      <c r="N492" t="inlineStr">
        <is>
          <t>exonic</t>
        </is>
      </c>
      <c r="O492" t="inlineStr">
        <is>
          <t>nonsynonymous SNV</t>
        </is>
      </c>
      <c r="P492" t="inlineStr">
        <is>
          <t>DSG4:NM_001134453:exon7:c.A769T:p.I257F,DSG4:NM_177986:exon7:c.A769T:p.I257F;DSG4:uc002kwq.2:exon7:c.A769T:p.I257F,DSG4:uc002kwr.2:exon7:c.A769T:p.I257F;DSG4:ENST00000308128.9_7:exon7:c.A769T:p.I257F,DSG4:ENST00000359747.4_2:exon7:c.A769T:p.I257F</t>
        </is>
      </c>
      <c r="Q492" t="n">
        <v>-1</v>
      </c>
      <c r="R492" t="n">
        <v>-1</v>
      </c>
      <c r="S492" t="n">
        <v>-1</v>
      </c>
      <c r="T492" t="n">
        <v>-1</v>
      </c>
      <c r="U492" t="n">
        <v>-1</v>
      </c>
      <c r="V492" t="inlineStr">
        <is>
          <t>9/12</t>
        </is>
      </c>
      <c r="W492" t="inlineStr">
        <is>
          <t>.</t>
        </is>
      </c>
      <c r="X492" t="inlineStr">
        <is>
          <t>.</t>
        </is>
      </c>
      <c r="Y492" t="inlineStr">
        <is>
          <t>.</t>
        </is>
      </c>
      <c r="Z492" t="inlineStr">
        <is>
          <t>4/7</t>
        </is>
      </c>
      <c r="AA492" t="inlineStr">
        <is>
          <t>Uncertain significance</t>
        </is>
      </c>
      <c r="AB492" t="inlineStr">
        <is>
          <t>.</t>
        </is>
      </c>
      <c r="AC492" t="inlineStr">
        <is>
          <t>0/1</t>
        </is>
      </c>
      <c r="AD492" t="inlineStr">
        <is>
          <t>1</t>
        </is>
      </c>
      <c r="AE492" t="inlineStr">
        <is>
          <t>6.32076861880848e-05</t>
        </is>
      </c>
      <c r="AF492" t="inlineStr">
        <is>
          <t>desmoglein 4</t>
        </is>
      </c>
      <c r="AG492" t="inlineStr">
        <is>
          <t xml:space="preserve">FUNCTION: Component of intercellular desmosome junctions. Involved in the interaction of plaque proteins and intermediate filaments mediating cell-cell adhesion. Coordinates the transition from proliferation to differentiation in hair follicle keratinocytes (By similarity). {ECO:0000250}.; </t>
        </is>
      </c>
      <c r="AH492" t="inlineStr">
        <is>
          <t xml:space="preserve">DISEASE: Hypotrichosis 6 (HYPT6) [MIM:607903]: A condition characterized by the presence of less than the normal amount of hair and abnormal hair follicles and shafts, which are thin and atrophic. The disorder affects the trunk and extremities as well as the scalp, and the eyebrows and eyelashes may also be involved, whereas beard, pubic, and axillary hairs are largely spared. In addition, patients can develop hyperkeratotic follicular papules, erythema, and pruritus in affected areas. In some patients with congenital hypotrichosis, monilethrix-like hairs showing elliptical nodes have been observed. {ECO:0000269|PubMed:15191570}. Note=The disease is caused by mutations affecting the gene represented in this entry.; DISEASE: Note=Autoantibodies against DSG4 are found in patients with pemphigus vulgaris. Pemphigus vulgaris is a potentially lethal skin disease in which epidermal blisters occur as the result of the loss of cell-cell adhesion.; </t>
        </is>
      </c>
      <c r="AI492" t="inlineStr">
        <is>
          <t>.</t>
        </is>
      </c>
      <c r="AJ492" t="inlineStr">
        <is>
          <t>.</t>
        </is>
      </c>
      <c r="AK492" t="inlineStr">
        <is>
          <t>.</t>
        </is>
      </c>
      <c r="AL492" t="inlineStr">
        <is>
          <t>.</t>
        </is>
      </c>
    </row>
    <row r="493">
      <c r="A493" t="inlineStr"/>
      <c r="B493">
        <f>HYPERLINK("https://genome.ucsc.edu/cgi-bin/hgTracks?db=hg19&amp;position=chr18%3A29178565%2D29178565", "chr18:29178565")</f>
        <v/>
      </c>
      <c r="C493" t="inlineStr">
        <is>
          <t>chr18</t>
        </is>
      </c>
      <c r="D493" t="n">
        <v>29178565</v>
      </c>
      <c r="E493" t="n">
        <v>29178565</v>
      </c>
      <c r="F493" t="inlineStr">
        <is>
          <t>G</t>
        </is>
      </c>
      <c r="G493" t="inlineStr">
        <is>
          <t>A</t>
        </is>
      </c>
      <c r="H493" t="inlineStr">
        <is>
          <t>1059.64</t>
        </is>
      </c>
      <c r="I493" t="inlineStr">
        <is>
          <t>178</t>
        </is>
      </c>
      <c r="J493" t="inlineStr">
        <is>
          <t>129,49</t>
        </is>
      </c>
      <c r="K493" t="inlineStr">
        <is>
          <t>CM992976</t>
        </is>
      </c>
      <c r="L493">
        <f>HYPERLINK("https://www.ncbi.nlm.nih.gov/snp/rs121918095", "rs121918095")</f>
        <v/>
      </c>
      <c r="M493">
        <f>HYPERLINK("https://www.genecards.org/Search/Keyword?queryString=%5Baliases%5D(%20TTR%20)&amp;keywords=TTR", "TTR")</f>
        <v/>
      </c>
      <c r="N493" t="inlineStr">
        <is>
          <t>exonic</t>
        </is>
      </c>
      <c r="O493" t="inlineStr">
        <is>
          <t>nonsynonymous SNV</t>
        </is>
      </c>
      <c r="P493" t="inlineStr">
        <is>
          <t>TTR:NM_000371:exon4:c.G371A:p.R124H;TTR:uc002kwx.4:exon4:c.G371A:p.R124H;TTR:ENST00000237014.8_3:exon4:c.G371A:p.R124H,TTR:ENST00000610404.5_4:exon4:c.G275A:p.R92H,TTR:ENST00000649620.1_2:exon6:c.G371A:p.R124H</t>
        </is>
      </c>
      <c r="Q493" t="n">
        <v>0.0129</v>
      </c>
      <c r="R493" t="n">
        <v>0.0105</v>
      </c>
      <c r="S493" t="n">
        <v>0.0103</v>
      </c>
      <c r="T493" t="n">
        <v>-1</v>
      </c>
      <c r="U493" t="n">
        <v>0.008699999999999999</v>
      </c>
      <c r="V493" t="inlineStr">
        <is>
          <t>3/10</t>
        </is>
      </c>
      <c r="W493" t="inlineStr">
        <is>
          <t>.</t>
        </is>
      </c>
      <c r="X493" t="inlineStr">
        <is>
          <t>.</t>
        </is>
      </c>
      <c r="Y493" t="inlineStr">
        <is>
          <t>.</t>
        </is>
      </c>
      <c r="Z493" t="inlineStr">
        <is>
          <t>0/7</t>
        </is>
      </c>
      <c r="AA493" t="inlineStr">
        <is>
          <t>Likely benign</t>
        </is>
      </c>
      <c r="AB493" t="inlineStr">
        <is>
          <t>Benign/Likely_benign</t>
        </is>
      </c>
      <c r="AC493" t="inlineStr">
        <is>
          <t>0/1</t>
        </is>
      </c>
      <c r="AD493" t="inlineStr">
        <is>
          <t>1</t>
        </is>
      </c>
      <c r="AE493" t="inlineStr">
        <is>
          <t>0.130835841006919</t>
        </is>
      </c>
      <c r="AF493" t="inlineStr">
        <is>
          <t>transthyretin</t>
        </is>
      </c>
      <c r="AG493" t="inlineStr">
        <is>
          <t xml:space="preserve">FUNCTION: Thyroid hormone-binding protein. Probably transports thyroxine from the bloodstream to the brain. {ECO:0000269|PubMed:3714052}.; </t>
        </is>
      </c>
      <c r="AH493" t="inlineStr">
        <is>
          <t xml:space="preserve">DISEASE: Amyloidosis, transthyretin-related (AMYL-TTR) [MIM:105210]: A hereditary generalized amyloidosis due to transthyretin amyloid deposition. Protein fibrils can form in different tissues leading to amyloid polyneuropathies, amyloidotic cardiomyopathy, carpal tunnel syndrome, systemic senile amyloidosis. The disease includes leptomeningeal amyloidosis that is characterized by primary involvement of the central nervous system. Neuropathologic examination shows amyloid in the walls of leptomeningeal vessels, in pia arachnoid, and subpial deposits. Some patients also develop vitreous amyloid deposition that leads to visual impairment (oculoleptomeningeal amyloidosis). Clinical features include seizures, stroke-like episodes, dementia, psychomotor deterioration, variable amyloid deposition in the vitreous humor. {ECO:0000269|PubMed:10036587, ECO:0000269|PubMed:10071047, ECO:0000269|PubMed:10211412, ECO:0000269|PubMed:10436378, ECO:0000269|PubMed:10439117, ECO:0000269|PubMed:10611950, ECO:0000269|PubMed:10627135, ECO:0000269|PubMed:10694917, ECO:0000269|PubMed:10842705, ECO:0000269|PubMed:10842718, ECO:0000269|PubMed:10882995, ECO:0000269|PubMed:11445644, ECO:0000269|PubMed:11866053, ECO:0000269|PubMed:12050338, ECO:0000269|PubMed:12557757, ECO:0000269|PubMed:12771253, ECO:0000269|PubMed:1301926, ECO:0000269|PubMed:1351039, ECO:0000269|PubMed:1362222, ECO:0000269|PubMed:1436517, ECO:0000269|PubMed:1517749, ECO:0000269|PubMed:1520326, ECO:0000269|PubMed:1520336, ECO:0000269|PubMed:15214015, ECO:0000269|PubMed:15217993, ECO:0000269|PubMed:1544214, ECO:0000269|PubMed:15478468, ECO:0000269|PubMed:1570831, ECO:0000269|PubMed:1656975, ECO:0000269|PubMed:1734866, ECO:0000269|PubMed:17453626, ECO:0000269|PubMed:17503405, ECO:0000269|PubMed:17577687, ECO:0000269|PubMed:17635579, ECO:0000269|PubMed:1932142, ECO:0000269|PubMed:2046936, ECO:0000269|PubMed:2161654, ECO:0000269|PubMed:23317988, ECO:0000269|PubMed:2363717, ECO:0000269|PubMed:2891727, ECO:0000269|PubMed:3022108, ECO:0000269|PubMed:3135807, ECO:0000269|PubMed:3722385, ECO:0000269|PubMed:3818577, ECO:0000269|PubMed:6487335, ECO:0000269|PubMed:6583672, ECO:0000269|PubMed:6651852, ECO:0000269|PubMed:7655883, ECO:0000269|PubMed:7850982, ECO:0000269|PubMed:7910950, ECO:0000269|PubMed:7914929, ECO:0000269|PubMed:7923855, ECO:0000269|PubMed:8019560, ECO:0000269|PubMed:8038017, ECO:0000269|PubMed:8081397, ECO:0000269|PubMed:8095302, ECO:0000269|PubMed:8133316, ECO:0000269|PubMed:8257997, ECO:0000269|PubMed:8352764, ECO:0000269|PubMed:8579098, ECO:0000269|PubMed:8990019, ECO:0000269|PubMed:9066351, ECO:0000269|PubMed:9605286, ECO:0000269|Ref.90}. Note=The disease is caused by mutations affecting the gene represented in this entry.; DISEASE: Hyperthyroxinemia, dystransthyretinemic (DTTRH) [MIM:145680]: A condition characterized by elevation of total and free thyroxine in healthy, euthyroid persons without detectable binding protein abnormalities. {ECO:0000269|PubMed:1979335}. Note=The disease is caused by mutations affecting the gene represented in this entry.; DISEASE: Carpal tunnel syndrome 1 (CTS1) [MIM:115430]: A condition characterized by entrapment of the median nerve within the carpal tunnel. Symptoms include burning pain and paresthesias involving the ventral surface of the hand and fingers which may radiate proximally. Impairment of sensation in the distribution of the median nerve and thenar muscle atrophy may occur. This condition may be associated with repetitive occupational trauma, wrist injuries, amyloid neuropathies, rheumatoid arthritis. {ECO:0000269|PubMed:8309582}. Note=The disease is caused by mutations affecting the gene represented in this entry.; </t>
        </is>
      </c>
      <c r="AI493" t="inlineStr">
        <is>
          <t>.</t>
        </is>
      </c>
      <c r="AJ493" t="inlineStr">
        <is>
          <t>.</t>
        </is>
      </c>
      <c r="AK493" t="inlineStr">
        <is>
          <t>.</t>
        </is>
      </c>
      <c r="AL493" t="inlineStr">
        <is>
          <t>.</t>
        </is>
      </c>
    </row>
    <row r="494">
      <c r="A494" t="inlineStr"/>
      <c r="B494">
        <f>HYPERLINK("https://genome.ucsc.edu/cgi-bin/hgTracks?db=hg19&amp;position=chr18%3A29412105%2D29412105", "chr18:29412105")</f>
        <v/>
      </c>
      <c r="C494" t="inlineStr">
        <is>
          <t>chr18</t>
        </is>
      </c>
      <c r="D494" t="n">
        <v>29412105</v>
      </c>
      <c r="E494" t="n">
        <v>29412105</v>
      </c>
      <c r="F494" t="inlineStr">
        <is>
          <t>A</t>
        </is>
      </c>
      <c r="G494" t="inlineStr">
        <is>
          <t>C</t>
        </is>
      </c>
      <c r="H494" t="inlineStr">
        <is>
          <t>2469.64</t>
        </is>
      </c>
      <c r="I494" t="inlineStr">
        <is>
          <t>148</t>
        </is>
      </c>
      <c r="J494" t="inlineStr">
        <is>
          <t>41,107</t>
        </is>
      </c>
      <c r="K494" t="inlineStr">
        <is>
          <t>.</t>
        </is>
      </c>
      <c r="L494">
        <f>HYPERLINK("https://www.ncbi.nlm.nih.gov/snp/rs150996649", "rs150996649")</f>
        <v/>
      </c>
      <c r="M494">
        <f>HYPERLINK("https://www.genecards.org/Search/Keyword?queryString=%5Baliases%5D(%20TRAPPC8%20)&amp;keywords=TRAPPC8", "TRAPPC8")</f>
        <v/>
      </c>
      <c r="N494" t="inlineStr">
        <is>
          <t>exonic</t>
        </is>
      </c>
      <c r="O494" t="inlineStr">
        <is>
          <t>nonsynonymous SNV</t>
        </is>
      </c>
      <c r="P494" t="inlineStr">
        <is>
          <t>TRAPPC8:NM_014939:exon28:c.T4015G:p.S1339A;TRAPPC8:uc002kxb.4:exon28:c.T3853G:p.S1285A,TRAPPC8:uc002kxc.4:exon28:c.T4015G:p.S1339A;TRAPPC8:ENST00000283351.10_6:exon28:c.T4015G:p.S1339A,TRAPPC8:ENST00000582539.5_3:exon28:c.T3853G:p.S1285A</t>
        </is>
      </c>
      <c r="Q494" t="n">
        <v>0.003</v>
      </c>
      <c r="R494" t="n">
        <v>0.0016</v>
      </c>
      <c r="S494" t="n">
        <v>0.0024</v>
      </c>
      <c r="T494" t="n">
        <v>-1</v>
      </c>
      <c r="U494" t="n">
        <v>0.0005</v>
      </c>
      <c r="V494" t="inlineStr">
        <is>
          <t>5/11</t>
        </is>
      </c>
      <c r="W494" t="inlineStr">
        <is>
          <t>.</t>
        </is>
      </c>
      <c r="X494" t="inlineStr">
        <is>
          <t>.</t>
        </is>
      </c>
      <c r="Y494" t="inlineStr">
        <is>
          <t>.</t>
        </is>
      </c>
      <c r="Z494" t="inlineStr">
        <is>
          <t>6/7</t>
        </is>
      </c>
      <c r="AA494" t="inlineStr">
        <is>
          <t>Uncertain significance</t>
        </is>
      </c>
      <c r="AB494" t="inlineStr">
        <is>
          <t>.</t>
        </is>
      </c>
      <c r="AC494" t="inlineStr">
        <is>
          <t>0/1</t>
        </is>
      </c>
      <c r="AD494" t="inlineStr">
        <is>
          <t>1</t>
        </is>
      </c>
      <c r="AE494" t="inlineStr">
        <is>
          <t>0.999999744151836</t>
        </is>
      </c>
      <c r="AF494" t="inlineStr">
        <is>
          <t>trafficking protein particle complex 8</t>
        </is>
      </c>
      <c r="AG494" t="inlineStr">
        <is>
          <t xml:space="preserve">FUNCTION: May be involved in endoplasmic reticulum to Golgi apparatus trafficking at a very early stage. {ECO:0000269|PubMed:21525244}.; </t>
        </is>
      </c>
      <c r="AH494" t="inlineStr">
        <is>
          <t>.</t>
        </is>
      </c>
      <c r="AI494" t="inlineStr">
        <is>
          <t>.</t>
        </is>
      </c>
      <c r="AJ494" t="inlineStr">
        <is>
          <t>.</t>
        </is>
      </c>
      <c r="AK494" t="inlineStr">
        <is>
          <t>.</t>
        </is>
      </c>
      <c r="AL494" t="inlineStr">
        <is>
          <t>.</t>
        </is>
      </c>
    </row>
    <row r="495">
      <c r="A495" t="inlineStr"/>
      <c r="B495">
        <f>HYPERLINK("https://genome.ucsc.edu/cgi-bin/hgTracks?db=hg19&amp;position=chr18%3A29850444%2D29850444", "chr18:29850444")</f>
        <v/>
      </c>
      <c r="C495" t="inlineStr">
        <is>
          <t>chr18</t>
        </is>
      </c>
      <c r="D495" t="n">
        <v>29850444</v>
      </c>
      <c r="E495" t="n">
        <v>29850444</v>
      </c>
      <c r="F495" t="inlineStr">
        <is>
          <t>C</t>
        </is>
      </c>
      <c r="G495" t="inlineStr">
        <is>
          <t>T</t>
        </is>
      </c>
      <c r="H495" t="inlineStr">
        <is>
          <t>203.64</t>
        </is>
      </c>
      <c r="I495" t="inlineStr">
        <is>
          <t>26</t>
        </is>
      </c>
      <c r="J495" t="inlineStr">
        <is>
          <t>19,7</t>
        </is>
      </c>
      <c r="K495" t="inlineStr">
        <is>
          <t>.</t>
        </is>
      </c>
      <c r="L495">
        <f>HYPERLINK("https://www.ncbi.nlm.nih.gov/snp/rs150744685", "rs150744685")</f>
        <v/>
      </c>
      <c r="M495">
        <f>HYPERLINK("https://www.genecards.org/Search/Keyword?queryString=%5Baliases%5D(%20GAREM%20)%20OR%20%5Baliases%5D(%20GAREM1%20)&amp;keywords=GAREM,GAREM1", "GAREM;GAREM1")</f>
        <v/>
      </c>
      <c r="N495" t="inlineStr">
        <is>
          <t>intronic</t>
        </is>
      </c>
      <c r="O495" t="inlineStr">
        <is>
          <t>.</t>
        </is>
      </c>
      <c r="P495" t="inlineStr">
        <is>
          <t>.</t>
        </is>
      </c>
      <c r="Q495" t="n">
        <v>0.0069</v>
      </c>
      <c r="R495" t="n">
        <v>0.0051</v>
      </c>
      <c r="S495" t="n">
        <v>0.0051</v>
      </c>
      <c r="T495" t="n">
        <v>-1</v>
      </c>
      <c r="U495" t="n">
        <v>0.0043</v>
      </c>
      <c r="V495" t="inlineStr">
        <is>
          <t>.</t>
        </is>
      </c>
      <c r="W495" t="inlineStr">
        <is>
          <t>.</t>
        </is>
      </c>
      <c r="X495" t="inlineStr">
        <is>
          <t>PD</t>
        </is>
      </c>
      <c r="Y495" t="inlineStr">
        <is>
          <t>off</t>
        </is>
      </c>
      <c r="Z495" t="inlineStr">
        <is>
          <t>.</t>
        </is>
      </c>
      <c r="AA495" t="inlineStr">
        <is>
          <t>.</t>
        </is>
      </c>
      <c r="AB495" t="inlineStr">
        <is>
          <t>.</t>
        </is>
      </c>
      <c r="AC495" t="inlineStr">
        <is>
          <t>0/1</t>
        </is>
      </c>
      <c r="AD495" t="inlineStr">
        <is>
          <t>1;1</t>
        </is>
      </c>
      <c r="AE495" t="inlineStr">
        <is>
          <t>.</t>
        </is>
      </c>
      <c r="AF495" t="inlineStr">
        <is>
          <t>GRB2 associated regulator of MAPK1 subtype 1</t>
        </is>
      </c>
      <c r="AG495" t="inlineStr">
        <is>
          <t xml:space="preserve">FUNCTION: Isoform 1: Acts as an adapter protein that plays a role in intracellular signaling cascades triggered either by the cell surface activated epidermal growth factor receptor and/or cytoplasmic protein tyrosine kinases. Promotes activation of the MAPK/ERK signaling pathway. Plays a role in the regulation of cell proliferation. {ECO:0000269|PubMed:19509291}.; </t>
        </is>
      </c>
      <c r="AH495" t="inlineStr">
        <is>
          <t>.</t>
        </is>
      </c>
      <c r="AI495" t="inlineStr">
        <is>
          <t>.</t>
        </is>
      </c>
      <c r="AJ495" t="inlineStr">
        <is>
          <t>.</t>
        </is>
      </c>
      <c r="AK495" t="inlineStr">
        <is>
          <t>.</t>
        </is>
      </c>
      <c r="AL495" t="inlineStr">
        <is>
          <t>.</t>
        </is>
      </c>
    </row>
    <row r="496">
      <c r="A496" t="inlineStr"/>
      <c r="B496">
        <f>HYPERLINK("https://genome.ucsc.edu/cgi-bin/hgTracks?db=hg19&amp;position=chr18%3A30314177%2D30314177", "chr18:30314177")</f>
        <v/>
      </c>
      <c r="C496" t="inlineStr">
        <is>
          <t>chr18</t>
        </is>
      </c>
      <c r="D496" t="n">
        <v>30314177</v>
      </c>
      <c r="E496" t="n">
        <v>30314177</v>
      </c>
      <c r="F496" t="inlineStr">
        <is>
          <t>C</t>
        </is>
      </c>
      <c r="G496" t="inlineStr">
        <is>
          <t>A</t>
        </is>
      </c>
      <c r="H496" t="inlineStr">
        <is>
          <t>686.64</t>
        </is>
      </c>
      <c r="I496" t="inlineStr">
        <is>
          <t>174</t>
        </is>
      </c>
      <c r="J496" t="inlineStr">
        <is>
          <t>135,39</t>
        </is>
      </c>
      <c r="K496" t="inlineStr">
        <is>
          <t>.</t>
        </is>
      </c>
      <c r="L496" t="inlineStr">
        <is>
          <t>.</t>
        </is>
      </c>
      <c r="M496">
        <f>HYPERLINK("https://www.genecards.org/Search/Keyword?queryString=%5Baliases%5D(%20KLHL14%20)&amp;keywords=KLHL14", "KLHL14")</f>
        <v/>
      </c>
      <c r="N496" t="inlineStr">
        <is>
          <t>exonic;intronic</t>
        </is>
      </c>
      <c r="O496" t="inlineStr">
        <is>
          <t>nonsynonymous SNV</t>
        </is>
      </c>
      <c r="P496" t="inlineStr">
        <is>
          <t>KLHL14:ENST00000358095.4_3:exon4:c.G1101T:p.Q367H</t>
        </is>
      </c>
      <c r="Q496" t="n">
        <v>-1</v>
      </c>
      <c r="R496" t="n">
        <v>-1</v>
      </c>
      <c r="S496" t="n">
        <v>-1</v>
      </c>
      <c r="T496" t="n">
        <v>-1</v>
      </c>
      <c r="U496" t="n">
        <v>-1</v>
      </c>
      <c r="V496" t="inlineStr">
        <is>
          <t>3/10</t>
        </is>
      </c>
      <c r="W496" t="inlineStr">
        <is>
          <t>.</t>
        </is>
      </c>
      <c r="X496" t="inlineStr">
        <is>
          <t>.</t>
        </is>
      </c>
      <c r="Y496" t="inlineStr">
        <is>
          <t>.</t>
        </is>
      </c>
      <c r="Z496" t="inlineStr">
        <is>
          <t>0/7</t>
        </is>
      </c>
      <c r="AA496" t="inlineStr">
        <is>
          <t>.</t>
        </is>
      </c>
      <c r="AB496" t="inlineStr">
        <is>
          <t>.</t>
        </is>
      </c>
      <c r="AC496" t="inlineStr">
        <is>
          <t>0/1</t>
        </is>
      </c>
      <c r="AD496" t="inlineStr">
        <is>
          <t>1</t>
        </is>
      </c>
      <c r="AE496" t="inlineStr">
        <is>
          <t>0.0827221887035056</t>
        </is>
      </c>
      <c r="AF496" t="inlineStr">
        <is>
          <t>kelch like family member 14</t>
        </is>
      </c>
      <c r="AG496" t="inlineStr">
        <is>
          <t>.</t>
        </is>
      </c>
      <c r="AH496" t="inlineStr">
        <is>
          <t>.</t>
        </is>
      </c>
      <c r="AI496" t="inlineStr">
        <is>
          <t>.</t>
        </is>
      </c>
      <c r="AJ496" t="inlineStr">
        <is>
          <t>.</t>
        </is>
      </c>
      <c r="AK496" t="inlineStr">
        <is>
          <t>.</t>
        </is>
      </c>
      <c r="AL496" t="inlineStr">
        <is>
          <t>.</t>
        </is>
      </c>
    </row>
    <row r="497">
      <c r="A497" t="inlineStr"/>
      <c r="B497">
        <f>HYPERLINK("https://genome.ucsc.edu/cgi-bin/hgTracks?db=hg19&amp;position=chr18%3A31319613%2D31319613", "chr18:31319613")</f>
        <v/>
      </c>
      <c r="C497" t="inlineStr">
        <is>
          <t>chr18</t>
        </is>
      </c>
      <c r="D497" t="n">
        <v>31319613</v>
      </c>
      <c r="E497" t="n">
        <v>31319613</v>
      </c>
      <c r="F497" t="inlineStr">
        <is>
          <t>C</t>
        </is>
      </c>
      <c r="G497" t="inlineStr">
        <is>
          <t>T</t>
        </is>
      </c>
      <c r="H497" t="inlineStr">
        <is>
          <t>473.64</t>
        </is>
      </c>
      <c r="I497" t="inlineStr">
        <is>
          <t>112</t>
        </is>
      </c>
      <c r="J497" t="inlineStr">
        <is>
          <t>83,29</t>
        </is>
      </c>
      <c r="K497" t="inlineStr">
        <is>
          <t>.</t>
        </is>
      </c>
      <c r="L497" t="inlineStr">
        <is>
          <t>.</t>
        </is>
      </c>
      <c r="M497">
        <f>HYPERLINK("https://www.genecards.org/Search/Keyword?queryString=%5Baliases%5D(%20ASXL3%20)&amp;keywords=ASXL3", "ASXL3")</f>
        <v/>
      </c>
      <c r="N497" t="inlineStr">
        <is>
          <t>exonic</t>
        </is>
      </c>
      <c r="O497" t="inlineStr">
        <is>
          <t>nonsynonymous SNV</t>
        </is>
      </c>
      <c r="P497" t="inlineStr">
        <is>
          <t>ASXL3:NM_030632:exon11:c.C2245T:p.P749S;ASXL3:uc010dmg.1:exon11:c.C2245T:p.P749S,ASXL3:uc002kxq.2:exon12:c.C1366T:p.P456S;ASXL3:ENST00000681521.1_1:exon10:c.C2125T:p.P709S,ASXL3:ENST00000269197.12_9:exon11:c.C2245T:p.P749S,ASXL3:ENST00000696964.1_1:exon12:c.C2248T:p.P750S</t>
        </is>
      </c>
      <c r="Q497" t="n">
        <v>-1</v>
      </c>
      <c r="R497" t="n">
        <v>-1</v>
      </c>
      <c r="S497" t="n">
        <v>-1</v>
      </c>
      <c r="T497" t="n">
        <v>-1</v>
      </c>
      <c r="U497" t="n">
        <v>-1</v>
      </c>
      <c r="V497" t="inlineStr">
        <is>
          <t>5/12</t>
        </is>
      </c>
      <c r="W497" t="inlineStr">
        <is>
          <t>.</t>
        </is>
      </c>
      <c r="X497" t="inlineStr">
        <is>
          <t>.</t>
        </is>
      </c>
      <c r="Y497" t="inlineStr">
        <is>
          <t>.</t>
        </is>
      </c>
      <c r="Z497" t="inlineStr">
        <is>
          <t>4/7</t>
        </is>
      </c>
      <c r="AA497" t="inlineStr">
        <is>
          <t>Uncertain significance</t>
        </is>
      </c>
      <c r="AB497" t="inlineStr">
        <is>
          <t>.</t>
        </is>
      </c>
      <c r="AC497" t="inlineStr">
        <is>
          <t>0/1</t>
        </is>
      </c>
      <c r="AD497" t="inlineStr">
        <is>
          <t>1</t>
        </is>
      </c>
      <c r="AE497" t="inlineStr">
        <is>
          <t>0.999977048473461</t>
        </is>
      </c>
      <c r="AF497" t="inlineStr">
        <is>
          <t>additional sex combs like 3, transcriptional regulator</t>
        </is>
      </c>
      <c r="AG497" t="inlineStr">
        <is>
          <t xml:space="preserve">FUNCTION: Putative Polycomb group (PcG) protein. PcG proteins act by forming multiprotein complexes, which are required to maintain the transcriptionally repressive state of homeotic genes throughout development. PcG proteins are not required to initiate repression, but to maintain it during later stages of development. They probably act via methylation of histones, rendering chromatin heritably changed in its expressibility (By similarity). {ECO:0000250}.; </t>
        </is>
      </c>
      <c r="AH497" t="inlineStr">
        <is>
          <t>.</t>
        </is>
      </c>
      <c r="AI497" t="inlineStr">
        <is>
          <t>.</t>
        </is>
      </c>
      <c r="AJ497" t="inlineStr">
        <is>
          <t>.</t>
        </is>
      </c>
      <c r="AK497" t="inlineStr">
        <is>
          <t>.</t>
        </is>
      </c>
      <c r="AL497" t="inlineStr">
        <is>
          <t>.</t>
        </is>
      </c>
    </row>
    <row r="498">
      <c r="A498" t="inlineStr"/>
      <c r="B498">
        <f>HYPERLINK("https://genome.ucsc.edu/cgi-bin/hgTracks?db=hg19&amp;position=chr18%3A47352785%2D47352785", "chr18:47352785")</f>
        <v/>
      </c>
      <c r="C498" t="inlineStr">
        <is>
          <t>chr18</t>
        </is>
      </c>
      <c r="D498" t="n">
        <v>47352785</v>
      </c>
      <c r="E498" t="n">
        <v>47352785</v>
      </c>
      <c r="F498" t="inlineStr">
        <is>
          <t>A</t>
        </is>
      </c>
      <c r="G498" t="inlineStr">
        <is>
          <t>C</t>
        </is>
      </c>
      <c r="H498" t="inlineStr">
        <is>
          <t>155.64</t>
        </is>
      </c>
      <c r="I498" t="inlineStr">
        <is>
          <t>72</t>
        </is>
      </c>
      <c r="J498" t="inlineStr">
        <is>
          <t>62,10</t>
        </is>
      </c>
      <c r="K498" t="inlineStr">
        <is>
          <t>.</t>
        </is>
      </c>
      <c r="L498">
        <f>HYPERLINK("https://www.ncbi.nlm.nih.gov/snp/rs1058553", "rs1058553")</f>
        <v/>
      </c>
      <c r="M498">
        <f>HYPERLINK("https://www.genecards.org/Search/Keyword?queryString=%5Baliases%5D(%20MYO5B%20)%20OR%20%5Baliases%5D(%20SNHG22%20)&amp;keywords=MYO5B,SNHG22", "MYO5B;SNHG22")</f>
        <v/>
      </c>
      <c r="N498" t="inlineStr">
        <is>
          <t>UTR3;ncRNA_intronic</t>
        </is>
      </c>
      <c r="O498" t="inlineStr">
        <is>
          <t>.</t>
        </is>
      </c>
      <c r="P498" t="inlineStr">
        <is>
          <t>uc002ldz.3:c.*56T&gt;G;uc002lea.2:c.*56T&gt;G;uc002leb.2:c.*56T&gt;G</t>
        </is>
      </c>
      <c r="Q498" t="n">
        <v>0.0258</v>
      </c>
      <c r="R498" t="n">
        <v>0.0014</v>
      </c>
      <c r="S498" t="n">
        <v>0.0021</v>
      </c>
      <c r="T498" t="n">
        <v>-1</v>
      </c>
      <c r="U498" t="n">
        <v>0.0049</v>
      </c>
      <c r="V498" t="inlineStr">
        <is>
          <t>.</t>
        </is>
      </c>
      <c r="W498" t="inlineStr">
        <is>
          <t>.</t>
        </is>
      </c>
      <c r="X498" t="inlineStr">
        <is>
          <t>.</t>
        </is>
      </c>
      <c r="Y498" t="inlineStr">
        <is>
          <t>.</t>
        </is>
      </c>
      <c r="Z498" t="inlineStr">
        <is>
          <t>.</t>
        </is>
      </c>
      <c r="AA498" t="inlineStr">
        <is>
          <t>.</t>
        </is>
      </c>
      <c r="AB498" t="inlineStr">
        <is>
          <t>.</t>
        </is>
      </c>
      <c r="AC498" t="inlineStr">
        <is>
          <t>0/1</t>
        </is>
      </c>
      <c r="AD498" t="inlineStr">
        <is>
          <t>1;1</t>
        </is>
      </c>
      <c r="AE498" t="inlineStr">
        <is>
          <t>5.4231747689238e-10</t>
        </is>
      </c>
      <c r="AF498" t="inlineStr">
        <is>
          <t>myosin VB;small nucleolar RNA host gene 22</t>
        </is>
      </c>
      <c r="AG498" t="inlineStr">
        <is>
          <t xml:space="preserve">FUNCTION: May be involved in vesicular trafficking via its association with the CART complex. The CART complex is necessary for efficient transferrin receptor recycling but not for EGFR degradation. Required in a complex with RAB11A and RAB11FIP2 for the transport of NPC1L1 to the plasma membrane. Together with RAB11A participates in CFTR trafficking to the plasma membrane and TF (transferrin) recycling in nonpolarized cells. Together with RAB11A and RAB8A participates in epithelial cell polarization. Together with RAB25 regulates transcytosis. {ECO:0000269|PubMed:21206382, ECO:0000269|PubMed:21282656}.; </t>
        </is>
      </c>
      <c r="AH498" t="inlineStr">
        <is>
          <t xml:space="preserve">DISEASE: Diarrhea 2, with microvillus atrophy (DIAR2) [MIM:251850]: A disease characterized by onset of intractable life-threatening watery diarrhea during infancy. Two forms are recognized: early-onset microvillus inclusion disease with diarrhea beginning in the neonatal period, and late-onset, with first symptoms appearing after 3 or 4 months of life. {ECO:0000269|PubMed:18724368, ECO:0000269|PubMed:19006234, ECO:0000269|PubMed:20186687, ECO:0000269|PubMed:21206382, ECO:0000269|PubMed:24138727, ECO:0000269|PubMed:24892806}. Note=The disease is caused by mutations affecting the gene represented in this entry.; </t>
        </is>
      </c>
      <c r="AI498" t="inlineStr">
        <is>
          <t>.</t>
        </is>
      </c>
      <c r="AJ498" t="inlineStr">
        <is>
          <t>.</t>
        </is>
      </c>
      <c r="AK498" t="inlineStr">
        <is>
          <t>.</t>
        </is>
      </c>
      <c r="AL498" t="inlineStr">
        <is>
          <t>.</t>
        </is>
      </c>
    </row>
    <row r="499">
      <c r="A499" t="inlineStr"/>
      <c r="B499">
        <f>HYPERLINK("https://genome.ucsc.edu/cgi-bin/hgTracks?db=hg19&amp;position=chr18%3A50451634%2D50451634", "chr18:50451634")</f>
        <v/>
      </c>
      <c r="C499" t="inlineStr">
        <is>
          <t>chr18</t>
        </is>
      </c>
      <c r="D499" t="n">
        <v>50451634</v>
      </c>
      <c r="E499" t="n">
        <v>50451634</v>
      </c>
      <c r="F499" t="inlineStr">
        <is>
          <t>C</t>
        </is>
      </c>
      <c r="G499" t="inlineStr">
        <is>
          <t>A</t>
        </is>
      </c>
      <c r="H499" t="inlineStr">
        <is>
          <t>760.64</t>
        </is>
      </c>
      <c r="I499" t="inlineStr">
        <is>
          <t>62</t>
        </is>
      </c>
      <c r="J499" t="inlineStr">
        <is>
          <t>33,29</t>
        </is>
      </c>
      <c r="K499" t="inlineStr">
        <is>
          <t>.</t>
        </is>
      </c>
      <c r="L499" t="inlineStr">
        <is>
          <t>.</t>
        </is>
      </c>
      <c r="M499">
        <f>HYPERLINK("https://www.genecards.org/Search/Keyword?queryString=%5Baliases%5D(%20DCC%20)&amp;keywords=DCC", "DCC")</f>
        <v/>
      </c>
      <c r="N499" t="inlineStr">
        <is>
          <t>exonic</t>
        </is>
      </c>
      <c r="O499" t="inlineStr">
        <is>
          <t>nonsynonymous SNV</t>
        </is>
      </c>
      <c r="P499" t="inlineStr">
        <is>
          <t>DCC:NM_005215:exon5:c.C879A:p.S293R;DCC:uc002lfe.2:exon5:c.C879A:p.S293R,DCC:uc010xdr.1:exon5:c.C423A:p.S141R;DCC:ENST00000412726.5_2:exon4:c.C810A:p.S270R,DCC:ENST00000442544.7_4:exon5:c.C879A:p.S293R</t>
        </is>
      </c>
      <c r="Q499" t="n">
        <v>-1</v>
      </c>
      <c r="R499" t="n">
        <v>-1</v>
      </c>
      <c r="S499" t="n">
        <v>-1</v>
      </c>
      <c r="T499" t="n">
        <v>-1</v>
      </c>
      <c r="U499" t="n">
        <v>-1</v>
      </c>
      <c r="V499" t="inlineStr">
        <is>
          <t>6/12</t>
        </is>
      </c>
      <c r="W499" t="inlineStr">
        <is>
          <t>.</t>
        </is>
      </c>
      <c r="X499" t="inlineStr">
        <is>
          <t>.</t>
        </is>
      </c>
      <c r="Y499" t="inlineStr">
        <is>
          <t>.</t>
        </is>
      </c>
      <c r="Z499" t="inlineStr">
        <is>
          <t>2/7</t>
        </is>
      </c>
      <c r="AA499" t="inlineStr">
        <is>
          <t>Uncertain significance</t>
        </is>
      </c>
      <c r="AB499" t="inlineStr">
        <is>
          <t>.</t>
        </is>
      </c>
      <c r="AC499" t="inlineStr">
        <is>
          <t>0/1</t>
        </is>
      </c>
      <c r="AD499" t="inlineStr">
        <is>
          <t>1</t>
        </is>
      </c>
      <c r="AE499" t="inlineStr">
        <is>
          <t>0.99999895681268</t>
        </is>
      </c>
      <c r="AF499" t="inlineStr">
        <is>
          <t>DCC netrin 1 receptor</t>
        </is>
      </c>
      <c r="AG499" t="inlineStr">
        <is>
          <t xml:space="preserve">FUNCTION: Receptor for netrin required for axon guidance. Mediates axon attraction of neuronal growth cones in the developing nervous system upon ligand binding. Its association with UNC5 proteins may trigger signaling for axon repulsion. It also acts as a dependence receptor required for apoptosis induction when not associated with netrin ligand. Implicated as a tumor suppressor gene. {ECO:0000269|PubMed:8187090, ECO:0000269|PubMed:8861902}.; </t>
        </is>
      </c>
      <c r="AH499" t="inlineStr">
        <is>
          <t xml:space="preserve">DISEASE: Mirror movements 1 (MRMV1) [MIM:157600]: A disorder characterized by contralateral involuntary movements that mirror voluntary ones. While mirror movements are occasionally found in young children, persistence beyond the age of 10 is abnormal. Mirror movements occur more commonly in the upper extremities. {ECO:0000269|PubMed:20431009}. Note=The disease is caused by mutations affecting the gene represented in this entry.; </t>
        </is>
      </c>
      <c r="AI499" t="inlineStr">
        <is>
          <t>.</t>
        </is>
      </c>
      <c r="AJ499" t="inlineStr">
        <is>
          <t>.</t>
        </is>
      </c>
      <c r="AK499" t="inlineStr">
        <is>
          <t>.</t>
        </is>
      </c>
      <c r="AL499" t="inlineStr">
        <is>
          <t>.</t>
        </is>
      </c>
    </row>
    <row r="500">
      <c r="A500" t="inlineStr"/>
      <c r="B500">
        <f>HYPERLINK("https://genome.ucsc.edu/cgi-bin/hgTracks?db=hg19&amp;position=chr18%3A51715254%2D51715254", "chr18:51715254")</f>
        <v/>
      </c>
      <c r="C500" t="inlineStr">
        <is>
          <t>chr18</t>
        </is>
      </c>
      <c r="D500" t="n">
        <v>51715254</v>
      </c>
      <c r="E500" t="n">
        <v>51715254</v>
      </c>
      <c r="F500" t="inlineStr">
        <is>
          <t>T</t>
        </is>
      </c>
      <c r="G500" t="inlineStr">
        <is>
          <t>G</t>
        </is>
      </c>
      <c r="H500" t="inlineStr">
        <is>
          <t>760.64</t>
        </is>
      </c>
      <c r="I500" t="inlineStr">
        <is>
          <t>75</t>
        </is>
      </c>
      <c r="J500" t="inlineStr">
        <is>
          <t>37,38</t>
        </is>
      </c>
      <c r="K500" t="inlineStr">
        <is>
          <t>.</t>
        </is>
      </c>
      <c r="L500" t="inlineStr">
        <is>
          <t>.</t>
        </is>
      </c>
      <c r="M500">
        <f>HYPERLINK("https://www.genecards.org/Search/Keyword?queryString=%5Baliases%5D(%20MBD2%20)&amp;keywords=MBD2", "MBD2")</f>
        <v/>
      </c>
      <c r="N500" t="inlineStr">
        <is>
          <t>exonic</t>
        </is>
      </c>
      <c r="O500" t="inlineStr">
        <is>
          <t>nonsynonymous SNV</t>
        </is>
      </c>
      <c r="P500" t="inlineStr">
        <is>
          <t>MBD2:NM_003927:exon3:c.A830C:p.Q277P;MBD2:uc002lfg.2:exon3:c.A830C:p.Q277P;MBD2:ENST00000256429.8_5:exon3:c.A830C:p.Q277P</t>
        </is>
      </c>
      <c r="Q500" t="n">
        <v>-1</v>
      </c>
      <c r="R500" t="n">
        <v>-1</v>
      </c>
      <c r="S500" t="n">
        <v>-1</v>
      </c>
      <c r="T500" t="n">
        <v>-1</v>
      </c>
      <c r="U500" t="n">
        <v>-1</v>
      </c>
      <c r="V500" t="inlineStr">
        <is>
          <t>10/12</t>
        </is>
      </c>
      <c r="W500" t="inlineStr">
        <is>
          <t>.</t>
        </is>
      </c>
      <c r="X500" t="inlineStr">
        <is>
          <t>.</t>
        </is>
      </c>
      <c r="Y500" t="inlineStr">
        <is>
          <t>.</t>
        </is>
      </c>
      <c r="Z500" t="inlineStr">
        <is>
          <t>7/7</t>
        </is>
      </c>
      <c r="AA500" t="inlineStr">
        <is>
          <t>Uncertain significance</t>
        </is>
      </c>
      <c r="AB500" t="inlineStr">
        <is>
          <t>.</t>
        </is>
      </c>
      <c r="AC500" t="inlineStr">
        <is>
          <t>0/1</t>
        </is>
      </c>
      <c r="AD500" t="inlineStr">
        <is>
          <t>1</t>
        </is>
      </c>
      <c r="AE500" t="inlineStr">
        <is>
          <t>0.989310018452397</t>
        </is>
      </c>
      <c r="AF500" t="inlineStr">
        <is>
          <t>methyl-CpG binding domain protein 2</t>
        </is>
      </c>
      <c r="AG500" t="inlineStr">
        <is>
          <t xml:space="preserve">FUNCTION: Binds CpG islands in promoters where the DNA is methylated at position 5 of cytosine within CpG dinucleotides. Binds hemimethylated DNA as well. Recruits histone deacetylases and DNA methyltransferases. Acts as transcriptional repressor and plays a role in gene silencing. Functions as a scaffold protein, targeting GATAD2A and GATAD2B to chromatin to promote repression. May enhance the activation of some unmethylated cAMP-responsive promoters. {ECO:0000269|PubMed:10471499, ECO:0000269|PubMed:10947852, ECO:0000269|PubMed:12665568, ECO:0000269|PubMed:16415179, ECO:0000269|PubMed:24307175, ECO:0000269|PubMed:9774669}.; </t>
        </is>
      </c>
      <c r="AH500" t="inlineStr">
        <is>
          <t>.</t>
        </is>
      </c>
      <c r="AI500" t="inlineStr">
        <is>
          <t>.</t>
        </is>
      </c>
      <c r="AJ500" t="inlineStr">
        <is>
          <t>.</t>
        </is>
      </c>
      <c r="AK500" t="inlineStr">
        <is>
          <t>.</t>
        </is>
      </c>
      <c r="AL500" t="inlineStr">
        <is>
          <t>.</t>
        </is>
      </c>
    </row>
    <row r="501">
      <c r="A501" t="inlineStr"/>
      <c r="B501">
        <f>HYPERLINK("https://genome.ucsc.edu/cgi-bin/hgTracks?db=hg19&amp;position=chr18%3A55317287%2D55317287", "chr18:55317287")</f>
        <v/>
      </c>
      <c r="C501" t="inlineStr">
        <is>
          <t>chr18</t>
        </is>
      </c>
      <c r="D501" t="n">
        <v>55317287</v>
      </c>
      <c r="E501" t="n">
        <v>55317287</v>
      </c>
      <c r="F501" t="inlineStr">
        <is>
          <t>A</t>
        </is>
      </c>
      <c r="G501" t="inlineStr">
        <is>
          <t>-</t>
        </is>
      </c>
      <c r="H501" t="inlineStr">
        <is>
          <t>32.60</t>
        </is>
      </c>
      <c r="I501" t="inlineStr">
        <is>
          <t>7</t>
        </is>
      </c>
      <c r="J501" t="inlineStr">
        <is>
          <t>5,2</t>
        </is>
      </c>
      <c r="K501" t="inlineStr">
        <is>
          <t>.</t>
        </is>
      </c>
      <c r="L501">
        <f>HYPERLINK("https://www.ncbi.nlm.nih.gov/snp/rs1043403896", "rs1043403896")</f>
        <v/>
      </c>
      <c r="M501">
        <f>HYPERLINK("https://www.genecards.org/Search/Keyword?queryString=%5Baliases%5D(%20ATP8B1%20)%20OR%20%5Baliases%5D(%20LOC100505549%20)&amp;keywords=ATP8B1,LOC100505549", "ATP8B1;LOC100505549")</f>
        <v/>
      </c>
      <c r="N501" t="inlineStr">
        <is>
          <t>intronic;ncRNA_intronic</t>
        </is>
      </c>
      <c r="O501" t="inlineStr">
        <is>
          <t>.</t>
        </is>
      </c>
      <c r="P501" t="inlineStr">
        <is>
          <t>.</t>
        </is>
      </c>
      <c r="Q501" t="n">
        <v>0.0019</v>
      </c>
      <c r="R501" t="n">
        <v>0.0018</v>
      </c>
      <c r="S501" t="n">
        <v>0.0015</v>
      </c>
      <c r="T501" t="n">
        <v>-1</v>
      </c>
      <c r="U501" t="n">
        <v>0.002</v>
      </c>
      <c r="V501" t="inlineStr">
        <is>
          <t>.</t>
        </is>
      </c>
      <c r="W501" t="inlineStr">
        <is>
          <t>.</t>
        </is>
      </c>
      <c r="X501" t="inlineStr">
        <is>
          <t>.</t>
        </is>
      </c>
      <c r="Y501" t="inlineStr">
        <is>
          <t>.</t>
        </is>
      </c>
      <c r="Z501" t="inlineStr">
        <is>
          <t>.</t>
        </is>
      </c>
      <c r="AA501" t="inlineStr">
        <is>
          <t>.</t>
        </is>
      </c>
      <c r="AB501" t="inlineStr">
        <is>
          <t>.</t>
        </is>
      </c>
      <c r="AC501" t="inlineStr">
        <is>
          <t>0/1</t>
        </is>
      </c>
      <c r="AD501" t="inlineStr">
        <is>
          <t>2;1</t>
        </is>
      </c>
      <c r="AE501" t="inlineStr">
        <is>
          <t>3.6650370597666e-07</t>
        </is>
      </c>
      <c r="AF501" t="inlineStr">
        <is>
          <t>ATPase phospholipid transporting 8B1</t>
        </is>
      </c>
      <c r="AG501" t="inlineStr">
        <is>
          <t xml:space="preserve">FUNCTION: Catalytic component of a P4-ATPase flippase complex which catalyzes the hydrolysis of ATP coupled to the transport of aminophospholipids from the outer to the inner leaflet of various membranes and ensures the maintenance of asymmetric distribution of phospholipids. Phospholipid translocation seems also to be implicated in vesicle formation and in uptake of lipid signaling molecules. May play a role in asymmetric distribution of phospholipids in the canicular membrane. May have a role in transport of bile acids into the canaliculus, uptake of bile acids from intestinal contents into intestinal mucosa or both. In cooperation with ABCB4 may be involved in establishing integrity of the canalicular membrane thus protecting hepatocytes from bile salts. Together with TMEM30A is involved in uptake of the synthetic drug alkylphospholipid perifosine. Involved in the microvillus formation in polarized epithelial cells; the function seems to be independent from its flippase activity. Required for the preservation of cochlear hair cells in the inner ear. May act as cardiolipin transporter during inflammatory injury. {ECO:0000269|PubMed:17948906, ECO:0000269|PubMed:20510206, ECO:0000269|PubMed:20512993}.; </t>
        </is>
      </c>
      <c r="AH501" t="inlineStr">
        <is>
          <t xml:space="preserve">DISEASE: Cholestasis, benign recurrent intrahepatic, 1 (BRIC1) [MIM:243300]: A disorder characterized by intermittent episodes of cholestasis without progression to liver failure. There is initial elevation of serum bile acids, followed by cholestatic jaundice which generally spontaneously resolves after periods of weeks to months. The cholestatic attacks vary in severity and duration. Patients are asymptomatic between episodes, both clinically and biochemically. {ECO:0000269|PubMed:15239083, ECO:0000269|PubMed:9500542, ECO:0000269|PubMed:9918928}. Note=The disease is caused by mutations affecting the gene represented in this entry.; DISEASE: Cholestasis of pregnancy, intrahepatic 1 (ICP1) [MIM:147480]: A liver disorder of pregnancy. It presents during the second or, more commonly, the third trimester of pregnancy with intense pruritus which becomes more severe with advancing gestation and cholestasis. Cholestasis results from abnormal biliary transport from the liver into the small intestine. ICP1 causes fetal distress, spontaneous premature delivery and intrauterine death. ICP1 patients have spontaneous and progressive disappearance of cholestasis after delivery. {ECO:0000269|PubMed:15657619, ECO:0000269|PubMed:15888793}. Note=The disease may be caused by mutations affecting the gene represented in this entry.; </t>
        </is>
      </c>
      <c r="AI501" t="inlineStr">
        <is>
          <t>.</t>
        </is>
      </c>
      <c r="AJ501" t="inlineStr">
        <is>
          <t>.</t>
        </is>
      </c>
      <c r="AK501" t="inlineStr">
        <is>
          <t>.</t>
        </is>
      </c>
      <c r="AL501" t="inlineStr">
        <is>
          <t>.</t>
        </is>
      </c>
    </row>
    <row r="502">
      <c r="A502" t="inlineStr"/>
      <c r="B502">
        <f>HYPERLINK("https://genome.ucsc.edu/cgi-bin/hgTracks?db=hg19&amp;position=chr18%3A55361778%2D55361778", "chr18:55361778")</f>
        <v/>
      </c>
      <c r="C502" t="inlineStr">
        <is>
          <t>chr18</t>
        </is>
      </c>
      <c r="D502" t="n">
        <v>55361778</v>
      </c>
      <c r="E502" t="n">
        <v>55361778</v>
      </c>
      <c r="F502" t="inlineStr">
        <is>
          <t>C</t>
        </is>
      </c>
      <c r="G502" t="inlineStr">
        <is>
          <t>T</t>
        </is>
      </c>
      <c r="H502" t="inlineStr">
        <is>
          <t>553.64</t>
        </is>
      </c>
      <c r="I502" t="inlineStr">
        <is>
          <t>46</t>
        </is>
      </c>
      <c r="J502" t="inlineStr">
        <is>
          <t>24,22</t>
        </is>
      </c>
      <c r="K502" t="inlineStr">
        <is>
          <t>.</t>
        </is>
      </c>
      <c r="L502">
        <f>HYPERLINK("https://www.ncbi.nlm.nih.gov/snp/rs319444", "rs319444")</f>
        <v/>
      </c>
      <c r="M502">
        <f>HYPERLINK("https://www.genecards.org/Search/Keyword?queryString=%5Baliases%5D(%20ATP8B1%20)&amp;keywords=ATP8B1", "ATP8B1")</f>
        <v/>
      </c>
      <c r="N502" t="inlineStr">
        <is>
          <t>intronic;ncRNA_exonic</t>
        </is>
      </c>
      <c r="O502" t="inlineStr">
        <is>
          <t>.</t>
        </is>
      </c>
      <c r="P502" t="inlineStr">
        <is>
          <t>.</t>
        </is>
      </c>
      <c r="Q502" t="n">
        <v>0.021305</v>
      </c>
      <c r="R502" t="n">
        <v>0.0198</v>
      </c>
      <c r="S502" t="n">
        <v>0.0181</v>
      </c>
      <c r="T502" t="n">
        <v>-1</v>
      </c>
      <c r="U502" t="n">
        <v>0.0244</v>
      </c>
      <c r="V502" t="inlineStr">
        <is>
          <t>.</t>
        </is>
      </c>
      <c r="W502" t="inlineStr">
        <is>
          <t>.</t>
        </is>
      </c>
      <c r="X502" t="inlineStr">
        <is>
          <t>B</t>
        </is>
      </c>
      <c r="Y502" t="inlineStr">
        <is>
          <t>off</t>
        </is>
      </c>
      <c r="Z502" t="inlineStr">
        <is>
          <t>.</t>
        </is>
      </c>
      <c r="AA502" t="inlineStr">
        <is>
          <t>.</t>
        </is>
      </c>
      <c r="AB502" t="inlineStr">
        <is>
          <t>.</t>
        </is>
      </c>
      <c r="AC502" t="inlineStr">
        <is>
          <t>0/1</t>
        </is>
      </c>
      <c r="AD502" t="inlineStr">
        <is>
          <t>2</t>
        </is>
      </c>
      <c r="AE502" t="inlineStr">
        <is>
          <t>3.6650370597666e-07</t>
        </is>
      </c>
      <c r="AF502" t="inlineStr">
        <is>
          <t>ATPase phospholipid transporting 8B1</t>
        </is>
      </c>
      <c r="AG502" t="inlineStr">
        <is>
          <t xml:space="preserve">FUNCTION: Catalytic component of a P4-ATPase flippase complex which catalyzes the hydrolysis of ATP coupled to the transport of aminophospholipids from the outer to the inner leaflet of various membranes and ensures the maintenance of asymmetric distribution of phospholipids. Phospholipid translocation seems also to be implicated in vesicle formation and in uptake of lipid signaling molecules. May play a role in asymmetric distribution of phospholipids in the canicular membrane. May have a role in transport of bile acids into the canaliculus, uptake of bile acids from intestinal contents into intestinal mucosa or both. In cooperation with ABCB4 may be involved in establishing integrity of the canalicular membrane thus protecting hepatocytes from bile salts. Together with TMEM30A is involved in uptake of the synthetic drug alkylphospholipid perifosine. Involved in the microvillus formation in polarized epithelial cells; the function seems to be independent from its flippase activity. Required for the preservation of cochlear hair cells in the inner ear. May act as cardiolipin transporter during inflammatory injury. {ECO:0000269|PubMed:17948906, ECO:0000269|PubMed:20510206, ECO:0000269|PubMed:20512993}.; </t>
        </is>
      </c>
      <c r="AH502" t="inlineStr">
        <is>
          <t xml:space="preserve">DISEASE: Cholestasis, benign recurrent intrahepatic, 1 (BRIC1) [MIM:243300]: A disorder characterized by intermittent episodes of cholestasis without progression to liver failure. There is initial elevation of serum bile acids, followed by cholestatic jaundice which generally spontaneously resolves after periods of weeks to months. The cholestatic attacks vary in severity and duration. Patients are asymptomatic between episodes, both clinically and biochemically. {ECO:0000269|PubMed:15239083, ECO:0000269|PubMed:9500542, ECO:0000269|PubMed:9918928}. Note=The disease is caused by mutations affecting the gene represented in this entry.; DISEASE: Cholestasis of pregnancy, intrahepatic 1 (ICP1) [MIM:147480]: A liver disorder of pregnancy. It presents during the second or, more commonly, the third trimester of pregnancy with intense pruritus which becomes more severe with advancing gestation and cholestasis. Cholestasis results from abnormal biliary transport from the liver into the small intestine. ICP1 causes fetal distress, spontaneous premature delivery and intrauterine death. ICP1 patients have spontaneous and progressive disappearance of cholestasis after delivery. {ECO:0000269|PubMed:15657619, ECO:0000269|PubMed:15888793}. Note=The disease may be caused by mutations affecting the gene represented in this entry.; </t>
        </is>
      </c>
      <c r="AI502" t="inlineStr">
        <is>
          <t>.</t>
        </is>
      </c>
      <c r="AJ502" t="inlineStr">
        <is>
          <t>.</t>
        </is>
      </c>
      <c r="AK502" t="inlineStr">
        <is>
          <t>.</t>
        </is>
      </c>
      <c r="AL502" t="inlineStr">
        <is>
          <t>.</t>
        </is>
      </c>
    </row>
    <row r="503">
      <c r="A503" t="inlineStr"/>
      <c r="B503">
        <f>HYPERLINK("https://genome.ucsc.edu/cgi-bin/hgTracks?db=hg19&amp;position=chr18%3A56338750%2D56338750", "chr18:56338750")</f>
        <v/>
      </c>
      <c r="C503" t="inlineStr">
        <is>
          <t>chr18</t>
        </is>
      </c>
      <c r="D503" t="n">
        <v>56338750</v>
      </c>
      <c r="E503" t="n">
        <v>56338750</v>
      </c>
      <c r="F503" t="inlineStr">
        <is>
          <t>G</t>
        </is>
      </c>
      <c r="G503" t="inlineStr">
        <is>
          <t>T</t>
        </is>
      </c>
      <c r="H503" t="inlineStr">
        <is>
          <t>761.64</t>
        </is>
      </c>
      <c r="I503" t="inlineStr">
        <is>
          <t>39</t>
        </is>
      </c>
      <c r="J503" t="inlineStr">
        <is>
          <t>12,27</t>
        </is>
      </c>
      <c r="K503" t="inlineStr">
        <is>
          <t>.</t>
        </is>
      </c>
      <c r="L503">
        <f>HYPERLINK("https://www.ncbi.nlm.nih.gov/snp/rs541201464", "rs541201464")</f>
        <v/>
      </c>
      <c r="M503">
        <f>HYPERLINK("https://www.genecards.org/Search/Keyword?queryString=%5Baliases%5D(%20LOC101927322%20)%20OR%20%5Baliases%5D(%20MALT1%20)&amp;keywords=LOC101927322,MALT1", "LOC101927322;MALT1")</f>
        <v/>
      </c>
      <c r="N503" t="inlineStr">
        <is>
          <t>UTR5;ncRNA_exonic</t>
        </is>
      </c>
      <c r="O503" t="inlineStr">
        <is>
          <t>.</t>
        </is>
      </c>
      <c r="P503" t="inlineStr">
        <is>
          <t>uc002lhm.1:c.-126G&gt;T;uc002lhn.1:c.-126G&gt;T</t>
        </is>
      </c>
      <c r="Q503" t="n">
        <v>0.008</v>
      </c>
      <c r="R503" t="n">
        <v>0.0074</v>
      </c>
      <c r="S503" t="n">
        <v>0.0068</v>
      </c>
      <c r="T503" t="n">
        <v>-1</v>
      </c>
      <c r="U503" t="n">
        <v>0.008699999999999999</v>
      </c>
      <c r="V503" t="inlineStr">
        <is>
          <t>.</t>
        </is>
      </c>
      <c r="W503" t="inlineStr">
        <is>
          <t>.</t>
        </is>
      </c>
      <c r="X503" t="inlineStr">
        <is>
          <t>.</t>
        </is>
      </c>
      <c r="Y503" t="inlineStr">
        <is>
          <t>.</t>
        </is>
      </c>
      <c r="Z503" t="inlineStr">
        <is>
          <t>.</t>
        </is>
      </c>
      <c r="AA503" t="inlineStr">
        <is>
          <t>Uncertain significance</t>
        </is>
      </c>
      <c r="AB503" t="inlineStr">
        <is>
          <t>.</t>
        </is>
      </c>
      <c r="AC503" t="inlineStr">
        <is>
          <t>0/1</t>
        </is>
      </c>
      <c r="AD503" t="inlineStr">
        <is>
          <t>1;4</t>
        </is>
      </c>
      <c r="AE503" t="inlineStr">
        <is>
          <t>0.994144577983795</t>
        </is>
      </c>
      <c r="AF503" t="inlineStr">
        <is>
          <t>MALT1 paracaspase</t>
        </is>
      </c>
      <c r="AG503" t="inlineStr">
        <is>
          <t xml:space="preserve">FUNCTION: Enhances BCL10-induced activation of NF-kappa-B. Involved in nuclear export of BCL10. Binds to TRAF6, inducing TRAF6 oligomerization and activation of its ligase activity. Has ubiquitin ligase activity. MALT1-dependent BCL10 cleavage plays an important role in T-cell antigen receptor-induced integrin adhesion. {ECO:0000269|PubMed:11262391, ECO:0000269|PubMed:14695475, ECO:0000269|PubMed:18264101}.; </t>
        </is>
      </c>
      <c r="AH503" t="inlineStr">
        <is>
          <t xml:space="preserve">DISEASE: Note=A chromosomal aberration involving MALT1 is recurrent in low-grade mucosa-associated lymphoid tissue (MALT lymphoma). Translocation t(11;18)(q21;q21) with BIRC2. This translocation is found in approximately 50% of cytogenetically abnormal low-grade MALT lymphoma. {ECO:0000269|PubMed:10339464, ECO:0000269|PubMed:10523859, ECO:0000269|PubMed:10702396, ECO:0000269|PubMed:11090634}.; </t>
        </is>
      </c>
      <c r="AI503" t="inlineStr">
        <is>
          <t>.</t>
        </is>
      </c>
      <c r="AJ503" t="inlineStr">
        <is>
          <t>.</t>
        </is>
      </c>
      <c r="AK503" t="inlineStr">
        <is>
          <t>.</t>
        </is>
      </c>
      <c r="AL503" t="inlineStr">
        <is>
          <t>.</t>
        </is>
      </c>
    </row>
    <row r="504">
      <c r="A504" t="inlineStr"/>
      <c r="B504">
        <f>HYPERLINK("https://genome.ucsc.edu/cgi-bin/hgTracks?db=hg19&amp;position=chr18%3A56343616%2D56343616", "chr18:56343616")</f>
        <v/>
      </c>
      <c r="C504" t="inlineStr">
        <is>
          <t>chr18</t>
        </is>
      </c>
      <c r="D504" t="n">
        <v>56343616</v>
      </c>
      <c r="E504" t="n">
        <v>56343616</v>
      </c>
      <c r="F504" t="inlineStr">
        <is>
          <t>T</t>
        </is>
      </c>
      <c r="G504" t="inlineStr">
        <is>
          <t>G</t>
        </is>
      </c>
      <c r="H504" t="inlineStr">
        <is>
          <t>39.30</t>
        </is>
      </c>
      <c r="I504" t="inlineStr">
        <is>
          <t>4</t>
        </is>
      </c>
      <c r="J504" t="inlineStr">
        <is>
          <t>0,4</t>
        </is>
      </c>
      <c r="K504" t="inlineStr">
        <is>
          <t>.</t>
        </is>
      </c>
      <c r="L504" t="inlineStr">
        <is>
          <t>.</t>
        </is>
      </c>
      <c r="M504">
        <f>HYPERLINK("https://www.genecards.org/Search/Keyword?queryString=%5Baliases%5D(%20MALT1%20)&amp;keywords=MALT1", "MALT1")</f>
        <v/>
      </c>
      <c r="N504" t="inlineStr">
        <is>
          <t>intronic;ncRNA_intronic</t>
        </is>
      </c>
      <c r="O504" t="inlineStr">
        <is>
          <t>.</t>
        </is>
      </c>
      <c r="P504" t="inlineStr">
        <is>
          <t>.</t>
        </is>
      </c>
      <c r="Q504" t="n">
        <v>-1</v>
      </c>
      <c r="R504" t="n">
        <v>-1</v>
      </c>
      <c r="S504" t="n">
        <v>-1</v>
      </c>
      <c r="T504" t="n">
        <v>-1</v>
      </c>
      <c r="U504" t="n">
        <v>-1</v>
      </c>
      <c r="V504" t="inlineStr">
        <is>
          <t>.</t>
        </is>
      </c>
      <c r="W504" t="inlineStr">
        <is>
          <t>.</t>
        </is>
      </c>
      <c r="X504" t="inlineStr">
        <is>
          <t>.</t>
        </is>
      </c>
      <c r="Y504" t="inlineStr">
        <is>
          <t>.</t>
        </is>
      </c>
      <c r="Z504" t="inlineStr">
        <is>
          <t>.</t>
        </is>
      </c>
      <c r="AA504" t="inlineStr">
        <is>
          <t>.</t>
        </is>
      </c>
      <c r="AB504" t="inlineStr">
        <is>
          <t>.</t>
        </is>
      </c>
      <c r="AC504" t="inlineStr">
        <is>
          <t>HOMO</t>
        </is>
      </c>
      <c r="AD504" t="inlineStr">
        <is>
          <t>4</t>
        </is>
      </c>
      <c r="AE504" t="inlineStr">
        <is>
          <t>0.994144577983795</t>
        </is>
      </c>
      <c r="AF504" t="inlineStr">
        <is>
          <t>MALT1 paracaspase</t>
        </is>
      </c>
      <c r="AG504" t="inlineStr">
        <is>
          <t xml:space="preserve">FUNCTION: Enhances BCL10-induced activation of NF-kappa-B. Involved in nuclear export of BCL10. Binds to TRAF6, inducing TRAF6 oligomerization and activation of its ligase activity. Has ubiquitin ligase activity. MALT1-dependent BCL10 cleavage plays an important role in T-cell antigen receptor-induced integrin adhesion. {ECO:0000269|PubMed:11262391, ECO:0000269|PubMed:14695475, ECO:0000269|PubMed:18264101}.; </t>
        </is>
      </c>
      <c r="AH504" t="inlineStr">
        <is>
          <t xml:space="preserve">DISEASE: Note=A chromosomal aberration involving MALT1 is recurrent in low-grade mucosa-associated lymphoid tissue (MALT lymphoma). Translocation t(11;18)(q21;q21) with BIRC2. This translocation is found in approximately 50% of cytogenetically abnormal low-grade MALT lymphoma. {ECO:0000269|PubMed:10339464, ECO:0000269|PubMed:10523859, ECO:0000269|PubMed:10702396, ECO:0000269|PubMed:11090634}.; </t>
        </is>
      </c>
      <c r="AI504" t="inlineStr">
        <is>
          <t>.</t>
        </is>
      </c>
      <c r="AJ504" t="inlineStr">
        <is>
          <t>.</t>
        </is>
      </c>
      <c r="AK504" t="inlineStr">
        <is>
          <t>.</t>
        </is>
      </c>
      <c r="AL504" t="inlineStr">
        <is>
          <t>.</t>
        </is>
      </c>
    </row>
    <row r="505">
      <c r="A505" t="inlineStr"/>
      <c r="B505">
        <f>HYPERLINK("https://genome.ucsc.edu/cgi-bin/hgTracks?db=hg19&amp;position=chr18%3A56358597%2D56358597", "chr18:56358597")</f>
        <v/>
      </c>
      <c r="C505" t="inlineStr">
        <is>
          <t>chr18</t>
        </is>
      </c>
      <c r="D505" t="n">
        <v>56358597</v>
      </c>
      <c r="E505" t="n">
        <v>56358597</v>
      </c>
      <c r="F505" t="inlineStr">
        <is>
          <t>G</t>
        </is>
      </c>
      <c r="G505" t="inlineStr">
        <is>
          <t>T</t>
        </is>
      </c>
      <c r="H505" t="inlineStr">
        <is>
          <t>613.64</t>
        </is>
      </c>
      <c r="I505" t="inlineStr">
        <is>
          <t>35</t>
        </is>
      </c>
      <c r="J505" t="inlineStr">
        <is>
          <t>12,23</t>
        </is>
      </c>
      <c r="K505" t="inlineStr">
        <is>
          <t>.</t>
        </is>
      </c>
      <c r="L505" t="inlineStr">
        <is>
          <t>.</t>
        </is>
      </c>
      <c r="M505">
        <f>HYPERLINK("https://www.genecards.org/Search/Keyword?queryString=%5Baliases%5D(%20MALT1%20)&amp;keywords=MALT1", "MALT1")</f>
        <v/>
      </c>
      <c r="N505" t="inlineStr">
        <is>
          <t>intronic;ncRNA_intronic</t>
        </is>
      </c>
      <c r="O505" t="inlineStr">
        <is>
          <t>.</t>
        </is>
      </c>
      <c r="P505" t="inlineStr">
        <is>
          <t>.</t>
        </is>
      </c>
      <c r="Q505" t="n">
        <v>-1</v>
      </c>
      <c r="R505" t="n">
        <v>-1</v>
      </c>
      <c r="S505" t="n">
        <v>-1</v>
      </c>
      <c r="T505" t="n">
        <v>-1</v>
      </c>
      <c r="U505" t="n">
        <v>-1</v>
      </c>
      <c r="V505" t="inlineStr">
        <is>
          <t>.</t>
        </is>
      </c>
      <c r="W505" t="inlineStr">
        <is>
          <t>.</t>
        </is>
      </c>
      <c r="X505" t="inlineStr">
        <is>
          <t>.</t>
        </is>
      </c>
      <c r="Y505" t="inlineStr">
        <is>
          <t>.</t>
        </is>
      </c>
      <c r="Z505" t="inlineStr">
        <is>
          <t>.</t>
        </is>
      </c>
      <c r="AA505" t="inlineStr">
        <is>
          <t>.</t>
        </is>
      </c>
      <c r="AB505" t="inlineStr">
        <is>
          <t>.</t>
        </is>
      </c>
      <c r="AC505" t="inlineStr">
        <is>
          <t>0/1</t>
        </is>
      </c>
      <c r="AD505" t="inlineStr">
        <is>
          <t>4</t>
        </is>
      </c>
      <c r="AE505" t="inlineStr">
        <is>
          <t>0.994144577983795</t>
        </is>
      </c>
      <c r="AF505" t="inlineStr">
        <is>
          <t>MALT1 paracaspase</t>
        </is>
      </c>
      <c r="AG505" t="inlineStr">
        <is>
          <t xml:space="preserve">FUNCTION: Enhances BCL10-induced activation of NF-kappa-B. Involved in nuclear export of BCL10. Binds to TRAF6, inducing TRAF6 oligomerization and activation of its ligase activity. Has ubiquitin ligase activity. MALT1-dependent BCL10 cleavage plays an important role in T-cell antigen receptor-induced integrin adhesion. {ECO:0000269|PubMed:11262391, ECO:0000269|PubMed:14695475, ECO:0000269|PubMed:18264101}.; </t>
        </is>
      </c>
      <c r="AH505" t="inlineStr">
        <is>
          <t xml:space="preserve">DISEASE: Note=A chromosomal aberration involving MALT1 is recurrent in low-grade mucosa-associated lymphoid tissue (MALT lymphoma). Translocation t(11;18)(q21;q21) with BIRC2. This translocation is found in approximately 50% of cytogenetically abnormal low-grade MALT lymphoma. {ECO:0000269|PubMed:10339464, ECO:0000269|PubMed:10523859, ECO:0000269|PubMed:10702396, ECO:0000269|PubMed:11090634}.; </t>
        </is>
      </c>
      <c r="AI505" t="inlineStr">
        <is>
          <t>.</t>
        </is>
      </c>
      <c r="AJ505" t="inlineStr">
        <is>
          <t>.</t>
        </is>
      </c>
      <c r="AK505" t="inlineStr">
        <is>
          <t>.</t>
        </is>
      </c>
      <c r="AL505" t="inlineStr">
        <is>
          <t>.</t>
        </is>
      </c>
    </row>
    <row r="506">
      <c r="A506" t="inlineStr"/>
      <c r="B506">
        <f>HYPERLINK("https://genome.ucsc.edu/cgi-bin/hgTracks?db=hg19&amp;position=chr18%3A56401523%2D56401523", "chr18:56401523")</f>
        <v/>
      </c>
      <c r="C506" t="inlineStr">
        <is>
          <t>chr18</t>
        </is>
      </c>
      <c r="D506" t="n">
        <v>56401523</v>
      </c>
      <c r="E506" t="n">
        <v>56401523</v>
      </c>
      <c r="F506" t="inlineStr">
        <is>
          <t>C</t>
        </is>
      </c>
      <c r="G506" t="inlineStr">
        <is>
          <t>T</t>
        </is>
      </c>
      <c r="H506" t="inlineStr">
        <is>
          <t>284.64</t>
        </is>
      </c>
      <c r="I506" t="inlineStr">
        <is>
          <t>55</t>
        </is>
      </c>
      <c r="J506" t="inlineStr">
        <is>
          <t>41,14</t>
        </is>
      </c>
      <c r="K506" t="inlineStr">
        <is>
          <t>.</t>
        </is>
      </c>
      <c r="L506">
        <f>HYPERLINK("https://www.ncbi.nlm.nih.gov/snp/rs35049034", "rs35049034")</f>
        <v/>
      </c>
      <c r="M506">
        <f>HYPERLINK("https://www.genecards.org/Search/Keyword?queryString=%5Baliases%5D(%20MALT1%20)&amp;keywords=MALT1", "MALT1")</f>
        <v/>
      </c>
      <c r="N506" t="inlineStr">
        <is>
          <t>intronic;ncRNA_intronic</t>
        </is>
      </c>
      <c r="O506" t="inlineStr">
        <is>
          <t>.</t>
        </is>
      </c>
      <c r="P506" t="inlineStr">
        <is>
          <t>.</t>
        </is>
      </c>
      <c r="Q506" t="n">
        <v>0.009900000000000001</v>
      </c>
      <c r="R506" t="n">
        <v>0.008800000000000001</v>
      </c>
      <c r="S506" t="n">
        <v>0.008699999999999999</v>
      </c>
      <c r="T506" t="n">
        <v>-1</v>
      </c>
      <c r="U506" t="n">
        <v>0.0098</v>
      </c>
      <c r="V506" t="inlineStr">
        <is>
          <t>.</t>
        </is>
      </c>
      <c r="W506" t="inlineStr">
        <is>
          <t>.</t>
        </is>
      </c>
      <c r="X506" t="inlineStr">
        <is>
          <t>B</t>
        </is>
      </c>
      <c r="Y506" t="inlineStr">
        <is>
          <t>off</t>
        </is>
      </c>
      <c r="Z506" t="inlineStr">
        <is>
          <t>.</t>
        </is>
      </c>
      <c r="AA506" t="inlineStr">
        <is>
          <t>.</t>
        </is>
      </c>
      <c r="AB506" t="inlineStr">
        <is>
          <t>.</t>
        </is>
      </c>
      <c r="AC506" t="inlineStr">
        <is>
          <t>0/1</t>
        </is>
      </c>
      <c r="AD506" t="inlineStr">
        <is>
          <t>4</t>
        </is>
      </c>
      <c r="AE506" t="inlineStr">
        <is>
          <t>0.994144577983795</t>
        </is>
      </c>
      <c r="AF506" t="inlineStr">
        <is>
          <t>MALT1 paracaspase</t>
        </is>
      </c>
      <c r="AG506" t="inlineStr">
        <is>
          <t xml:space="preserve">FUNCTION: Enhances BCL10-induced activation of NF-kappa-B. Involved in nuclear export of BCL10. Binds to TRAF6, inducing TRAF6 oligomerization and activation of its ligase activity. Has ubiquitin ligase activity. MALT1-dependent BCL10 cleavage plays an important role in T-cell antigen receptor-induced integrin adhesion. {ECO:0000269|PubMed:11262391, ECO:0000269|PubMed:14695475, ECO:0000269|PubMed:18264101}.; </t>
        </is>
      </c>
      <c r="AH506" t="inlineStr">
        <is>
          <t xml:space="preserve">DISEASE: Note=A chromosomal aberration involving MALT1 is recurrent in low-grade mucosa-associated lymphoid tissue (MALT lymphoma). Translocation t(11;18)(q21;q21) with BIRC2. This translocation is found in approximately 50% of cytogenetically abnormal low-grade MALT lymphoma. {ECO:0000269|PubMed:10339464, ECO:0000269|PubMed:10523859, ECO:0000269|PubMed:10702396, ECO:0000269|PubMed:11090634}.; </t>
        </is>
      </c>
      <c r="AI506" t="inlineStr">
        <is>
          <t>.</t>
        </is>
      </c>
      <c r="AJ506" t="inlineStr">
        <is>
          <t>.</t>
        </is>
      </c>
      <c r="AK506" t="inlineStr">
        <is>
          <t>.</t>
        </is>
      </c>
      <c r="AL506" t="inlineStr">
        <is>
          <t>.</t>
        </is>
      </c>
    </row>
    <row r="507">
      <c r="A507" t="inlineStr"/>
      <c r="B507">
        <f>HYPERLINK("https://genome.ucsc.edu/cgi-bin/hgTracks?db=hg19&amp;position=chr18%3A59888171%2D59888171", "chr18:59888171")</f>
        <v/>
      </c>
      <c r="C507" t="inlineStr">
        <is>
          <t>chr18</t>
        </is>
      </c>
      <c r="D507" t="n">
        <v>59888171</v>
      </c>
      <c r="E507" t="n">
        <v>59888171</v>
      </c>
      <c r="F507" t="inlineStr">
        <is>
          <t>A</t>
        </is>
      </c>
      <c r="G507" t="inlineStr">
        <is>
          <t>G</t>
        </is>
      </c>
      <c r="H507" t="inlineStr">
        <is>
          <t>330.64</t>
        </is>
      </c>
      <c r="I507" t="inlineStr">
        <is>
          <t>18</t>
        </is>
      </c>
      <c r="J507" t="inlineStr">
        <is>
          <t>7,11</t>
        </is>
      </c>
      <c r="K507" t="inlineStr">
        <is>
          <t>.</t>
        </is>
      </c>
      <c r="L507">
        <f>HYPERLINK("https://www.ncbi.nlm.nih.gov/snp/rs999170941", "rs999170941")</f>
        <v/>
      </c>
      <c r="M507">
        <f>HYPERLINK("https://www.genecards.org/Search/Keyword?queryString=%5Baliases%5D(%20KIAA1468%20)%20OR%20%5Baliases%5D(%20RELCH%20)&amp;keywords=KIAA1468,RELCH", "KIAA1468;RELCH")</f>
        <v/>
      </c>
      <c r="N507" t="inlineStr">
        <is>
          <t>intronic</t>
        </is>
      </c>
      <c r="O507" t="inlineStr">
        <is>
          <t>.</t>
        </is>
      </c>
      <c r="P507" t="inlineStr">
        <is>
          <t>.</t>
        </is>
      </c>
      <c r="Q507" t="n">
        <v>0.0001</v>
      </c>
      <c r="R507" t="n">
        <v>9.178000000000001e-05</v>
      </c>
      <c r="S507" t="n">
        <v>0.0001</v>
      </c>
      <c r="T507" t="n">
        <v>-1</v>
      </c>
      <c r="U507" t="n">
        <v>-1</v>
      </c>
      <c r="V507" t="inlineStr">
        <is>
          <t>.</t>
        </is>
      </c>
      <c r="W507" t="inlineStr">
        <is>
          <t>.</t>
        </is>
      </c>
      <c r="X507" t="inlineStr">
        <is>
          <t>D</t>
        </is>
      </c>
      <c r="Y507" t="inlineStr">
        <is>
          <t>off</t>
        </is>
      </c>
      <c r="Z507" t="inlineStr">
        <is>
          <t>.</t>
        </is>
      </c>
      <c r="AA507" t="inlineStr">
        <is>
          <t>.</t>
        </is>
      </c>
      <c r="AB507" t="inlineStr">
        <is>
          <t>.</t>
        </is>
      </c>
      <c r="AC507" t="inlineStr">
        <is>
          <t>0/1</t>
        </is>
      </c>
      <c r="AD507" t="inlineStr">
        <is>
          <t>1;1</t>
        </is>
      </c>
      <c r="AE507" t="inlineStr">
        <is>
          <t>0.999999559987516</t>
        </is>
      </c>
      <c r="AF507" t="inlineStr">
        <is>
          <t>KIAA1468</t>
        </is>
      </c>
      <c r="AG507" t="inlineStr">
        <is>
          <t>.</t>
        </is>
      </c>
      <c r="AH507" t="inlineStr">
        <is>
          <t>.</t>
        </is>
      </c>
      <c r="AI507" t="inlineStr">
        <is>
          <t>.</t>
        </is>
      </c>
      <c r="AJ507" t="inlineStr">
        <is>
          <t>.</t>
        </is>
      </c>
      <c r="AK507" t="inlineStr">
        <is>
          <t>.</t>
        </is>
      </c>
      <c r="AL507" t="inlineStr">
        <is>
          <t>.</t>
        </is>
      </c>
    </row>
    <row r="508">
      <c r="A508" t="inlineStr"/>
      <c r="B508">
        <f>HYPERLINK("https://genome.ucsc.edu/cgi-bin/hgTracks?db=hg19&amp;position=chr18%3A65178819%2D65178819", "chr18:65178819")</f>
        <v/>
      </c>
      <c r="C508" t="inlineStr">
        <is>
          <t>chr18</t>
        </is>
      </c>
      <c r="D508" t="n">
        <v>65178819</v>
      </c>
      <c r="E508" t="n">
        <v>65178819</v>
      </c>
      <c r="F508" t="inlineStr">
        <is>
          <t>C</t>
        </is>
      </c>
      <c r="G508" t="inlineStr">
        <is>
          <t>G</t>
        </is>
      </c>
      <c r="H508" t="inlineStr">
        <is>
          <t>901.64</t>
        </is>
      </c>
      <c r="I508" t="inlineStr">
        <is>
          <t>60</t>
        </is>
      </c>
      <c r="J508" t="inlineStr">
        <is>
          <t>27,33</t>
        </is>
      </c>
      <c r="K508" t="inlineStr">
        <is>
          <t>.</t>
        </is>
      </c>
      <c r="L508" t="inlineStr">
        <is>
          <t>.</t>
        </is>
      </c>
      <c r="M508">
        <f>HYPERLINK("https://www.genecards.org/Search/Keyword?queryString=%5Baliases%5D(%20DSEL%20)&amp;keywords=DSEL", "DSEL")</f>
        <v/>
      </c>
      <c r="N508" t="inlineStr">
        <is>
          <t>exonic</t>
        </is>
      </c>
      <c r="O508" t="inlineStr">
        <is>
          <t>nonsynonymous SNV</t>
        </is>
      </c>
      <c r="P508" t="inlineStr">
        <is>
          <t>DSEL:NM_032160:exon2:c.G3027C:p.W1009C;DSEL:uc021ulg.1:exon1:c.G3057C:p.W1019C,DSEL:uc002lke.1:exon2:c.G3057C:p.W1019C;DSEL:ENST00000310045.9_5:exon2:c.G3027C:p.W1009C</t>
        </is>
      </c>
      <c r="Q508" t="n">
        <v>-1</v>
      </c>
      <c r="R508" t="n">
        <v>-1</v>
      </c>
      <c r="S508" t="n">
        <v>-1</v>
      </c>
      <c r="T508" t="n">
        <v>-1</v>
      </c>
      <c r="U508" t="n">
        <v>-1</v>
      </c>
      <c r="V508" t="inlineStr">
        <is>
          <t>6/10</t>
        </is>
      </c>
      <c r="W508" t="inlineStr">
        <is>
          <t>.</t>
        </is>
      </c>
      <c r="X508" t="inlineStr">
        <is>
          <t>.</t>
        </is>
      </c>
      <c r="Y508" t="inlineStr">
        <is>
          <t>.</t>
        </is>
      </c>
      <c r="Z508" t="inlineStr">
        <is>
          <t>4/7</t>
        </is>
      </c>
      <c r="AA508" t="inlineStr">
        <is>
          <t>Uncertain significance</t>
        </is>
      </c>
      <c r="AB508" t="inlineStr">
        <is>
          <t>.</t>
        </is>
      </c>
      <c r="AC508" t="inlineStr">
        <is>
          <t>0/1</t>
        </is>
      </c>
      <c r="AD508" t="inlineStr">
        <is>
          <t>1</t>
        </is>
      </c>
      <c r="AE508" t="inlineStr">
        <is>
          <t>5.16087410257055e-06</t>
        </is>
      </c>
      <c r="AF508" t="inlineStr">
        <is>
          <t>dermatan sulfate epimerase-like</t>
        </is>
      </c>
      <c r="AG508" t="inlineStr">
        <is>
          <t>.</t>
        </is>
      </c>
      <c r="AH508" t="inlineStr">
        <is>
          <t>.</t>
        </is>
      </c>
      <c r="AI508" t="inlineStr">
        <is>
          <t>.</t>
        </is>
      </c>
      <c r="AJ508" t="inlineStr">
        <is>
          <t>.</t>
        </is>
      </c>
      <c r="AK508" t="inlineStr">
        <is>
          <t>.</t>
        </is>
      </c>
      <c r="AL508" t="inlineStr">
        <is>
          <t>.</t>
        </is>
      </c>
    </row>
    <row r="509">
      <c r="A509" t="inlineStr"/>
      <c r="B509">
        <f>HYPERLINK("https://genome.ucsc.edu/cgi-bin/hgTracks?db=hg19&amp;position=chr18%3A66564526%2D66564526", "chr18:66564526")</f>
        <v/>
      </c>
      <c r="C509" t="inlineStr">
        <is>
          <t>chr18</t>
        </is>
      </c>
      <c r="D509" t="n">
        <v>66564526</v>
      </c>
      <c r="E509" t="n">
        <v>66564526</v>
      </c>
      <c r="F509" t="inlineStr">
        <is>
          <t>G</t>
        </is>
      </c>
      <c r="G509" t="inlineStr">
        <is>
          <t>T</t>
        </is>
      </c>
      <c r="H509" t="inlineStr">
        <is>
          <t>541.64</t>
        </is>
      </c>
      <c r="I509" t="inlineStr">
        <is>
          <t>44</t>
        </is>
      </c>
      <c r="J509" t="inlineStr">
        <is>
          <t>23,21</t>
        </is>
      </c>
      <c r="K509" t="inlineStr">
        <is>
          <t>.</t>
        </is>
      </c>
      <c r="L509">
        <f>HYPERLINK("https://www.ncbi.nlm.nih.gov/snp/rs746808745", "rs746808745")</f>
        <v/>
      </c>
      <c r="M509">
        <f>HYPERLINK("https://www.genecards.org/Search/Keyword?queryString=%5Baliases%5D(%20CCDC102B%20)&amp;keywords=CCDC102B", "CCDC102B")</f>
        <v/>
      </c>
      <c r="N509" t="inlineStr">
        <is>
          <t>exonic</t>
        </is>
      </c>
      <c r="O509" t="inlineStr">
        <is>
          <t>nonsynonymous SNV</t>
        </is>
      </c>
      <c r="P509" t="inlineStr">
        <is>
          <t>CCDC102B:NM_024781:exon6:c.G1124T:p.G375V,CCDC102B:NM_001093729:exon8:c.G1124T:p.G375V;CCDC102B:uc002lki.2:exon6:c.G1124T:p.G375V,CCDC102B:uc002lkj.1:exon6:c.G1124T:p.G375V,CCDC102B:uc002lkk.2:exon8:c.G1124T:p.G375V;CCDC102B:ENST00000584156.5_4:exon5:c.G1124T:p.G375V,CCDC102B:ENST00000360242.9_6:exon6:c.G1124T:p.G375V</t>
        </is>
      </c>
      <c r="Q509" t="n">
        <v>6.5e-06</v>
      </c>
      <c r="R509" t="n">
        <v>-1</v>
      </c>
      <c r="S509" t="n">
        <v>-1</v>
      </c>
      <c r="T509" t="n">
        <v>-1</v>
      </c>
      <c r="U509" t="n">
        <v>-1</v>
      </c>
      <c r="V509" t="inlineStr">
        <is>
          <t>5/12</t>
        </is>
      </c>
      <c r="W509" t="inlineStr">
        <is>
          <t>.</t>
        </is>
      </c>
      <c r="X509" t="inlineStr">
        <is>
          <t>.</t>
        </is>
      </c>
      <c r="Y509" t="inlineStr">
        <is>
          <t>.</t>
        </is>
      </c>
      <c r="Z509" t="inlineStr">
        <is>
          <t>0/7</t>
        </is>
      </c>
      <c r="AA509" t="inlineStr">
        <is>
          <t>Uncertain significance</t>
        </is>
      </c>
      <c r="AB509" t="inlineStr">
        <is>
          <t>.</t>
        </is>
      </c>
      <c r="AC509" t="inlineStr">
        <is>
          <t>0/1</t>
        </is>
      </c>
      <c r="AD509" t="inlineStr">
        <is>
          <t>1</t>
        </is>
      </c>
      <c r="AE509" t="inlineStr">
        <is>
          <t>3.31193608462394e-09</t>
        </is>
      </c>
      <c r="AF509" t="inlineStr">
        <is>
          <t>coiled-coil domain containing 102B</t>
        </is>
      </c>
      <c r="AG509" t="inlineStr">
        <is>
          <t>.</t>
        </is>
      </c>
      <c r="AH509" t="inlineStr">
        <is>
          <t>.</t>
        </is>
      </c>
      <c r="AI509" t="inlineStr">
        <is>
          <t>.</t>
        </is>
      </c>
      <c r="AJ509" t="inlineStr">
        <is>
          <t>.</t>
        </is>
      </c>
      <c r="AK509" t="inlineStr">
        <is>
          <t>.</t>
        </is>
      </c>
      <c r="AL509" t="inlineStr">
        <is>
          <t>.</t>
        </is>
      </c>
    </row>
    <row r="510">
      <c r="A510" t="inlineStr"/>
      <c r="B510">
        <f>HYPERLINK("https://genome.ucsc.edu/cgi-bin/hgTracks?db=hg19&amp;position=chr18%3A72021608%2D72021608", "chr18:72021608")</f>
        <v/>
      </c>
      <c r="C510" t="inlineStr">
        <is>
          <t>chr18</t>
        </is>
      </c>
      <c r="D510" t="n">
        <v>72021608</v>
      </c>
      <c r="E510" t="n">
        <v>72021608</v>
      </c>
      <c r="F510" t="inlineStr">
        <is>
          <t>T</t>
        </is>
      </c>
      <c r="G510" t="inlineStr">
        <is>
          <t>G</t>
        </is>
      </c>
      <c r="H510" t="inlineStr">
        <is>
          <t>748.64</t>
        </is>
      </c>
      <c r="I510" t="inlineStr">
        <is>
          <t>36</t>
        </is>
      </c>
      <c r="J510" t="inlineStr">
        <is>
          <t>9,27</t>
        </is>
      </c>
      <c r="K510" t="inlineStr">
        <is>
          <t>.</t>
        </is>
      </c>
      <c r="L510">
        <f>HYPERLINK("https://www.ncbi.nlm.nih.gov/snp/rs192983571", "rs192983571")</f>
        <v/>
      </c>
      <c r="M510">
        <f>HYPERLINK("https://www.genecards.org/Search/Keyword?queryString=%5Baliases%5D(%20C18orf63%20)&amp;keywords=C18orf63", "C18orf63")</f>
        <v/>
      </c>
      <c r="N510" t="inlineStr">
        <is>
          <t>intronic</t>
        </is>
      </c>
      <c r="O510" t="inlineStr">
        <is>
          <t>.</t>
        </is>
      </c>
      <c r="P510" t="inlineStr">
        <is>
          <t>.</t>
        </is>
      </c>
      <c r="Q510" t="n">
        <v>0.004</v>
      </c>
      <c r="R510" t="n">
        <v>0.0017</v>
      </c>
      <c r="S510" t="n">
        <v>0.002</v>
      </c>
      <c r="T510" t="n">
        <v>-1</v>
      </c>
      <c r="U510" t="n">
        <v>0.0041</v>
      </c>
      <c r="V510" t="inlineStr">
        <is>
          <t>.</t>
        </is>
      </c>
      <c r="W510" t="inlineStr">
        <is>
          <t>.</t>
        </is>
      </c>
      <c r="X510" t="inlineStr">
        <is>
          <t>D</t>
        </is>
      </c>
      <c r="Y510" t="inlineStr">
        <is>
          <t>off</t>
        </is>
      </c>
      <c r="Z510" t="inlineStr">
        <is>
          <t>.</t>
        </is>
      </c>
      <c r="AA510" t="inlineStr">
        <is>
          <t>.</t>
        </is>
      </c>
      <c r="AB510" t="inlineStr">
        <is>
          <t>.</t>
        </is>
      </c>
      <c r="AC510" t="inlineStr">
        <is>
          <t>0/1</t>
        </is>
      </c>
      <c r="AD510" t="inlineStr">
        <is>
          <t>1</t>
        </is>
      </c>
      <c r="AE510" t="inlineStr">
        <is>
          <t>.</t>
        </is>
      </c>
      <c r="AF510" t="inlineStr">
        <is>
          <t>chromosome 18 open reading frame 63</t>
        </is>
      </c>
      <c r="AG510" t="inlineStr">
        <is>
          <t>.</t>
        </is>
      </c>
      <c r="AH510" t="inlineStr">
        <is>
          <t>.</t>
        </is>
      </c>
      <c r="AI510" t="inlineStr">
        <is>
          <t>.</t>
        </is>
      </c>
      <c r="AJ510" t="inlineStr">
        <is>
          <t>.</t>
        </is>
      </c>
      <c r="AK510" t="inlineStr">
        <is>
          <t>.</t>
        </is>
      </c>
      <c r="AL510" t="inlineStr">
        <is>
          <t>.</t>
        </is>
      </c>
    </row>
    <row r="511">
      <c r="A511" t="inlineStr"/>
      <c r="B511">
        <f>HYPERLINK("https://genome.ucsc.edu/cgi-bin/hgTracks?db=hg19&amp;position=chr18%3A76753617%2D76753617", "chr18:76753617")</f>
        <v/>
      </c>
      <c r="C511" t="inlineStr">
        <is>
          <t>chr18</t>
        </is>
      </c>
      <c r="D511" t="n">
        <v>76753617</v>
      </c>
      <c r="E511" t="n">
        <v>76753617</v>
      </c>
      <c r="F511" t="inlineStr">
        <is>
          <t>C</t>
        </is>
      </c>
      <c r="G511" t="inlineStr">
        <is>
          <t>A</t>
        </is>
      </c>
      <c r="H511" t="inlineStr">
        <is>
          <t>753.64</t>
        </is>
      </c>
      <c r="I511" t="inlineStr">
        <is>
          <t>63</t>
        </is>
      </c>
      <c r="J511" t="inlineStr">
        <is>
          <t>34,29</t>
        </is>
      </c>
      <c r="K511" t="inlineStr">
        <is>
          <t>.</t>
        </is>
      </c>
      <c r="L511" t="inlineStr">
        <is>
          <t>.</t>
        </is>
      </c>
      <c r="M511">
        <f>HYPERLINK("https://www.genecards.org/Search/Keyword?queryString=%5Baliases%5D(%20SALL3%20)&amp;keywords=SALL3", "SALL3")</f>
        <v/>
      </c>
      <c r="N511" t="inlineStr">
        <is>
          <t>exonic</t>
        </is>
      </c>
      <c r="O511" t="inlineStr">
        <is>
          <t>nonsynonymous SNV</t>
        </is>
      </c>
      <c r="P511" t="inlineStr">
        <is>
          <t>SALL3:NM_171999:exon2:c.C1626A:p.D542E;SALL3:uc010dra.3:exon1:c.C447A:p.D149E,SALL3:uc002lmt.3:exon2:c.C1626A:p.D542E;SALL3:ENST00000536229.7_1:exon1:c.C1227A:p.D409E,SALL3:ENST00000537592.7_2:exon2:c.C1626A:p.D542E,SALL3:ENST00000575389.6_1:exon2:c.C1626A:p.D542E</t>
        </is>
      </c>
      <c r="Q511" t="n">
        <v>-1</v>
      </c>
      <c r="R511" t="n">
        <v>-1</v>
      </c>
      <c r="S511" t="n">
        <v>-1</v>
      </c>
      <c r="T511" t="n">
        <v>-1</v>
      </c>
      <c r="U511" t="n">
        <v>-1</v>
      </c>
      <c r="V511" t="inlineStr">
        <is>
          <t>4/12</t>
        </is>
      </c>
      <c r="W511" t="inlineStr">
        <is>
          <t>.</t>
        </is>
      </c>
      <c r="X511" t="inlineStr">
        <is>
          <t>.</t>
        </is>
      </c>
      <c r="Y511" t="inlineStr">
        <is>
          <t>.</t>
        </is>
      </c>
      <c r="Z511" t="inlineStr">
        <is>
          <t>1/7</t>
        </is>
      </c>
      <c r="AA511" t="inlineStr">
        <is>
          <t>Uncertain significance</t>
        </is>
      </c>
      <c r="AB511" t="inlineStr">
        <is>
          <t>.</t>
        </is>
      </c>
      <c r="AC511" t="inlineStr">
        <is>
          <t>0/1</t>
        </is>
      </c>
      <c r="AD511" t="inlineStr">
        <is>
          <t>1</t>
        </is>
      </c>
      <c r="AE511" t="inlineStr">
        <is>
          <t>0.0901931288456932</t>
        </is>
      </c>
      <c r="AF511" t="inlineStr">
        <is>
          <t>spalt-like transcription factor 3</t>
        </is>
      </c>
      <c r="AG511" t="inlineStr">
        <is>
          <t xml:space="preserve">FUNCTION: Probable transcription factor.; </t>
        </is>
      </c>
      <c r="AH511" t="inlineStr">
        <is>
          <t>.</t>
        </is>
      </c>
      <c r="AI511" t="inlineStr">
        <is>
          <t>.</t>
        </is>
      </c>
      <c r="AJ511" t="inlineStr">
        <is>
          <t>.</t>
        </is>
      </c>
      <c r="AK511" t="inlineStr">
        <is>
          <t>.</t>
        </is>
      </c>
      <c r="AL511" t="inlineStr">
        <is>
          <t>.</t>
        </is>
      </c>
    </row>
    <row r="512">
      <c r="A512" t="inlineStr"/>
      <c r="B512">
        <f>HYPERLINK("https://genome.ucsc.edu/cgi-bin/hgTracks?db=hg19&amp;position=chr19%3A871179%2D871179", "chr19:871179")</f>
        <v/>
      </c>
      <c r="C512" t="inlineStr">
        <is>
          <t>chr19</t>
        </is>
      </c>
      <c r="D512" t="n">
        <v>871179</v>
      </c>
      <c r="E512" t="n">
        <v>871179</v>
      </c>
      <c r="F512" t="inlineStr">
        <is>
          <t>G</t>
        </is>
      </c>
      <c r="G512" t="inlineStr">
        <is>
          <t>A</t>
        </is>
      </c>
      <c r="H512" t="inlineStr">
        <is>
          <t>343.64</t>
        </is>
      </c>
      <c r="I512" t="inlineStr">
        <is>
          <t>66</t>
        </is>
      </c>
      <c r="J512" t="inlineStr">
        <is>
          <t>47,19</t>
        </is>
      </c>
      <c r="K512" t="inlineStr">
        <is>
          <t>.</t>
        </is>
      </c>
      <c r="L512" t="inlineStr">
        <is>
          <t>.</t>
        </is>
      </c>
      <c r="M512">
        <f>HYPERLINK("https://www.genecards.org/Search/Keyword?queryString=%5Baliases%5D(%20MED16%20)&amp;keywords=MED16", "MED16")</f>
        <v/>
      </c>
      <c r="N512" t="inlineStr">
        <is>
          <t>exonic</t>
        </is>
      </c>
      <c r="O512" t="inlineStr">
        <is>
          <t>nonsynonymous SNV</t>
        </is>
      </c>
      <c r="P512" t="inlineStr">
        <is>
          <t>MED16:NM_005481:exon13:c.C2173T:p.L725F;MED16:uc002lqd.1:exon13:c.C2173T:p.L725F,MED16:uc002lqe.3:exon13:c.C2140T:p.L714F,MED16:uc002lqf.3:exon14:c.C2197T:p.L733F;MED16:ENST00000325464.6_7:exon13:c.C2173T:p.L725F,MED16:ENST00000395808.7_6:exon13:c.C2173T:p.L725F,MED16:ENST00000312090.10_9:exon14:c.C2230T:p.L744F</t>
        </is>
      </c>
      <c r="Q512" t="n">
        <v>-1</v>
      </c>
      <c r="R512" t="n">
        <v>-1</v>
      </c>
      <c r="S512" t="n">
        <v>-1</v>
      </c>
      <c r="T512" t="n">
        <v>-1</v>
      </c>
      <c r="U512" t="n">
        <v>-1</v>
      </c>
      <c r="V512" t="inlineStr">
        <is>
          <t>6/11</t>
        </is>
      </c>
      <c r="W512" t="inlineStr">
        <is>
          <t>.</t>
        </is>
      </c>
      <c r="X512" t="inlineStr">
        <is>
          <t>.</t>
        </is>
      </c>
      <c r="Y512" t="inlineStr">
        <is>
          <t>.</t>
        </is>
      </c>
      <c r="Z512" t="inlineStr">
        <is>
          <t>4/7</t>
        </is>
      </c>
      <c r="AA512" t="inlineStr">
        <is>
          <t>Uncertain significance</t>
        </is>
      </c>
      <c r="AB512" t="inlineStr">
        <is>
          <t>.</t>
        </is>
      </c>
      <c r="AC512" t="inlineStr">
        <is>
          <t>0/1</t>
        </is>
      </c>
      <c r="AD512" t="inlineStr">
        <is>
          <t>1</t>
        </is>
      </c>
      <c r="AE512" t="inlineStr">
        <is>
          <t>0.0187661183097687</t>
        </is>
      </c>
      <c r="AF512" t="inlineStr">
        <is>
          <t>mediator complex subunit 16</t>
        </is>
      </c>
      <c r="AG512" t="inlineStr">
        <is>
          <t xml:space="preserve">FUNCTION: Component of the Mediator complex, a coactivator involved in the regulated transcription of nearly all RNA polymerase II-dependent genes. Mediator functions as a bridge to convey information from gene-specific regulatory proteins to the basal RNA polymerase II transcription machinery. Mediator is recruited to promoters by direct interactions with regulatory proteins and serves as a scaffold for the assembly of a functional preinitiation complex with RNA polymerase II and the general transcription factors. {ECO:0000269|PubMed:10198638, ECO:0000269|PubMed:10235266}.; </t>
        </is>
      </c>
      <c r="AH512" t="inlineStr">
        <is>
          <t>.</t>
        </is>
      </c>
      <c r="AI512" t="inlineStr">
        <is>
          <t>.</t>
        </is>
      </c>
      <c r="AJ512" t="inlineStr">
        <is>
          <t>.</t>
        </is>
      </c>
      <c r="AK512" t="inlineStr">
        <is>
          <t>.</t>
        </is>
      </c>
      <c r="AL512" t="inlineStr">
        <is>
          <t>.</t>
        </is>
      </c>
    </row>
    <row r="513">
      <c r="A513" t="inlineStr"/>
      <c r="B513">
        <f>HYPERLINK("https://genome.ucsc.edu/cgi-bin/hgTracks?db=hg19&amp;position=chr19%3A1482080%2D1482080", "chr19:1482080")</f>
        <v/>
      </c>
      <c r="C513" t="inlineStr">
        <is>
          <t>chr19</t>
        </is>
      </c>
      <c r="D513" t="n">
        <v>1482080</v>
      </c>
      <c r="E513" t="n">
        <v>1482080</v>
      </c>
      <c r="F513" t="inlineStr">
        <is>
          <t>C</t>
        </is>
      </c>
      <c r="G513" t="inlineStr">
        <is>
          <t>A</t>
        </is>
      </c>
      <c r="H513" t="inlineStr">
        <is>
          <t>860.64</t>
        </is>
      </c>
      <c r="I513" t="inlineStr">
        <is>
          <t>108</t>
        </is>
      </c>
      <c r="J513" t="inlineStr">
        <is>
          <t>66,42</t>
        </is>
      </c>
      <c r="K513" t="inlineStr">
        <is>
          <t>.</t>
        </is>
      </c>
      <c r="L513">
        <f>HYPERLINK("https://www.ncbi.nlm.nih.gov/snp/rs78359732", "rs78359732")</f>
        <v/>
      </c>
      <c r="M513">
        <f>HYPERLINK("https://www.genecards.org/Search/Keyword?queryString=%5Baliases%5D(%20PCSK4%20)&amp;keywords=PCSK4", "PCSK4")</f>
        <v/>
      </c>
      <c r="N513" t="inlineStr">
        <is>
          <t>exonic</t>
        </is>
      </c>
      <c r="O513" t="inlineStr">
        <is>
          <t>nonsynonymous SNV</t>
        </is>
      </c>
      <c r="P513" t="inlineStr">
        <is>
          <t>PCSK4:NM_017573:exon15:c.G1946T:p.C649F;PCSK4:uc002lsz.2:exon5:c.G407T:p.C136F,PCSK4:uc002ltb.1:exon15:c.G1946T:p.C649F;PCSK4:ENST00000300954.10_5:exon15:c.G1946T:p.C649F</t>
        </is>
      </c>
      <c r="Q513" t="n">
        <v>0.009900000000000001</v>
      </c>
      <c r="R513" t="n">
        <v>0.008</v>
      </c>
      <c r="S513" t="n">
        <v>0.0086</v>
      </c>
      <c r="T513" t="n">
        <v>-1</v>
      </c>
      <c r="U513" t="n">
        <v>0.0047</v>
      </c>
      <c r="V513" t="inlineStr">
        <is>
          <t>4/9</t>
        </is>
      </c>
      <c r="W513" t="inlineStr">
        <is>
          <t>.</t>
        </is>
      </c>
      <c r="X513" t="inlineStr">
        <is>
          <t>.</t>
        </is>
      </c>
      <c r="Y513" t="inlineStr">
        <is>
          <t>.</t>
        </is>
      </c>
      <c r="Z513" t="inlineStr">
        <is>
          <t>0/7</t>
        </is>
      </c>
      <c r="AA513" t="inlineStr">
        <is>
          <t>Uncertain significance</t>
        </is>
      </c>
      <c r="AB513" t="inlineStr">
        <is>
          <t>.</t>
        </is>
      </c>
      <c r="AC513" t="inlineStr">
        <is>
          <t>0/1</t>
        </is>
      </c>
      <c r="AD513" t="inlineStr">
        <is>
          <t>1</t>
        </is>
      </c>
      <c r="AE513" t="inlineStr">
        <is>
          <t>6.59246485167205e-13</t>
        </is>
      </c>
      <c r="AF513" t="inlineStr">
        <is>
          <t>proprotein convertase subtilisin/kexin type 4</t>
        </is>
      </c>
      <c r="AG513" t="inlineStr">
        <is>
          <t xml:space="preserve">FUNCTION: Involved in the processing of hormone and other protein precursors at sites comprised of pairs of basic amino acid residues. Plays a role in transcriptional coactivation. May be involved in stabilizing the multiprotein transcription complex. {ECO:0000269|PubMed:16040806}.; </t>
        </is>
      </c>
      <c r="AH513" t="inlineStr">
        <is>
          <t>.</t>
        </is>
      </c>
      <c r="AI513" t="inlineStr">
        <is>
          <t>.</t>
        </is>
      </c>
      <c r="AJ513" t="inlineStr">
        <is>
          <t>.</t>
        </is>
      </c>
      <c r="AK513" t="inlineStr">
        <is>
          <t>.</t>
        </is>
      </c>
      <c r="AL513" t="inlineStr">
        <is>
          <t>.</t>
        </is>
      </c>
    </row>
    <row r="514">
      <c r="A514" t="inlineStr"/>
      <c r="B514">
        <f>HYPERLINK("https://genome.ucsc.edu/cgi-bin/hgTracks?db=hg19&amp;position=chr19%3A1531564%2D1531564", "chr19:1531564")</f>
        <v/>
      </c>
      <c r="C514" t="inlineStr">
        <is>
          <t>chr19</t>
        </is>
      </c>
      <c r="D514" t="n">
        <v>1531564</v>
      </c>
      <c r="E514" t="n">
        <v>1531564</v>
      </c>
      <c r="F514" t="inlineStr">
        <is>
          <t>G</t>
        </is>
      </c>
      <c r="G514" t="inlineStr">
        <is>
          <t>A</t>
        </is>
      </c>
      <c r="H514" t="inlineStr">
        <is>
          <t>53.64</t>
        </is>
      </c>
      <c r="I514" t="inlineStr">
        <is>
          <t>6</t>
        </is>
      </c>
      <c r="J514" t="inlineStr">
        <is>
          <t>4,2</t>
        </is>
      </c>
      <c r="K514" t="inlineStr">
        <is>
          <t>.</t>
        </is>
      </c>
      <c r="L514">
        <f>HYPERLINK("https://www.ncbi.nlm.nih.gov/snp/rs768528378", "rs768528378")</f>
        <v/>
      </c>
      <c r="M514">
        <f>HYPERLINK("https://www.genecards.org/Search/Keyword?queryString=%5Baliases%5D(%20PLK5%20)&amp;keywords=PLK5", "PLK5")</f>
        <v/>
      </c>
      <c r="N514" t="inlineStr">
        <is>
          <t>intronic</t>
        </is>
      </c>
      <c r="O514" t="inlineStr">
        <is>
          <t>.</t>
        </is>
      </c>
      <c r="P514" t="inlineStr">
        <is>
          <t>.</t>
        </is>
      </c>
      <c r="Q514" t="n">
        <v>3.84e-05</v>
      </c>
      <c r="R514" t="n">
        <v>-1</v>
      </c>
      <c r="S514" t="n">
        <v>-1</v>
      </c>
      <c r="T514" t="n">
        <v>-1</v>
      </c>
      <c r="U514" t="n">
        <v>-1</v>
      </c>
      <c r="V514" t="inlineStr">
        <is>
          <t>.</t>
        </is>
      </c>
      <c r="W514" t="inlineStr">
        <is>
          <t>.</t>
        </is>
      </c>
      <c r="X514" t="inlineStr">
        <is>
          <t>D</t>
        </is>
      </c>
      <c r="Y514" t="inlineStr">
        <is>
          <t>off</t>
        </is>
      </c>
      <c r="Z514" t="inlineStr">
        <is>
          <t>.</t>
        </is>
      </c>
      <c r="AA514" t="inlineStr">
        <is>
          <t>.</t>
        </is>
      </c>
      <c r="AB514" t="inlineStr">
        <is>
          <t>.</t>
        </is>
      </c>
      <c r="AC514" t="inlineStr">
        <is>
          <t>0/1</t>
        </is>
      </c>
      <c r="AD514" t="inlineStr">
        <is>
          <t>1</t>
        </is>
      </c>
      <c r="AE514" t="inlineStr">
        <is>
          <t>0.0716254602582295</t>
        </is>
      </c>
      <c r="AF514" t="inlineStr">
        <is>
          <t>polo like kinase 5</t>
        </is>
      </c>
      <c r="AG514" t="inlineStr">
        <is>
          <t xml:space="preserve">FUNCTION: Inactive serine/threonine-protein kinase that plays a role in cell cycle progression and neuronal differentiation. {ECO:0000269|PubMed:21245385}.; </t>
        </is>
      </c>
      <c r="AH514" t="inlineStr">
        <is>
          <t>.</t>
        </is>
      </c>
      <c r="AI514" t="inlineStr">
        <is>
          <t>.</t>
        </is>
      </c>
      <c r="AJ514" t="inlineStr">
        <is>
          <t>.</t>
        </is>
      </c>
      <c r="AK514" t="inlineStr">
        <is>
          <t>.</t>
        </is>
      </c>
      <c r="AL514" t="inlineStr">
        <is>
          <t>.</t>
        </is>
      </c>
    </row>
    <row r="515">
      <c r="A515" t="inlineStr"/>
      <c r="B515">
        <f>HYPERLINK("https://genome.ucsc.edu/cgi-bin/hgTracks?db=hg19&amp;position=chr19%3A2244910%2D2244910", "chr19:2244910")</f>
        <v/>
      </c>
      <c r="C515" t="inlineStr">
        <is>
          <t>chr19</t>
        </is>
      </c>
      <c r="D515" t="n">
        <v>2244910</v>
      </c>
      <c r="E515" t="n">
        <v>2244910</v>
      </c>
      <c r="F515" t="inlineStr">
        <is>
          <t>G</t>
        </is>
      </c>
      <c r="G515" t="inlineStr">
        <is>
          <t>A</t>
        </is>
      </c>
      <c r="H515" t="inlineStr">
        <is>
          <t>331.64</t>
        </is>
      </c>
      <c r="I515" t="inlineStr">
        <is>
          <t>18</t>
        </is>
      </c>
      <c r="J515" t="inlineStr">
        <is>
          <t>6,12</t>
        </is>
      </c>
      <c r="K515" t="inlineStr">
        <is>
          <t>.</t>
        </is>
      </c>
      <c r="L515">
        <f>HYPERLINK("https://www.ncbi.nlm.nih.gov/snp/rs55709403", "rs55709403")</f>
        <v/>
      </c>
      <c r="M515">
        <f>HYPERLINK("https://www.genecards.org/Search/Keyword?queryString=%5Baliases%5D(%20SF3A2%20)&amp;keywords=SF3A2", "SF3A2")</f>
        <v/>
      </c>
      <c r="N515" t="inlineStr">
        <is>
          <t>intronic</t>
        </is>
      </c>
      <c r="O515" t="inlineStr">
        <is>
          <t>.</t>
        </is>
      </c>
      <c r="P515" t="inlineStr">
        <is>
          <t>.</t>
        </is>
      </c>
      <c r="Q515" t="n">
        <v>0.0149</v>
      </c>
      <c r="R515" t="n">
        <v>0.0126</v>
      </c>
      <c r="S515" t="n">
        <v>0.0146</v>
      </c>
      <c r="T515" t="n">
        <v>-1</v>
      </c>
      <c r="U515" t="n">
        <v>0.0098</v>
      </c>
      <c r="V515" t="inlineStr">
        <is>
          <t>.</t>
        </is>
      </c>
      <c r="W515" t="inlineStr">
        <is>
          <t>.</t>
        </is>
      </c>
      <c r="X515" t="inlineStr">
        <is>
          <t>PD</t>
        </is>
      </c>
      <c r="Y515" t="inlineStr">
        <is>
          <t>off</t>
        </is>
      </c>
      <c r="Z515" t="inlineStr">
        <is>
          <t>.</t>
        </is>
      </c>
      <c r="AA515" t="inlineStr">
        <is>
          <t>.</t>
        </is>
      </c>
      <c r="AB515" t="inlineStr">
        <is>
          <t>.</t>
        </is>
      </c>
      <c r="AC515" t="inlineStr">
        <is>
          <t>0/1</t>
        </is>
      </c>
      <c r="AD515" t="inlineStr">
        <is>
          <t>1</t>
        </is>
      </c>
      <c r="AE515" t="inlineStr">
        <is>
          <t>0.774375362030151</t>
        </is>
      </c>
      <c r="AF515" t="inlineStr">
        <is>
          <t>splicing factor 3a subunit 2</t>
        </is>
      </c>
      <c r="AG515" t="inlineStr">
        <is>
          <t xml:space="preserve">FUNCTION: Subunit of the splicing factor SF3A required for 'A' complex assembly formed by the stable binding of U2 snRNP to the branchpoint sequence (BPS) in pre-mRNA. Sequence independent binding of SF3A/SF3B complex upstream of the branch site is essential, it may anchor U2 snRNP to the pre-mRNA. May also be involved in the assembly of the 'E' complex.; </t>
        </is>
      </c>
      <c r="AH515" t="inlineStr">
        <is>
          <t>.</t>
        </is>
      </c>
      <c r="AI515" t="inlineStr">
        <is>
          <t>.</t>
        </is>
      </c>
      <c r="AJ515" t="inlineStr">
        <is>
          <t>.</t>
        </is>
      </c>
      <c r="AK515" t="inlineStr">
        <is>
          <t>.</t>
        </is>
      </c>
      <c r="AL515" t="inlineStr">
        <is>
          <t>.</t>
        </is>
      </c>
    </row>
    <row r="516">
      <c r="A516" t="inlineStr"/>
      <c r="B516">
        <f>HYPERLINK("https://genome.ucsc.edu/cgi-bin/hgTracks?db=hg19&amp;position=chr19%3A2253732%2D2253732", "chr19:2253732")</f>
        <v/>
      </c>
      <c r="C516" t="inlineStr">
        <is>
          <t>chr19</t>
        </is>
      </c>
      <c r="D516" t="n">
        <v>2253732</v>
      </c>
      <c r="E516" t="n">
        <v>2253732</v>
      </c>
      <c r="F516" t="inlineStr">
        <is>
          <t>G</t>
        </is>
      </c>
      <c r="G516" t="inlineStr">
        <is>
          <t>A</t>
        </is>
      </c>
      <c r="H516" t="inlineStr">
        <is>
          <t>1312.64</t>
        </is>
      </c>
      <c r="I516" t="inlineStr">
        <is>
          <t>68</t>
        </is>
      </c>
      <c r="J516" t="inlineStr">
        <is>
          <t>19,49</t>
        </is>
      </c>
      <c r="K516" t="inlineStr">
        <is>
          <t>CM130388</t>
        </is>
      </c>
      <c r="L516">
        <f>HYPERLINK("https://www.ncbi.nlm.nih.gov/snp/rs74521370", "rs74521370")</f>
        <v/>
      </c>
      <c r="M516">
        <f>HYPERLINK("https://www.genecards.org/Search/Keyword?queryString=%5Baliases%5D(%20JSRP1%20)&amp;keywords=JSRP1", "JSRP1")</f>
        <v/>
      </c>
      <c r="N516" t="inlineStr">
        <is>
          <t>exonic</t>
        </is>
      </c>
      <c r="O516" t="inlineStr">
        <is>
          <t>nonsynonymous SNV</t>
        </is>
      </c>
      <c r="P516" t="inlineStr">
        <is>
          <t>JSRP1:NM_144616:exon5:c.C323T:p.P108L;JSRP1:uc002lvj.2:exon5:c.C323T:p.P108L;JSRP1:ENST00000300961.10_6:exon5:c.C323T:p.P108L</t>
        </is>
      </c>
      <c r="Q516" t="n">
        <v>0.02439</v>
      </c>
      <c r="R516" t="n">
        <v>0.0146</v>
      </c>
      <c r="S516" t="n">
        <v>0.017</v>
      </c>
      <c r="T516" t="n">
        <v>-1</v>
      </c>
      <c r="U516" t="n">
        <v>0.0163</v>
      </c>
      <c r="V516" t="inlineStr">
        <is>
          <t>2/10</t>
        </is>
      </c>
      <c r="W516" t="inlineStr">
        <is>
          <t>.</t>
        </is>
      </c>
      <c r="X516" t="inlineStr">
        <is>
          <t>.</t>
        </is>
      </c>
      <c r="Y516" t="inlineStr">
        <is>
          <t>.</t>
        </is>
      </c>
      <c r="Z516" t="inlineStr">
        <is>
          <t>0/7</t>
        </is>
      </c>
      <c r="AA516" t="inlineStr">
        <is>
          <t>Likely benign</t>
        </is>
      </c>
      <c r="AB516" t="inlineStr">
        <is>
          <t>.</t>
        </is>
      </c>
      <c r="AC516" t="inlineStr">
        <is>
          <t>0/1</t>
        </is>
      </c>
      <c r="AD516" t="inlineStr">
        <is>
          <t>1</t>
        </is>
      </c>
      <c r="AE516" t="inlineStr">
        <is>
          <t>8.90273527204223e-10</t>
        </is>
      </c>
      <c r="AF516" t="inlineStr">
        <is>
          <t>junctional sarcoplasmic reticulum protein 1</t>
        </is>
      </c>
      <c r="AG516" t="inlineStr">
        <is>
          <t xml:space="preserve">FUNCTION: Involved in skeletal muscle excitation/contraction coupling (EC), probably acting as a regulator of the voltage- sensitive calcium channel CACNA1S. EC is a physiological process whereby an electrical signal (depolarization of the plasma membrane) is converted into a chemical signal, a calcium gradient, by the opening of ryanodine receptor calcium release channels. May regulate CACNA1S membrane targeting and activity. {ECO:0000269|PubMed:22927026}.; </t>
        </is>
      </c>
      <c r="AH516" t="inlineStr">
        <is>
          <t>.</t>
        </is>
      </c>
      <c r="AI516" t="inlineStr">
        <is>
          <t>.</t>
        </is>
      </c>
      <c r="AJ516" t="inlineStr">
        <is>
          <t>.</t>
        </is>
      </c>
      <c r="AK516" t="inlineStr">
        <is>
          <t>.</t>
        </is>
      </c>
      <c r="AL516" t="inlineStr">
        <is>
          <t>.</t>
        </is>
      </c>
    </row>
    <row r="517">
      <c r="A517" t="inlineStr"/>
      <c r="B517">
        <f>HYPERLINK("https://genome.ucsc.edu/cgi-bin/hgTracks?db=hg19&amp;position=chr19%3A3015692%2D3015692", "chr19:3015692")</f>
        <v/>
      </c>
      <c r="C517" t="inlineStr">
        <is>
          <t>chr19</t>
        </is>
      </c>
      <c r="D517" t="n">
        <v>3015692</v>
      </c>
      <c r="E517" t="n">
        <v>3015692</v>
      </c>
      <c r="F517" t="inlineStr">
        <is>
          <t>C</t>
        </is>
      </c>
      <c r="G517" t="inlineStr">
        <is>
          <t>T</t>
        </is>
      </c>
      <c r="H517" t="inlineStr">
        <is>
          <t>501.64</t>
        </is>
      </c>
      <c r="I517" t="inlineStr">
        <is>
          <t>117</t>
        </is>
      </c>
      <c r="J517" t="inlineStr">
        <is>
          <t>91,26</t>
        </is>
      </c>
      <c r="K517" t="inlineStr">
        <is>
          <t>.</t>
        </is>
      </c>
      <c r="L517">
        <f>HYPERLINK("https://www.ncbi.nlm.nih.gov/snp/rs201144885", "rs201144885")</f>
        <v/>
      </c>
      <c r="M517">
        <f>HYPERLINK("https://www.genecards.org/Search/Keyword?queryString=%5Baliases%5D(%20TLE2%20)&amp;keywords=TLE2", "TLE2")</f>
        <v/>
      </c>
      <c r="N517" t="inlineStr">
        <is>
          <t>exonic</t>
        </is>
      </c>
      <c r="O517" t="inlineStr">
        <is>
          <t>nonsynonymous SNV</t>
        </is>
      </c>
      <c r="P517" t="inlineStr">
        <is>
          <t>TLE2:NM_001144762:exon7:c.G271A:p.G91R,TLE2:NM_001300846:exon9:c.G640A:p.G214R,TLE2:NM_003260:exon9:c.G637A:p.G213R,TLE2:NM_001144761:exon10:c.G679A:p.G227R;TLE2:uc010xhd.1:exon6:c.G361A:p.G121R,TLE2:uc010xhc.2:exon7:c.G271A:p.G91R,TLE2:uc002lww.3:exon9:c.G637A:p.G213R,TLE2:uc010dth.3:exon9:c.G640A:p.G214R,TLE2:uc010dti.3:exon10:c.G679A:p.G227R;TLE2:ENST00000443826.7_3:exon7:c.G271A:p.G91R,TLE2:ENST00000455444.6_3:exon7:c.G271A:p.G91R,TLE2:ENST00000262953.11_9:exon9:c.G637A:p.G213R,TLE2:ENST00000426948.6_4:exon9:c.G679A:p.G227R,TLE2:ENST00000590536.5_8:exon9:c.G640A:p.G214R,TLE2:ENST00000591529.5_4:exon10:c.G679A:p.G227R</t>
        </is>
      </c>
      <c r="Q517" t="n">
        <v>0.0029</v>
      </c>
      <c r="R517" t="n">
        <v>0.0019</v>
      </c>
      <c r="S517" t="n">
        <v>0.0036</v>
      </c>
      <c r="T517" t="n">
        <v>-1</v>
      </c>
      <c r="U517" t="n">
        <v>0.0016</v>
      </c>
      <c r="V517" t="inlineStr">
        <is>
          <t>3/11</t>
        </is>
      </c>
      <c r="W517" t="inlineStr">
        <is>
          <t>.</t>
        </is>
      </c>
      <c r="X517" t="inlineStr">
        <is>
          <t>.</t>
        </is>
      </c>
      <c r="Y517" t="inlineStr">
        <is>
          <t>.</t>
        </is>
      </c>
      <c r="Z517" t="inlineStr">
        <is>
          <t>0/7</t>
        </is>
      </c>
      <c r="AA517" t="inlineStr">
        <is>
          <t>Uncertain significance</t>
        </is>
      </c>
      <c r="AB517" t="inlineStr">
        <is>
          <t>.</t>
        </is>
      </c>
      <c r="AC517" t="inlineStr">
        <is>
          <t>0/1</t>
        </is>
      </c>
      <c r="AD517" t="inlineStr">
        <is>
          <t>1</t>
        </is>
      </c>
      <c r="AE517" t="inlineStr">
        <is>
          <t>0.000766444994989725</t>
        </is>
      </c>
      <c r="AF517" t="inlineStr">
        <is>
          <t>transducin like enhancer of split 2</t>
        </is>
      </c>
      <c r="AG517" t="inlineStr">
        <is>
          <t xml:space="preserve">FUNCTION: Transcriptional corepressor that binds to a number of transcription factors. Inhibits the transcriptional activation mediated by CTNNB1 and TCF family members in Wnt signaling. The effects of full-length TLE family members may be modulated by association with dominant-negative AES (By similarity). {ECO:0000250}.; </t>
        </is>
      </c>
      <c r="AH517" t="inlineStr">
        <is>
          <t>.</t>
        </is>
      </c>
      <c r="AI517" t="inlineStr">
        <is>
          <t>.</t>
        </is>
      </c>
      <c r="AJ517" t="inlineStr">
        <is>
          <t>.</t>
        </is>
      </c>
      <c r="AK517" t="inlineStr">
        <is>
          <t>.</t>
        </is>
      </c>
      <c r="AL517" t="inlineStr">
        <is>
          <t>.</t>
        </is>
      </c>
    </row>
    <row r="518">
      <c r="A518" t="inlineStr"/>
      <c r="B518">
        <f>HYPERLINK("https://genome.ucsc.edu/cgi-bin/hgTracks?db=hg19&amp;position=chr19%3A3546159%2D3546159", "chr19:3546159")</f>
        <v/>
      </c>
      <c r="C518" t="inlineStr">
        <is>
          <t>chr19</t>
        </is>
      </c>
      <c r="D518" t="n">
        <v>3546159</v>
      </c>
      <c r="E518" t="n">
        <v>3546159</v>
      </c>
      <c r="F518" t="inlineStr">
        <is>
          <t>C</t>
        </is>
      </c>
      <c r="G518" t="inlineStr">
        <is>
          <t>A</t>
        </is>
      </c>
      <c r="H518" t="inlineStr">
        <is>
          <t>1532.64</t>
        </is>
      </c>
      <c r="I518" t="inlineStr">
        <is>
          <t>95</t>
        </is>
      </c>
      <c r="J518" t="inlineStr">
        <is>
          <t>34,61</t>
        </is>
      </c>
      <c r="K518" t="inlineStr">
        <is>
          <t>.</t>
        </is>
      </c>
      <c r="L518">
        <f>HYPERLINK("https://www.ncbi.nlm.nih.gov/snp/rs765011420", "rs765011420")</f>
        <v/>
      </c>
      <c r="M518">
        <f>HYPERLINK("https://www.genecards.org/Search/Keyword?queryString=%5Baliases%5D(%20MFSD12%20)&amp;keywords=MFSD12", "MFSD12")</f>
        <v/>
      </c>
      <c r="N518" t="inlineStr">
        <is>
          <t>exonic</t>
        </is>
      </c>
      <c r="O518" t="inlineStr">
        <is>
          <t>nonsynonymous SNV</t>
        </is>
      </c>
      <c r="P518" t="inlineStr">
        <is>
          <t>MFSD12:NM_001287529:exon8:c.G1175T:p.G392V,MFSD12:NM_174983:exon8:c.G1202T:p.G401V;MFSD12:uc002lxw.3:exon8:c.G1202T:p.G401V,MFSD12:uc002lxx.3:exon8:c.G1202T:p.G401V,MFSD12:uc002lxy.3:exon8:c.G1175T:p.G392V,MFSD12:uc002lxz.3:exon8:c.G1202T:p.G401V;MFSD12:ENST00000355415.7_5:exon8:c.G1202T:p.G401V,MFSD12:ENST00000389395.7_3:exon8:c.G1175T:p.G392V</t>
        </is>
      </c>
      <c r="Q518" t="n">
        <v>6.482000000000001e-05</v>
      </c>
      <c r="R518" t="n">
        <v>-1</v>
      </c>
      <c r="S518" t="n">
        <v>7.343000000000001e-05</v>
      </c>
      <c r="T518" t="n">
        <v>-1</v>
      </c>
      <c r="U518" t="n">
        <v>-1</v>
      </c>
      <c r="V518" t="inlineStr">
        <is>
          <t>10/12</t>
        </is>
      </c>
      <c r="W518" t="inlineStr">
        <is>
          <t>.</t>
        </is>
      </c>
      <c r="X518" t="inlineStr">
        <is>
          <t>.</t>
        </is>
      </c>
      <c r="Y518" t="inlineStr">
        <is>
          <t>.</t>
        </is>
      </c>
      <c r="Z518" t="inlineStr">
        <is>
          <t>1/7</t>
        </is>
      </c>
      <c r="AA518" t="inlineStr">
        <is>
          <t>Uncertain significance</t>
        </is>
      </c>
      <c r="AB518" t="inlineStr">
        <is>
          <t>.</t>
        </is>
      </c>
      <c r="AC518" t="inlineStr">
        <is>
          <t>0/1</t>
        </is>
      </c>
      <c r="AD518" t="inlineStr">
        <is>
          <t>1</t>
        </is>
      </c>
      <c r="AE518" t="inlineStr">
        <is>
          <t>1.07410212559189e-09</t>
        </is>
      </c>
      <c r="AF518" t="inlineStr">
        <is>
          <t>major facilitator superfamily domain containing 12</t>
        </is>
      </c>
      <c r="AG518" t="inlineStr">
        <is>
          <t>.</t>
        </is>
      </c>
      <c r="AH518" t="inlineStr">
        <is>
          <t>.</t>
        </is>
      </c>
      <c r="AI518" t="inlineStr">
        <is>
          <t>.</t>
        </is>
      </c>
      <c r="AJ518" t="inlineStr">
        <is>
          <t>.</t>
        </is>
      </c>
      <c r="AK518" t="inlineStr">
        <is>
          <t>.</t>
        </is>
      </c>
      <c r="AL518" t="inlineStr">
        <is>
          <t>.</t>
        </is>
      </c>
    </row>
    <row r="519">
      <c r="A519" t="inlineStr"/>
      <c r="B519">
        <f>HYPERLINK("https://genome.ucsc.edu/cgi-bin/hgTracks?db=hg19&amp;position=chr19%3A3908385%2D3908385", "chr19:3908385")</f>
        <v/>
      </c>
      <c r="C519" t="inlineStr">
        <is>
          <t>chr19</t>
        </is>
      </c>
      <c r="D519" t="n">
        <v>3908385</v>
      </c>
      <c r="E519" t="n">
        <v>3908385</v>
      </c>
      <c r="F519" t="inlineStr">
        <is>
          <t>G</t>
        </is>
      </c>
      <c r="G519" t="inlineStr">
        <is>
          <t>A</t>
        </is>
      </c>
      <c r="H519" t="inlineStr">
        <is>
          <t>484.64</t>
        </is>
      </c>
      <c r="I519" t="inlineStr">
        <is>
          <t>66</t>
        </is>
      </c>
      <c r="J519" t="inlineStr">
        <is>
          <t>44,22</t>
        </is>
      </c>
      <c r="K519" t="inlineStr">
        <is>
          <t>.</t>
        </is>
      </c>
      <c r="L519">
        <f>HYPERLINK("https://www.ncbi.nlm.nih.gov/snp/rs186430171", "rs186430171")</f>
        <v/>
      </c>
      <c r="M519">
        <f>HYPERLINK("https://www.genecards.org/Search/Keyword?queryString=%5Baliases%5D(%20ATCAY%20)%20OR%20%5Baliases%5D(%20MIR1268A%20)&amp;keywords=ATCAY,MIR1268A", "ATCAY;MIR1268A")</f>
        <v/>
      </c>
      <c r="N519" t="inlineStr">
        <is>
          <t>intronic;ncRNA_intronic</t>
        </is>
      </c>
      <c r="O519" t="inlineStr">
        <is>
          <t>.</t>
        </is>
      </c>
      <c r="P519" t="inlineStr">
        <is>
          <t>.</t>
        </is>
      </c>
      <c r="Q519" t="n">
        <v>0.0098</v>
      </c>
      <c r="R519" t="n">
        <v>0.008500000000000001</v>
      </c>
      <c r="S519" t="n">
        <v>0.01</v>
      </c>
      <c r="T519" t="n">
        <v>-1</v>
      </c>
      <c r="U519" t="n">
        <v>0.0122</v>
      </c>
      <c r="V519" t="inlineStr">
        <is>
          <t>.</t>
        </is>
      </c>
      <c r="W519" t="inlineStr">
        <is>
          <t>.</t>
        </is>
      </c>
      <c r="X519" t="inlineStr">
        <is>
          <t>D</t>
        </is>
      </c>
      <c r="Y519" t="inlineStr">
        <is>
          <t>off</t>
        </is>
      </c>
      <c r="Z519" t="inlineStr">
        <is>
          <t>.</t>
        </is>
      </c>
      <c r="AA519" t="inlineStr">
        <is>
          <t>.</t>
        </is>
      </c>
      <c r="AB519" t="inlineStr">
        <is>
          <t>.</t>
        </is>
      </c>
      <c r="AC519" t="inlineStr">
        <is>
          <t>0/1</t>
        </is>
      </c>
      <c r="AD519" t="inlineStr">
        <is>
          <t>2;6</t>
        </is>
      </c>
      <c r="AE519" t="inlineStr">
        <is>
          <t>0.0874733261874534</t>
        </is>
      </c>
      <c r="AF519" t="inlineStr">
        <is>
          <t>ataxia, cerebellar, Cayman type;microRNA 1268a</t>
        </is>
      </c>
      <c r="AG519" t="inlineStr">
        <is>
          <t xml:space="preserve">FUNCTION: Functions in the development of neural tissues, particularly the postnatal maturation of the cerebellar cortex. May play a role in neurotransmission through regulation of glutaminase/GLS, an enzyme responsible for the production in neurons of the glutamate neurotransmitter. Alternatively, may regulate the localization of mitochondria within axons and dendrites. {ECO:0000269|PubMed:16899818}.; </t>
        </is>
      </c>
      <c r="AH519" t="inlineStr">
        <is>
          <t xml:space="preserve">DISEASE: Cerebellar ataxia, cayman type (ATCAY) [MIM:601238]: Found in a population isolate on Grand Cayman Island and causes a marked psychomotor retardation and prominent nonprogressive cerebellar dysfunction including nystagmus, intention tremor, dysarthria, and wide-based ataxic gait. Hypotonia is present from early childhood. {ECO:0000269|PubMed:14556008}. Note=The disease is caused by mutations affecting the gene represented in this entry.; </t>
        </is>
      </c>
      <c r="AI519" t="inlineStr">
        <is>
          <t>.</t>
        </is>
      </c>
      <c r="AJ519" t="inlineStr">
        <is>
          <t>.</t>
        </is>
      </c>
      <c r="AK519" t="inlineStr">
        <is>
          <t>.</t>
        </is>
      </c>
      <c r="AL519" t="inlineStr">
        <is>
          <t>.</t>
        </is>
      </c>
    </row>
    <row r="520">
      <c r="A520" t="inlineStr"/>
      <c r="B520">
        <f>HYPERLINK("https://genome.ucsc.edu/cgi-bin/hgTracks?db=hg19&amp;position=chr19%3A3911051%2D3911051", "chr19:3911051")</f>
        <v/>
      </c>
      <c r="C520" t="inlineStr">
        <is>
          <t>chr19</t>
        </is>
      </c>
      <c r="D520" t="n">
        <v>3911051</v>
      </c>
      <c r="E520" t="n">
        <v>3911051</v>
      </c>
      <c r="F520" t="inlineStr">
        <is>
          <t>T</t>
        </is>
      </c>
      <c r="G520" t="inlineStr">
        <is>
          <t>-</t>
        </is>
      </c>
      <c r="H520" t="inlineStr">
        <is>
          <t>46.60</t>
        </is>
      </c>
      <c r="I520" t="inlineStr">
        <is>
          <t>9</t>
        </is>
      </c>
      <c r="J520" t="inlineStr">
        <is>
          <t>7,2</t>
        </is>
      </c>
      <c r="K520" t="inlineStr">
        <is>
          <t>.</t>
        </is>
      </c>
      <c r="L520" t="inlineStr">
        <is>
          <t>.</t>
        </is>
      </c>
      <c r="M520">
        <f>HYPERLINK("https://www.genecards.org/Search/Keyword?queryString=%5Baliases%5D(%20ATCAY%20)%20OR%20%5Baliases%5D(%20MIR1268A%20)&amp;keywords=ATCAY,MIR1268A", "ATCAY;MIR1268A")</f>
        <v/>
      </c>
      <c r="N520" t="inlineStr">
        <is>
          <t>intronic;ncRNA_intronic</t>
        </is>
      </c>
      <c r="O520" t="inlineStr">
        <is>
          <t>.</t>
        </is>
      </c>
      <c r="P520" t="inlineStr">
        <is>
          <t>.</t>
        </is>
      </c>
      <c r="Q520" t="n">
        <v>-1</v>
      </c>
      <c r="R520" t="n">
        <v>-1</v>
      </c>
      <c r="S520" t="n">
        <v>-1</v>
      </c>
      <c r="T520" t="n">
        <v>-1</v>
      </c>
      <c r="U520" t="n">
        <v>-1</v>
      </c>
      <c r="V520" t="inlineStr">
        <is>
          <t>.</t>
        </is>
      </c>
      <c r="W520" t="inlineStr">
        <is>
          <t>.</t>
        </is>
      </c>
      <c r="X520" t="inlineStr">
        <is>
          <t>.</t>
        </is>
      </c>
      <c r="Y520" t="inlineStr">
        <is>
          <t>.</t>
        </is>
      </c>
      <c r="Z520" t="inlineStr">
        <is>
          <t>.</t>
        </is>
      </c>
      <c r="AA520" t="inlineStr">
        <is>
          <t>.</t>
        </is>
      </c>
      <c r="AB520" t="inlineStr">
        <is>
          <t>.</t>
        </is>
      </c>
      <c r="AC520" t="inlineStr">
        <is>
          <t>0/1</t>
        </is>
      </c>
      <c r="AD520" t="inlineStr">
        <is>
          <t>2;6</t>
        </is>
      </c>
      <c r="AE520" t="inlineStr">
        <is>
          <t>0.0874733261874534</t>
        </is>
      </c>
      <c r="AF520" t="inlineStr">
        <is>
          <t>ataxia, cerebellar, Cayman type;microRNA 1268a</t>
        </is>
      </c>
      <c r="AG520" t="inlineStr">
        <is>
          <t xml:space="preserve">FUNCTION: Functions in the development of neural tissues, particularly the postnatal maturation of the cerebellar cortex. May play a role in neurotransmission through regulation of glutaminase/GLS, an enzyme responsible for the production in neurons of the glutamate neurotransmitter. Alternatively, may regulate the localization of mitochondria within axons and dendrites. {ECO:0000269|PubMed:16899818}.; </t>
        </is>
      </c>
      <c r="AH520" t="inlineStr">
        <is>
          <t xml:space="preserve">DISEASE: Cerebellar ataxia, cayman type (ATCAY) [MIM:601238]: Found in a population isolate on Grand Cayman Island and causes a marked psychomotor retardation and prominent nonprogressive cerebellar dysfunction including nystagmus, intention tremor, dysarthria, and wide-based ataxic gait. Hypotonia is present from early childhood. {ECO:0000269|PubMed:14556008}. Note=The disease is caused by mutations affecting the gene represented in this entry.; </t>
        </is>
      </c>
      <c r="AI520" t="inlineStr">
        <is>
          <t>.</t>
        </is>
      </c>
      <c r="AJ520" t="inlineStr">
        <is>
          <t>.</t>
        </is>
      </c>
      <c r="AK520" t="inlineStr">
        <is>
          <t>.</t>
        </is>
      </c>
      <c r="AL520" t="inlineStr">
        <is>
          <t>.</t>
        </is>
      </c>
    </row>
    <row r="521">
      <c r="A521" t="inlineStr"/>
      <c r="B521">
        <f>HYPERLINK("https://genome.ucsc.edu/cgi-bin/hgTracks?db=hg19&amp;position=chr19%3A3964576%2D3964576", "chr19:3964576")</f>
        <v/>
      </c>
      <c r="C521" t="inlineStr">
        <is>
          <t>chr19</t>
        </is>
      </c>
      <c r="D521" t="n">
        <v>3964576</v>
      </c>
      <c r="E521" t="n">
        <v>3964576</v>
      </c>
      <c r="F521" t="inlineStr">
        <is>
          <t>A</t>
        </is>
      </c>
      <c r="G521" t="inlineStr">
        <is>
          <t>C</t>
        </is>
      </c>
      <c r="H521" t="inlineStr">
        <is>
          <t>65.64</t>
        </is>
      </c>
      <c r="I521" t="inlineStr">
        <is>
          <t>25</t>
        </is>
      </c>
      <c r="J521" t="inlineStr">
        <is>
          <t>21,4</t>
        </is>
      </c>
      <c r="K521" t="inlineStr">
        <is>
          <t>.</t>
        </is>
      </c>
      <c r="L521" t="inlineStr">
        <is>
          <t>.</t>
        </is>
      </c>
      <c r="M521">
        <f>HYPERLINK("https://www.genecards.org/Search/Keyword?queryString=%5Baliases%5D(%20DAPK3%20)%20OR%20%5Baliases%5D(%20MIR1268A%20)&amp;keywords=DAPK3,MIR1268A", "DAPK3;MIR1268A")</f>
        <v/>
      </c>
      <c r="N521" t="inlineStr">
        <is>
          <t>intronic;ncRNA_intronic</t>
        </is>
      </c>
      <c r="O521" t="inlineStr">
        <is>
          <t>.</t>
        </is>
      </c>
      <c r="P521" t="inlineStr">
        <is>
          <t>.</t>
        </is>
      </c>
      <c r="Q521" t="n">
        <v>0.0003</v>
      </c>
      <c r="R521" t="n">
        <v>0.0003</v>
      </c>
      <c r="S521" t="n">
        <v>0.0003</v>
      </c>
      <c r="T521" t="n">
        <v>-1</v>
      </c>
      <c r="U521" t="n">
        <v>0.0007</v>
      </c>
      <c r="V521" t="inlineStr">
        <is>
          <t>.</t>
        </is>
      </c>
      <c r="W521" t="inlineStr">
        <is>
          <t>.</t>
        </is>
      </c>
      <c r="X521" t="inlineStr">
        <is>
          <t>D</t>
        </is>
      </c>
      <c r="Y521" t="inlineStr">
        <is>
          <t>off</t>
        </is>
      </c>
      <c r="Z521" t="inlineStr">
        <is>
          <t>.</t>
        </is>
      </c>
      <c r="AA521" t="inlineStr">
        <is>
          <t>.</t>
        </is>
      </c>
      <c r="AB521" t="inlineStr">
        <is>
          <t>.</t>
        </is>
      </c>
      <c r="AC521" t="inlineStr">
        <is>
          <t>.</t>
        </is>
      </c>
      <c r="AD521" t="inlineStr">
        <is>
          <t>1;6</t>
        </is>
      </c>
      <c r="AE521" t="inlineStr">
        <is>
          <t>0.0611344951968641</t>
        </is>
      </c>
      <c r="AF521" t="inlineStr">
        <is>
          <t>death-associated protein kinase 3;microRNA 1268a</t>
        </is>
      </c>
      <c r="AG521" t="inlineStr">
        <is>
          <t xml:space="preserve">FUNCTION: Serine/threonine kinase which is involved in the regulation of apoptosis, autophagy, transcription, translation and actin cytoskeleton reorganization. Involved in the regulation of smooth muscle contraction. Regulates both type I (caspase- dependent) apoptotic and type II (caspase-independent) autophagic cell deaths signal, depending on the cellular setting. Involved in regulation of starvation-induced autophagy. Regulates myosin phosphorylation in both smooth muscle and non-muscle cells. In smooth muscle, regulates myosin either directly by phosphorylating MYL12B and MYL9 or through inhibition of smooth muscle myosin phosphatase (SMPP1M) via phosphorylation of PPP1R12A; the inhibition of SMPP1M functions to enhance muscle responsiveness to Ca(2+) and promote a contractile state. Phosphorylates MYL12B in non-muscle cells leading to reorganization of actin cytoskeleton. Isoform 2 can phosphorylate myosin, PPP1R12A and MYL12B. Overexpression leads to condensation of actin stress fibers into thick bundles. Involved in actin filament focal adhesion dynamics. The function in both reorganization of actin cytoskeleton and focal adhesion dissolution is modulated by RhoD. Positively regulates canonical Wnt/beta-catenin signaling through interaction with NLK and TCF7L2. Phosphorylates RPL13A on 'Ser-77' upon interferon-gamma activation which is causing RPL13A release from the ribosome, RPL13A association with the GAIT complex and its subsequent involvement in transcript-selective translation inhibition. Enhances transcription from AR-responsive promoters in a hormone- and kinase-dependent manner. Involved in regulation of cell cycle progression and cell proliferation. May be a tumor suppressor. {ECO:0000269|PubMed:10356987, ECO:0000269|PubMed:11384979, ECO:0000269|PubMed:11781833, ECO:0000269|PubMed:12917339, ECO:0000269|PubMed:15096528, ECO:0000269|PubMed:15367680, ECO:0000269|PubMed:16219639, ECO:0000269|PubMed:17126281, ECO:0000269|PubMed:17158456, ECO:0000269|PubMed:18084323, ECO:0000269|PubMed:18995835, ECO:0000269|PubMed:21169990, ECO:0000269|PubMed:21408167, ECO:0000269|PubMed:21454679, ECO:0000269|PubMed:21487036, ECO:0000269|PubMed:23454120}.; </t>
        </is>
      </c>
      <c r="AH521" t="inlineStr">
        <is>
          <t>.</t>
        </is>
      </c>
      <c r="AI521" t="inlineStr">
        <is>
          <t>.</t>
        </is>
      </c>
      <c r="AJ521" t="inlineStr">
        <is>
          <t>.</t>
        </is>
      </c>
      <c r="AK521" t="inlineStr">
        <is>
          <t>.</t>
        </is>
      </c>
      <c r="AL521" t="inlineStr">
        <is>
          <t>.</t>
        </is>
      </c>
    </row>
    <row r="522">
      <c r="A522" t="inlineStr"/>
      <c r="B522">
        <f>HYPERLINK("https://genome.ucsc.edu/cgi-bin/hgTracks?db=hg19&amp;position=chr19%3A4054509%2D4054509", "chr19:4054509")</f>
        <v/>
      </c>
      <c r="C522" t="inlineStr">
        <is>
          <t>chr19</t>
        </is>
      </c>
      <c r="D522" t="n">
        <v>4054509</v>
      </c>
      <c r="E522" t="n">
        <v>4054509</v>
      </c>
      <c r="F522" t="inlineStr">
        <is>
          <t>G</t>
        </is>
      </c>
      <c r="G522" t="inlineStr">
        <is>
          <t>A</t>
        </is>
      </c>
      <c r="H522" t="inlineStr">
        <is>
          <t>1062.64</t>
        </is>
      </c>
      <c r="I522" t="inlineStr">
        <is>
          <t>62</t>
        </is>
      </c>
      <c r="J522" t="inlineStr">
        <is>
          <t>19,43</t>
        </is>
      </c>
      <c r="K522" t="inlineStr">
        <is>
          <t>.</t>
        </is>
      </c>
      <c r="L522">
        <f>HYPERLINK("https://www.ncbi.nlm.nih.gov/snp/rs538445777", "rs538445777")</f>
        <v/>
      </c>
      <c r="M522">
        <f>HYPERLINK("https://www.genecards.org/Search/Keyword?queryString=%5Baliases%5D(%20ZBTB7A%20)&amp;keywords=ZBTB7A", "ZBTB7A")</f>
        <v/>
      </c>
      <c r="N522" t="inlineStr">
        <is>
          <t>exonic</t>
        </is>
      </c>
      <c r="O522" t="inlineStr">
        <is>
          <t>nonsynonymous SNV</t>
        </is>
      </c>
      <c r="P522" t="inlineStr">
        <is>
          <t>ZBTB7A:NM_001317990:exon2:c.C722T:p.P241L,ZBTB7A:NM_015898:exon2:c.C722T:p.P241L;ZBTB7A:uc002lzh.3:exon2:c.C722T:p.P241L,ZBTB7A:uc002lzi.3:exon2:c.C722T:p.P241L;ZBTB7A:ENST00000322357.9_5:exon2:c.C722T:p.P241L,ZBTB7A:ENST00000601588.1_3:exon2:c.C722T:p.P241L</t>
        </is>
      </c>
      <c r="Q522" t="n">
        <v>0.001</v>
      </c>
      <c r="R522" t="n">
        <v>0.001</v>
      </c>
      <c r="S522" t="n">
        <v>0.001</v>
      </c>
      <c r="T522" t="n">
        <v>-1</v>
      </c>
      <c r="U522" t="n">
        <v>0.0002</v>
      </c>
      <c r="V522" t="inlineStr">
        <is>
          <t>3/9</t>
        </is>
      </c>
      <c r="W522" t="inlineStr">
        <is>
          <t>.</t>
        </is>
      </c>
      <c r="X522" t="inlineStr">
        <is>
          <t>.</t>
        </is>
      </c>
      <c r="Y522" t="inlineStr">
        <is>
          <t>.</t>
        </is>
      </c>
      <c r="Z522" t="inlineStr">
        <is>
          <t>0/7</t>
        </is>
      </c>
      <c r="AA522" t="inlineStr">
        <is>
          <t>Uncertain significance</t>
        </is>
      </c>
      <c r="AB522" t="inlineStr">
        <is>
          <t>.</t>
        </is>
      </c>
      <c r="AC522" t="inlineStr">
        <is>
          <t>0/1</t>
        </is>
      </c>
      <c r="AD522" t="inlineStr">
        <is>
          <t>1</t>
        </is>
      </c>
      <c r="AE522" t="inlineStr">
        <is>
          <t>.</t>
        </is>
      </c>
      <c r="AF522" t="inlineStr">
        <is>
          <t>zinc finger and BTB domain containing 7A</t>
        </is>
      </c>
      <c r="AG522" t="inlineStr">
        <is>
          <t xml:space="preserve">FUNCTION: Plays a key role in the instruction of early lymphoid progenitors to develop into B lineage by repressing T-cell instructive Notch signals (By similarity). Specifically represses the transcription of the CDKN2A gene. Efficiently abrogates E2F1- dependent CDKN2A transactivation/de-repression. Binds to the consensus sequence 5'-[GA][CA]GACCCCCCCCC-3' (By similarity). {ECO:0000250}.; </t>
        </is>
      </c>
      <c r="AH522" t="inlineStr">
        <is>
          <t>.</t>
        </is>
      </c>
      <c r="AI522" t="inlineStr">
        <is>
          <t>.</t>
        </is>
      </c>
      <c r="AJ522" t="inlineStr">
        <is>
          <t>.</t>
        </is>
      </c>
      <c r="AK522" t="inlineStr">
        <is>
          <t>.</t>
        </is>
      </c>
      <c r="AL522" t="inlineStr">
        <is>
          <t>.</t>
        </is>
      </c>
    </row>
    <row r="523">
      <c r="A523" t="inlineStr"/>
      <c r="B523">
        <f>HYPERLINK("https://genome.ucsc.edu/cgi-bin/hgTracks?db=hg19&amp;position=chr19%3A4224151%2D4224151", "chr19:4224151")</f>
        <v/>
      </c>
      <c r="C523" t="inlineStr">
        <is>
          <t>chr19</t>
        </is>
      </c>
      <c r="D523" t="n">
        <v>4224151</v>
      </c>
      <c r="E523" t="n">
        <v>4224151</v>
      </c>
      <c r="F523" t="inlineStr">
        <is>
          <t>G</t>
        </is>
      </c>
      <c r="G523" t="inlineStr">
        <is>
          <t>A</t>
        </is>
      </c>
      <c r="H523" t="inlineStr">
        <is>
          <t>459.64</t>
        </is>
      </c>
      <c r="I523" t="inlineStr">
        <is>
          <t>152</t>
        </is>
      </c>
      <c r="J523" t="inlineStr">
        <is>
          <t>120,32</t>
        </is>
      </c>
      <c r="K523" t="inlineStr">
        <is>
          <t>.</t>
        </is>
      </c>
      <c r="L523" t="inlineStr">
        <is>
          <t>.</t>
        </is>
      </c>
      <c r="M523">
        <f>HYPERLINK("https://www.genecards.org/Search/Keyword?queryString=%5Baliases%5D(%20ANKRD24%20)&amp;keywords=ANKRD24", "ANKRD24")</f>
        <v/>
      </c>
      <c r="N523" t="inlineStr">
        <is>
          <t>exonic</t>
        </is>
      </c>
      <c r="O523" t="inlineStr">
        <is>
          <t>nonsynonymous SNV</t>
        </is>
      </c>
      <c r="P523" t="inlineStr">
        <is>
          <t>ANKRD24:NM_133475:exon21:c.G3325A:p.V1109M;ANKRD24:uc010dtt.1:exon21:c.G3325A:p.V1109M;ANKRD24:ENST00000262970.9_4:exon19:c.G3595A:p.V1199M,ANKRD24:ENST00000318934.9_3:exon21:c.G3325A:p.V1109M,ANKRD24:ENST00000600132.5_2:exon21:c.G3325A:p.V1109M</t>
        </is>
      </c>
      <c r="Q523" t="n">
        <v>-1</v>
      </c>
      <c r="R523" t="n">
        <v>-1</v>
      </c>
      <c r="S523" t="n">
        <v>-1</v>
      </c>
      <c r="T523" t="n">
        <v>-1</v>
      </c>
      <c r="U523" t="n">
        <v>-1</v>
      </c>
      <c r="V523" t="inlineStr">
        <is>
          <t>5/11</t>
        </is>
      </c>
      <c r="W523" t="inlineStr">
        <is>
          <t>.</t>
        </is>
      </c>
      <c r="X523" t="inlineStr">
        <is>
          <t>.</t>
        </is>
      </c>
      <c r="Y523" t="inlineStr">
        <is>
          <t>.</t>
        </is>
      </c>
      <c r="Z523" t="inlineStr">
        <is>
          <t>2/7</t>
        </is>
      </c>
      <c r="AA523" t="inlineStr">
        <is>
          <t>Uncertain significance</t>
        </is>
      </c>
      <c r="AB523" t="inlineStr">
        <is>
          <t>.</t>
        </is>
      </c>
      <c r="AC523" t="inlineStr">
        <is>
          <t>0/1</t>
        </is>
      </c>
      <c r="AD523" t="inlineStr">
        <is>
          <t>1</t>
        </is>
      </c>
      <c r="AE523" t="inlineStr">
        <is>
          <t>1.87439154445724e-06</t>
        </is>
      </c>
      <c r="AF523" t="inlineStr">
        <is>
          <t>ankyrin repeat domain 24</t>
        </is>
      </c>
      <c r="AG523" t="inlineStr">
        <is>
          <t>.</t>
        </is>
      </c>
      <c r="AH523" t="inlineStr">
        <is>
          <t>.</t>
        </is>
      </c>
      <c r="AI523" t="inlineStr">
        <is>
          <t>.</t>
        </is>
      </c>
      <c r="AJ523" t="inlineStr">
        <is>
          <t>.</t>
        </is>
      </c>
      <c r="AK523" t="inlineStr">
        <is>
          <t>.</t>
        </is>
      </c>
      <c r="AL523" t="inlineStr">
        <is>
          <t>.</t>
        </is>
      </c>
    </row>
    <row r="524">
      <c r="A524" t="inlineStr"/>
      <c r="B524">
        <f>HYPERLINK("https://genome.ucsc.edu/cgi-bin/hgTracks?db=hg19&amp;position=chr19%3A6417885%2D6417885", "chr19:6417885")</f>
        <v/>
      </c>
      <c r="C524" t="inlineStr">
        <is>
          <t>chr19</t>
        </is>
      </c>
      <c r="D524" t="n">
        <v>6417885</v>
      </c>
      <c r="E524" t="n">
        <v>6417885</v>
      </c>
      <c r="F524" t="inlineStr">
        <is>
          <t>C</t>
        </is>
      </c>
      <c r="G524" t="inlineStr">
        <is>
          <t>T</t>
        </is>
      </c>
      <c r="H524" t="inlineStr">
        <is>
          <t>270.64</t>
        </is>
      </c>
      <c r="I524" t="inlineStr">
        <is>
          <t>45</t>
        </is>
      </c>
      <c r="J524" t="inlineStr">
        <is>
          <t>33,12</t>
        </is>
      </c>
      <c r="K524" t="inlineStr">
        <is>
          <t>.</t>
        </is>
      </c>
      <c r="L524">
        <f>HYPERLINK("https://www.ncbi.nlm.nih.gov/snp/rs372710717", "rs372710717")</f>
        <v/>
      </c>
      <c r="M524">
        <f>HYPERLINK("https://www.genecards.org/Search/Keyword?queryString=%5Baliases%5D(%20KHSRP%20)&amp;keywords=KHSRP", "KHSRP")</f>
        <v/>
      </c>
      <c r="N524" t="inlineStr">
        <is>
          <t>intronic</t>
        </is>
      </c>
      <c r="O524" t="inlineStr">
        <is>
          <t>.</t>
        </is>
      </c>
      <c r="P524" t="inlineStr">
        <is>
          <t>.</t>
        </is>
      </c>
      <c r="Q524" t="n">
        <v>0.0004</v>
      </c>
      <c r="R524" t="n">
        <v>9.027e-05</v>
      </c>
      <c r="S524" t="n">
        <v>0.0004</v>
      </c>
      <c r="T524" t="n">
        <v>-1</v>
      </c>
      <c r="U524" t="n">
        <v>-1</v>
      </c>
      <c r="V524" t="inlineStr">
        <is>
          <t>.</t>
        </is>
      </c>
      <c r="W524" t="inlineStr">
        <is>
          <t>.</t>
        </is>
      </c>
      <c r="X524" t="inlineStr">
        <is>
          <t>D</t>
        </is>
      </c>
      <c r="Y524" t="inlineStr">
        <is>
          <t>off</t>
        </is>
      </c>
      <c r="Z524" t="inlineStr">
        <is>
          <t>.</t>
        </is>
      </c>
      <c r="AA524" t="inlineStr">
        <is>
          <t>.</t>
        </is>
      </c>
      <c r="AB524" t="inlineStr">
        <is>
          <t>.</t>
        </is>
      </c>
      <c r="AC524" t="inlineStr">
        <is>
          <t>0/1</t>
        </is>
      </c>
      <c r="AD524" t="inlineStr">
        <is>
          <t>1</t>
        </is>
      </c>
      <c r="AE524" t="inlineStr">
        <is>
          <t>0.99971122153684</t>
        </is>
      </c>
      <c r="AF524" t="inlineStr">
        <is>
          <t>KH-type splicing regulatory protein</t>
        </is>
      </c>
      <c r="AG524" t="inlineStr">
        <is>
          <t xml:space="preserve">FUNCTION: Binds to the dendritic targeting element and may play a role in mRNA trafficking (By similarity). Part of a ternary complex that binds to the downstream control sequence (DCS) of the pre-mRNA. Mediates exon inclusion in transcripts that are subject to tissue-specific alternative splicing. May interact with single- stranded DNA from the far-upstream element (FUSE). May activate gene expression. Also involved in degradation of inherently unstable mRNAs that contain AU-rich elements (AREs) in their 3'- UTR, possibly by recruiting degradation machinery to ARE- containing mRNAs. {ECO:0000250, ECO:0000269|PubMed:11003644, ECO:0000269|PubMed:8940189, ECO:0000269|PubMed:9136930}.; </t>
        </is>
      </c>
      <c r="AH524" t="inlineStr">
        <is>
          <t>.</t>
        </is>
      </c>
      <c r="AI524" t="inlineStr">
        <is>
          <t>.</t>
        </is>
      </c>
      <c r="AJ524" t="inlineStr">
        <is>
          <t>.</t>
        </is>
      </c>
      <c r="AK524" t="inlineStr">
        <is>
          <t>.</t>
        </is>
      </c>
      <c r="AL524" t="inlineStr">
        <is>
          <t>.</t>
        </is>
      </c>
    </row>
    <row r="525">
      <c r="A525" t="inlineStr"/>
      <c r="B525">
        <f>HYPERLINK("https://genome.ucsc.edu/cgi-bin/hgTracks?db=hg19&amp;position=chr19%3A7542128%2D7542128", "chr19:7542128")</f>
        <v/>
      </c>
      <c r="C525" t="inlineStr">
        <is>
          <t>chr19</t>
        </is>
      </c>
      <c r="D525" t="n">
        <v>7542128</v>
      </c>
      <c r="E525" t="n">
        <v>7542128</v>
      </c>
      <c r="F525" t="inlineStr">
        <is>
          <t>G</t>
        </is>
      </c>
      <c r="G525" t="inlineStr">
        <is>
          <t>A</t>
        </is>
      </c>
      <c r="H525" t="inlineStr">
        <is>
          <t>1555.64</t>
        </is>
      </c>
      <c r="I525" t="inlineStr">
        <is>
          <t>97</t>
        </is>
      </c>
      <c r="J525" t="inlineStr">
        <is>
          <t>35,62</t>
        </is>
      </c>
      <c r="K525" t="inlineStr">
        <is>
          <t>.</t>
        </is>
      </c>
      <c r="L525">
        <f>HYPERLINK("https://www.ncbi.nlm.nih.gov/snp/rs376621423", "rs376621423")</f>
        <v/>
      </c>
      <c r="M525">
        <f>HYPERLINK("https://www.genecards.org/Search/Keyword?queryString=%5Baliases%5D(%20PEX11G%20)&amp;keywords=PEX11G", "PEX11G")</f>
        <v/>
      </c>
      <c r="N525" t="inlineStr">
        <is>
          <t>exonic</t>
        </is>
      </c>
      <c r="O525" t="inlineStr">
        <is>
          <t>nonsynonymous SNV</t>
        </is>
      </c>
      <c r="P525" t="inlineStr">
        <is>
          <t>PEX11G:NM_001270539:exon5:c.C503T:p.A168V,PEX11G:NM_001300881:exon5:c.C476T:p.A159V,PEX11G:NM_080662:exon5:c.C686T:p.A229V;PEX11G:uc002mgk.2:exon5:c.C686T:p.A229V,PEX11G:uc002mgl.2:exon5:c.C476T:p.A159V,PEX11G:uc031rjc.1:exon5:c.C503T:p.A168V;PEX11G:ENST00000221480.6_5:exon5:c.C686T:p.A229V,PEX11G:ENST00000593942.5_3:exon7:c.C476T:p.A159V</t>
        </is>
      </c>
      <c r="Q525" t="n">
        <v>0.008772</v>
      </c>
      <c r="R525" t="n">
        <v>0.0002</v>
      </c>
      <c r="S525" t="n">
        <v>0.0003</v>
      </c>
      <c r="T525" t="n">
        <v>-1</v>
      </c>
      <c r="U525" t="n">
        <v>-1</v>
      </c>
      <c r="V525" t="inlineStr">
        <is>
          <t>4/11</t>
        </is>
      </c>
      <c r="W525" t="inlineStr">
        <is>
          <t>.</t>
        </is>
      </c>
      <c r="X525" t="inlineStr">
        <is>
          <t>.</t>
        </is>
      </c>
      <c r="Y525" t="inlineStr">
        <is>
          <t>.</t>
        </is>
      </c>
      <c r="Z525" t="inlineStr">
        <is>
          <t>1/7</t>
        </is>
      </c>
      <c r="AA525" t="inlineStr">
        <is>
          <t>Uncertain significance</t>
        </is>
      </c>
      <c r="AB525" t="inlineStr">
        <is>
          <t>.</t>
        </is>
      </c>
      <c r="AC525" t="inlineStr">
        <is>
          <t>0/1</t>
        </is>
      </c>
      <c r="AD525" t="inlineStr">
        <is>
          <t>1</t>
        </is>
      </c>
      <c r="AE525" t="inlineStr">
        <is>
          <t>0.000252773182205477</t>
        </is>
      </c>
      <c r="AF525" t="inlineStr">
        <is>
          <t>peroxisomal biogenesis factor 11 gamma</t>
        </is>
      </c>
      <c r="AG525" t="inlineStr">
        <is>
          <t xml:space="preserve">FUNCTION: Promotes membrane protrusion and elongation on the peroxisomal surface. {ECO:0000269|PubMed:20826455}.; </t>
        </is>
      </c>
      <c r="AH525" t="inlineStr">
        <is>
          <t>.</t>
        </is>
      </c>
      <c r="AI525" t="inlineStr">
        <is>
          <t>.</t>
        </is>
      </c>
      <c r="AJ525" t="inlineStr">
        <is>
          <t>.</t>
        </is>
      </c>
      <c r="AK525" t="inlineStr">
        <is>
          <t>.</t>
        </is>
      </c>
      <c r="AL525" t="inlineStr">
        <is>
          <t>.</t>
        </is>
      </c>
    </row>
    <row r="526">
      <c r="A526" t="inlineStr"/>
      <c r="B526">
        <f>HYPERLINK("https://genome.ucsc.edu/cgi-bin/hgTracks?db=hg19&amp;position=chr19%3A7696691%2D7696691", "chr19:7696691")</f>
        <v/>
      </c>
      <c r="C526" t="inlineStr">
        <is>
          <t>chr19</t>
        </is>
      </c>
      <c r="D526" t="n">
        <v>7696691</v>
      </c>
      <c r="E526" t="n">
        <v>7696691</v>
      </c>
      <c r="F526" t="inlineStr">
        <is>
          <t>C</t>
        </is>
      </c>
      <c r="G526" t="inlineStr">
        <is>
          <t>T</t>
        </is>
      </c>
      <c r="H526" t="inlineStr">
        <is>
          <t>548.64</t>
        </is>
      </c>
      <c r="I526" t="inlineStr">
        <is>
          <t>94</t>
        </is>
      </c>
      <c r="J526" t="inlineStr">
        <is>
          <t>67,27</t>
        </is>
      </c>
      <c r="K526" t="inlineStr">
        <is>
          <t>.</t>
        </is>
      </c>
      <c r="L526">
        <f>HYPERLINK("https://www.ncbi.nlm.nih.gov/snp/rs146240104", "rs146240104")</f>
        <v/>
      </c>
      <c r="M526">
        <f>HYPERLINK("https://www.genecards.org/Search/Keyword?queryString=%5Baliases%5D(%20PCP2%20)&amp;keywords=PCP2", "PCP2")</f>
        <v/>
      </c>
      <c r="N526" t="inlineStr">
        <is>
          <t>exonic</t>
        </is>
      </c>
      <c r="O526" t="inlineStr">
        <is>
          <t>nonsynonymous SNV</t>
        </is>
      </c>
      <c r="P526" t="inlineStr">
        <is>
          <t>PCP2:NM_001271830:exon4:c.G247A:p.G83R,PCP2:NM_174895:exon4:c.G295A:p.G99R;PCP2:uc002mgz.4:exon4:c.G295A:p.G99R,PCP2:uc031rjd.1:exon4:c.G247A:p.G83R;PCP2:ENST00000311069.6_9:exon4:c.G295A:p.G99R,PCP2:ENST00000598935.5_5:exon4:c.G247A:p.G83R</t>
        </is>
      </c>
      <c r="Q526" t="n">
        <v>0.003</v>
      </c>
      <c r="R526" t="n">
        <v>0.002</v>
      </c>
      <c r="S526" t="n">
        <v>0.0027</v>
      </c>
      <c r="T526" t="n">
        <v>-1</v>
      </c>
      <c r="U526" t="n">
        <v>0.0009</v>
      </c>
      <c r="V526" t="inlineStr">
        <is>
          <t>3/10</t>
        </is>
      </c>
      <c r="W526" t="inlineStr">
        <is>
          <t>.</t>
        </is>
      </c>
      <c r="X526" t="inlineStr">
        <is>
          <t>.</t>
        </is>
      </c>
      <c r="Y526" t="inlineStr">
        <is>
          <t>.</t>
        </is>
      </c>
      <c r="Z526" t="inlineStr">
        <is>
          <t>0/7</t>
        </is>
      </c>
      <c r="AA526" t="inlineStr">
        <is>
          <t>Uncertain significance</t>
        </is>
      </c>
      <c r="AB526" t="inlineStr">
        <is>
          <t>.</t>
        </is>
      </c>
      <c r="AC526" t="inlineStr">
        <is>
          <t>0/1</t>
        </is>
      </c>
      <c r="AD526" t="inlineStr">
        <is>
          <t>1</t>
        </is>
      </c>
      <c r="AE526" t="inlineStr">
        <is>
          <t>1.2765672414005e-05</t>
        </is>
      </c>
      <c r="AF526" t="inlineStr">
        <is>
          <t>Purkinje cell protein 2</t>
        </is>
      </c>
      <c r="AG526" t="inlineStr">
        <is>
          <t xml:space="preserve">FUNCTION: May function as a cell-type specific modulator for G protein-mediated cell signaling. {ECO:0000250}.; </t>
        </is>
      </c>
      <c r="AH526" t="inlineStr">
        <is>
          <t>.</t>
        </is>
      </c>
      <c r="AI526" t="inlineStr">
        <is>
          <t>.</t>
        </is>
      </c>
      <c r="AJ526" t="inlineStr">
        <is>
          <t>.</t>
        </is>
      </c>
      <c r="AK526" t="inlineStr">
        <is>
          <t>.</t>
        </is>
      </c>
      <c r="AL526" t="inlineStr">
        <is>
          <t>.</t>
        </is>
      </c>
    </row>
    <row r="527">
      <c r="A527" t="inlineStr"/>
      <c r="B527">
        <f>HYPERLINK("https://genome.ucsc.edu/cgi-bin/hgTracks?db=hg19&amp;position=chr19%3A9006442%2D9006442", "chr19:9006442")</f>
        <v/>
      </c>
      <c r="C527" t="inlineStr">
        <is>
          <t>chr19</t>
        </is>
      </c>
      <c r="D527" t="n">
        <v>9006442</v>
      </c>
      <c r="E527" t="n">
        <v>9006442</v>
      </c>
      <c r="F527" t="inlineStr">
        <is>
          <t>A</t>
        </is>
      </c>
      <c r="G527" t="inlineStr">
        <is>
          <t>T</t>
        </is>
      </c>
      <c r="H527" t="inlineStr">
        <is>
          <t>1187.64</t>
        </is>
      </c>
      <c r="I527" t="inlineStr">
        <is>
          <t>171</t>
        </is>
      </c>
      <c r="J527" t="inlineStr">
        <is>
          <t>133,38</t>
        </is>
      </c>
      <c r="K527" t="inlineStr">
        <is>
          <t>.</t>
        </is>
      </c>
      <c r="L527">
        <f>HYPERLINK("https://www.ncbi.nlm.nih.gov/snp/rs757047885", "rs757047885")</f>
        <v/>
      </c>
      <c r="M527">
        <f>HYPERLINK("https://www.genecards.org/Search/Keyword?queryString=%5Baliases%5D(%20MUC16%20)&amp;keywords=MUC16", "MUC16")</f>
        <v/>
      </c>
      <c r="N527" t="inlineStr">
        <is>
          <t>intronic</t>
        </is>
      </c>
      <c r="O527" t="inlineStr">
        <is>
          <t>.</t>
        </is>
      </c>
      <c r="P527" t="inlineStr">
        <is>
          <t>.</t>
        </is>
      </c>
      <c r="Q527" t="n">
        <v>0.0172</v>
      </c>
      <c r="R527" t="n">
        <v>0.0189</v>
      </c>
      <c r="S527" t="n">
        <v>0.0172</v>
      </c>
      <c r="T527" t="n">
        <v>-1</v>
      </c>
      <c r="U527" t="n">
        <v>0.0143</v>
      </c>
      <c r="V527" t="inlineStr">
        <is>
          <t>.</t>
        </is>
      </c>
      <c r="W527" t="inlineStr">
        <is>
          <t>.</t>
        </is>
      </c>
      <c r="X527" t="inlineStr">
        <is>
          <t>D</t>
        </is>
      </c>
      <c r="Y527" t="inlineStr">
        <is>
          <t>off</t>
        </is>
      </c>
      <c r="Z527" t="inlineStr">
        <is>
          <t>.</t>
        </is>
      </c>
      <c r="AA527" t="inlineStr">
        <is>
          <t>.</t>
        </is>
      </c>
      <c r="AB527" t="inlineStr">
        <is>
          <t>.</t>
        </is>
      </c>
      <c r="AC527" t="inlineStr">
        <is>
          <t>.</t>
        </is>
      </c>
      <c r="AD527" t="inlineStr">
        <is>
          <t>3</t>
        </is>
      </c>
      <c r="AE527" t="inlineStr">
        <is>
          <t>.</t>
        </is>
      </c>
      <c r="AF527" t="inlineStr">
        <is>
          <t>mucin 16, cell surface associated</t>
        </is>
      </c>
      <c r="AG527" t="inlineStr">
        <is>
          <t xml:space="preserve">FUNCTION: Thought to provide a protective, lubricating barrier against particles and infectious agents at mucosal surfaces. {ECO:0000250}.; </t>
        </is>
      </c>
      <c r="AH527" t="inlineStr">
        <is>
          <t>.</t>
        </is>
      </c>
      <c r="AI527" t="inlineStr">
        <is>
          <t>.</t>
        </is>
      </c>
      <c r="AJ527" t="inlineStr">
        <is>
          <t>.</t>
        </is>
      </c>
      <c r="AK527" t="inlineStr">
        <is>
          <t>.</t>
        </is>
      </c>
      <c r="AL527" t="inlineStr">
        <is>
          <t>.</t>
        </is>
      </c>
    </row>
    <row r="528">
      <c r="A528" t="inlineStr"/>
      <c r="B528">
        <f>HYPERLINK("https://genome.ucsc.edu/cgi-bin/hgTracks?db=hg19&amp;position=chr19%3A9013000%2D9013000", "chr19:9013000")</f>
        <v/>
      </c>
      <c r="C528" t="inlineStr">
        <is>
          <t>chr19</t>
        </is>
      </c>
      <c r="D528" t="n">
        <v>9013000</v>
      </c>
      <c r="E528" t="n">
        <v>9013000</v>
      </c>
      <c r="F528" t="inlineStr">
        <is>
          <t>A</t>
        </is>
      </c>
      <c r="G528" t="inlineStr">
        <is>
          <t>T</t>
        </is>
      </c>
      <c r="H528" t="inlineStr">
        <is>
          <t>187.64</t>
        </is>
      </c>
      <c r="I528" t="inlineStr">
        <is>
          <t>24</t>
        </is>
      </c>
      <c r="J528" t="inlineStr">
        <is>
          <t>19,5</t>
        </is>
      </c>
      <c r="K528" t="inlineStr">
        <is>
          <t>.</t>
        </is>
      </c>
      <c r="L528" t="inlineStr">
        <is>
          <t>.</t>
        </is>
      </c>
      <c r="M528">
        <f>HYPERLINK("https://www.genecards.org/Search/Keyword?queryString=%5Baliases%5D(%20MUC16%20)&amp;keywords=MUC16", "MUC16")</f>
        <v/>
      </c>
      <c r="N528" t="inlineStr">
        <is>
          <t>intronic</t>
        </is>
      </c>
      <c r="O528" t="inlineStr">
        <is>
          <t>.</t>
        </is>
      </c>
      <c r="P528" t="inlineStr">
        <is>
          <t>.</t>
        </is>
      </c>
      <c r="Q528" t="n">
        <v>0.0022</v>
      </c>
      <c r="R528" t="n">
        <v>-1</v>
      </c>
      <c r="S528" t="n">
        <v>-1</v>
      </c>
      <c r="T528" t="n">
        <v>-1</v>
      </c>
      <c r="U528" t="n">
        <v>-1</v>
      </c>
      <c r="V528" t="inlineStr">
        <is>
          <t>.</t>
        </is>
      </c>
      <c r="W528" t="inlineStr">
        <is>
          <t>.</t>
        </is>
      </c>
      <c r="X528" t="inlineStr">
        <is>
          <t>PD</t>
        </is>
      </c>
      <c r="Y528" t="inlineStr">
        <is>
          <t>off</t>
        </is>
      </c>
      <c r="Z528" t="inlineStr">
        <is>
          <t>.</t>
        </is>
      </c>
      <c r="AA528" t="inlineStr">
        <is>
          <t>.</t>
        </is>
      </c>
      <c r="AB528" t="inlineStr">
        <is>
          <t>.</t>
        </is>
      </c>
      <c r="AC528" t="inlineStr">
        <is>
          <t>0/1</t>
        </is>
      </c>
      <c r="AD528" t="inlineStr">
        <is>
          <t>3</t>
        </is>
      </c>
      <c r="AE528" t="inlineStr">
        <is>
          <t>.</t>
        </is>
      </c>
      <c r="AF528" t="inlineStr">
        <is>
          <t>mucin 16, cell surface associated</t>
        </is>
      </c>
      <c r="AG528" t="inlineStr">
        <is>
          <t xml:space="preserve">FUNCTION: Thought to provide a protective, lubricating barrier against particles and infectious agents at mucosal surfaces. {ECO:0000250}.; </t>
        </is>
      </c>
      <c r="AH528" t="inlineStr">
        <is>
          <t>.</t>
        </is>
      </c>
      <c r="AI528" t="inlineStr">
        <is>
          <t>.</t>
        </is>
      </c>
      <c r="AJ528" t="inlineStr">
        <is>
          <t>.</t>
        </is>
      </c>
      <c r="AK528" t="inlineStr">
        <is>
          <t>.</t>
        </is>
      </c>
      <c r="AL528" t="inlineStr">
        <is>
          <t>.</t>
        </is>
      </c>
    </row>
    <row r="529">
      <c r="A529" t="inlineStr"/>
      <c r="B529">
        <f>HYPERLINK("https://genome.ucsc.edu/cgi-bin/hgTracks?db=hg19&amp;position=chr19%3A9021112%2D9021112", "chr19:9021112")</f>
        <v/>
      </c>
      <c r="C529" t="inlineStr">
        <is>
          <t>chr19</t>
        </is>
      </c>
      <c r="D529" t="n">
        <v>9021112</v>
      </c>
      <c r="E529" t="n">
        <v>9021112</v>
      </c>
      <c r="F529" t="inlineStr">
        <is>
          <t>T</t>
        </is>
      </c>
      <c r="G529" t="inlineStr">
        <is>
          <t>G</t>
        </is>
      </c>
      <c r="H529" t="inlineStr">
        <is>
          <t>671.64</t>
        </is>
      </c>
      <c r="I529" t="inlineStr">
        <is>
          <t>193</t>
        </is>
      </c>
      <c r="J529" t="inlineStr">
        <is>
          <t>165,28</t>
        </is>
      </c>
      <c r="K529" t="inlineStr">
        <is>
          <t>.</t>
        </is>
      </c>
      <c r="L529" t="inlineStr">
        <is>
          <t>.</t>
        </is>
      </c>
      <c r="M529">
        <f>HYPERLINK("https://www.genecards.org/Search/Keyword?queryString=%5Baliases%5D(%20MUC16%20)&amp;keywords=MUC16", "MUC16")</f>
        <v/>
      </c>
      <c r="N529" t="inlineStr">
        <is>
          <t>exonic</t>
        </is>
      </c>
      <c r="O529" t="inlineStr">
        <is>
          <t>nonsynonymous SNV</t>
        </is>
      </c>
      <c r="P529" t="inlineStr">
        <is>
          <t>MUC16:NM_024690:exon19:c.A37211C:p.D12404A;MUC16:uc002mkp.3:exon19:c.A37211C:p.D12404A;MUC16:ENST00000397910.8_4:exon19:c.A37211C:p.D12404A</t>
        </is>
      </c>
      <c r="Q529" t="n">
        <v>0.0042</v>
      </c>
      <c r="R529" t="n">
        <v>0.0003</v>
      </c>
      <c r="S529" t="n">
        <v>0.0001</v>
      </c>
      <c r="T529" t="n">
        <v>-1</v>
      </c>
      <c r="U529" t="n">
        <v>0.0004</v>
      </c>
      <c r="V529" t="inlineStr">
        <is>
          <t>4/10</t>
        </is>
      </c>
      <c r="W529" t="inlineStr">
        <is>
          <t>.</t>
        </is>
      </c>
      <c r="X529" t="inlineStr">
        <is>
          <t>.</t>
        </is>
      </c>
      <c r="Y529" t="inlineStr">
        <is>
          <t>.</t>
        </is>
      </c>
      <c r="Z529" t="inlineStr">
        <is>
          <t>0/7</t>
        </is>
      </c>
      <c r="AA529" t="inlineStr">
        <is>
          <t>Uncertain significance</t>
        </is>
      </c>
      <c r="AB529" t="inlineStr">
        <is>
          <t>.</t>
        </is>
      </c>
      <c r="AC529" t="inlineStr">
        <is>
          <t>.</t>
        </is>
      </c>
      <c r="AD529" t="inlineStr">
        <is>
          <t>3</t>
        </is>
      </c>
      <c r="AE529" t="inlineStr">
        <is>
          <t>.</t>
        </is>
      </c>
      <c r="AF529" t="inlineStr">
        <is>
          <t>mucin 16, cell surface associated</t>
        </is>
      </c>
      <c r="AG529" t="inlineStr">
        <is>
          <t xml:space="preserve">FUNCTION: Thought to provide a protective, lubricating barrier against particles and infectious agents at mucosal surfaces. {ECO:0000250}.; </t>
        </is>
      </c>
      <c r="AH529" t="inlineStr">
        <is>
          <t>.</t>
        </is>
      </c>
      <c r="AI529" t="inlineStr">
        <is>
          <t>.</t>
        </is>
      </c>
      <c r="AJ529" t="inlineStr">
        <is>
          <t>.</t>
        </is>
      </c>
      <c r="AK529" t="inlineStr">
        <is>
          <t>.</t>
        </is>
      </c>
      <c r="AL529" t="inlineStr">
        <is>
          <t>.</t>
        </is>
      </c>
    </row>
    <row r="530">
      <c r="A530" t="inlineStr"/>
      <c r="B530">
        <f>HYPERLINK("https://genome.ucsc.edu/cgi-bin/hgTracks?db=hg19&amp;position=chr19%3A10108154%2D10108154", "chr19:10108154")</f>
        <v/>
      </c>
      <c r="C530" t="inlineStr">
        <is>
          <t>chr19</t>
        </is>
      </c>
      <c r="D530" t="n">
        <v>10108154</v>
      </c>
      <c r="E530" t="n">
        <v>10108154</v>
      </c>
      <c r="F530" t="inlineStr">
        <is>
          <t>G</t>
        </is>
      </c>
      <c r="G530" t="inlineStr">
        <is>
          <t>C</t>
        </is>
      </c>
      <c r="H530" t="inlineStr">
        <is>
          <t>86.64</t>
        </is>
      </c>
      <c r="I530" t="inlineStr">
        <is>
          <t>45</t>
        </is>
      </c>
      <c r="J530" t="inlineStr">
        <is>
          <t>37,8</t>
        </is>
      </c>
      <c r="K530" t="inlineStr">
        <is>
          <t>.</t>
        </is>
      </c>
      <c r="L530">
        <f>HYPERLINK("https://www.ncbi.nlm.nih.gov/snp/rs73007105", "rs73007105")</f>
        <v/>
      </c>
      <c r="M530">
        <f>HYPERLINK("https://www.genecards.org/Search/Keyword?queryString=%5Baliases%5D(%20COL5A3%20)&amp;keywords=COL5A3", "COL5A3")</f>
        <v/>
      </c>
      <c r="N530" t="inlineStr">
        <is>
          <t>intronic</t>
        </is>
      </c>
      <c r="O530" t="inlineStr">
        <is>
          <t>.</t>
        </is>
      </c>
      <c r="P530" t="inlineStr">
        <is>
          <t>.</t>
        </is>
      </c>
      <c r="Q530" t="n">
        <v>0.0268</v>
      </c>
      <c r="R530" t="n">
        <v>0.0145</v>
      </c>
      <c r="S530" t="n">
        <v>0.0146</v>
      </c>
      <c r="T530" t="n">
        <v>-1</v>
      </c>
      <c r="U530" t="n">
        <v>0.0178</v>
      </c>
      <c r="V530" t="inlineStr">
        <is>
          <t>.</t>
        </is>
      </c>
      <c r="W530" t="inlineStr">
        <is>
          <t>.</t>
        </is>
      </c>
      <c r="X530" t="inlineStr">
        <is>
          <t>PD</t>
        </is>
      </c>
      <c r="Y530" t="inlineStr">
        <is>
          <t>off</t>
        </is>
      </c>
      <c r="Z530" t="inlineStr">
        <is>
          <t>.</t>
        </is>
      </c>
      <c r="AA530" t="inlineStr">
        <is>
          <t>.</t>
        </is>
      </c>
      <c r="AB530" t="inlineStr">
        <is>
          <t>.</t>
        </is>
      </c>
      <c r="AC530" t="inlineStr">
        <is>
          <t>0/1</t>
        </is>
      </c>
      <c r="AD530" t="inlineStr">
        <is>
          <t>1</t>
        </is>
      </c>
      <c r="AE530" t="inlineStr">
        <is>
          <t>7.11903366992312e-07</t>
        </is>
      </c>
      <c r="AF530" t="inlineStr">
        <is>
          <t>collagen type V alpha 3</t>
        </is>
      </c>
      <c r="AG530" t="inlineStr">
        <is>
          <t xml:space="preserve">FUNCTION: Type V collagen is a member of group I collagen (fibrillar forming collagen). It is a minor connective tissue component of nearly ubiquitous distribution. Type V collagen binds to DNA, heparan sulfate, thrombospondin, heparin, and insulin.; </t>
        </is>
      </c>
      <c r="AH530" t="inlineStr">
        <is>
          <t>.</t>
        </is>
      </c>
      <c r="AI530" t="inlineStr">
        <is>
          <t>.</t>
        </is>
      </c>
      <c r="AJ530" t="inlineStr">
        <is>
          <t>.</t>
        </is>
      </c>
      <c r="AK530" t="inlineStr">
        <is>
          <t>.</t>
        </is>
      </c>
      <c r="AL530" t="inlineStr">
        <is>
          <t>.</t>
        </is>
      </c>
    </row>
    <row r="531">
      <c r="A531" t="inlineStr"/>
      <c r="B531">
        <f>HYPERLINK("https://genome.ucsc.edu/cgi-bin/hgTracks?db=hg19&amp;position=chr19%3A10225391%2D10225391", "chr19:10225391")</f>
        <v/>
      </c>
      <c r="C531" t="inlineStr">
        <is>
          <t>chr19</t>
        </is>
      </c>
      <c r="D531" t="n">
        <v>10225391</v>
      </c>
      <c r="E531" t="n">
        <v>10225391</v>
      </c>
      <c r="F531" t="inlineStr">
        <is>
          <t>C</t>
        </is>
      </c>
      <c r="G531" t="inlineStr">
        <is>
          <t>T</t>
        </is>
      </c>
      <c r="H531" t="inlineStr">
        <is>
          <t>815.64</t>
        </is>
      </c>
      <c r="I531" t="inlineStr">
        <is>
          <t>92</t>
        </is>
      </c>
      <c r="J531" t="inlineStr">
        <is>
          <t>56,36</t>
        </is>
      </c>
      <c r="K531" t="inlineStr">
        <is>
          <t>.</t>
        </is>
      </c>
      <c r="L531">
        <f>HYPERLINK("https://www.ncbi.nlm.nih.gov/snp/rs780225147", "rs780225147")</f>
        <v/>
      </c>
      <c r="M531">
        <f>HYPERLINK("https://www.genecards.org/Search/Keyword?queryString=%5Baliases%5D(%20P2RY11%20)%20OR%20%5Baliases%5D(%20PPAN-P2RY11%20)&amp;keywords=P2RY11,PPAN-P2RY11", "P2RY11;PPAN-P2RY11")</f>
        <v/>
      </c>
      <c r="N531" t="inlineStr">
        <is>
          <t>exonic</t>
        </is>
      </c>
      <c r="O531" t="inlineStr">
        <is>
          <t>stopgain</t>
        </is>
      </c>
      <c r="P531" t="inlineStr">
        <is>
          <t>P2RY11:NM_002566:exon2:c.C1102T:p.Q368X,PPAN-P2RY11:NM_001040664:exon13:c.C2362T:p.Q788X;P2RY11:uc002mnc.3:exon2:c.C1102T:p.Q368X,PPAN-P2RY11:uc002mna.3:exon13:c.C2362T:p.Q788X;P2RY11:ENST00000321826.5_3:exon2:c.C1102T:p.Q368X,PPAN-P2RY11:ENST00000393796.4_5:exon13:c.C2362T:p.Q788X</t>
        </is>
      </c>
      <c r="Q531" t="n">
        <v>3.23e-05</v>
      </c>
      <c r="R531" t="n">
        <v>-1</v>
      </c>
      <c r="S531" t="n">
        <v>-1</v>
      </c>
      <c r="T531" t="n">
        <v>-1</v>
      </c>
      <c r="U531" t="n">
        <v>-1</v>
      </c>
      <c r="V531" t="inlineStr">
        <is>
          <t>0/2</t>
        </is>
      </c>
      <c r="W531" t="inlineStr">
        <is>
          <t>.</t>
        </is>
      </c>
      <c r="X531" t="inlineStr">
        <is>
          <t>.</t>
        </is>
      </c>
      <c r="Y531" t="inlineStr">
        <is>
          <t>.</t>
        </is>
      </c>
      <c r="Z531" t="inlineStr">
        <is>
          <t>0/7</t>
        </is>
      </c>
      <c r="AA531" t="inlineStr">
        <is>
          <t>Uncertain significance</t>
        </is>
      </c>
      <c r="AB531" t="inlineStr">
        <is>
          <t>.</t>
        </is>
      </c>
      <c r="AC531" t="inlineStr">
        <is>
          <t>0/1</t>
        </is>
      </c>
      <c r="AD531" t="inlineStr">
        <is>
          <t>1;1</t>
        </is>
      </c>
      <c r="AE531" t="inlineStr">
        <is>
          <t>1.16703694174413e-08;9.07591188729782e-08</t>
        </is>
      </c>
      <c r="AF531" t="inlineStr">
        <is>
          <t>PPAN-P2RY11 readthrough;purinergic receptor P2Y11</t>
        </is>
      </c>
      <c r="AG531" t="inlineStr">
        <is>
          <t xml:space="preserve">FUNCTION: May have a role in cell growth.; ;FUNCTION: Receptor for ATP and ADP coupled to G-proteins that activate both phosphatidylinositol-calcium and adenylyl cyclase second messenger systems. Not activated by UTP or UDP.; </t>
        </is>
      </c>
      <c r="AH531" t="inlineStr">
        <is>
          <t>.</t>
        </is>
      </c>
      <c r="AI531" t="inlineStr">
        <is>
          <t>.</t>
        </is>
      </c>
      <c r="AJ531" t="inlineStr">
        <is>
          <t>.</t>
        </is>
      </c>
      <c r="AK531" t="inlineStr">
        <is>
          <t>.</t>
        </is>
      </c>
      <c r="AL531" t="inlineStr">
        <is>
          <t>.</t>
        </is>
      </c>
    </row>
    <row r="532">
      <c r="A532" t="inlineStr"/>
      <c r="B532">
        <f>HYPERLINK("https://genome.ucsc.edu/cgi-bin/hgTracks?db=hg19&amp;position=chr19%3A10439433%2D10439433", "chr19:10439433")</f>
        <v/>
      </c>
      <c r="C532" t="inlineStr">
        <is>
          <t>chr19</t>
        </is>
      </c>
      <c r="D532" t="n">
        <v>10439433</v>
      </c>
      <c r="E532" t="n">
        <v>10439433</v>
      </c>
      <c r="F532" t="inlineStr">
        <is>
          <t>G</t>
        </is>
      </c>
      <c r="G532" t="inlineStr">
        <is>
          <t>A</t>
        </is>
      </c>
      <c r="H532" t="inlineStr">
        <is>
          <t>854.64</t>
        </is>
      </c>
      <c r="I532" t="inlineStr">
        <is>
          <t>149</t>
        </is>
      </c>
      <c r="J532" t="inlineStr">
        <is>
          <t>103,46</t>
        </is>
      </c>
      <c r="K532" t="inlineStr">
        <is>
          <t>.</t>
        </is>
      </c>
      <c r="L532">
        <f>HYPERLINK("https://www.ncbi.nlm.nih.gov/snp/rs550632404", "rs550632404")</f>
        <v/>
      </c>
      <c r="M532">
        <f>HYPERLINK("https://www.genecards.org/Search/Keyword?queryString=%5Baliases%5D(%20RAVER1%20)&amp;keywords=RAVER1", "RAVER1")</f>
        <v/>
      </c>
      <c r="N532" t="inlineStr">
        <is>
          <t>exonic</t>
        </is>
      </c>
      <c r="O532" t="inlineStr">
        <is>
          <t>nonsynonymous SNV</t>
        </is>
      </c>
      <c r="P532" t="inlineStr">
        <is>
          <t>RAVER1:NM_001366174:exon3:c.C641T:p.T214M,RAVER1:NM_133452:exon3:c.C641T:p.T214M;RAVER1:uc002moa.3:exon3:c.C692T:p.T231M;RAVER1:ENST00000611074.4_8:exon3:c.C692T:p.T231M,RAVER1:ENST00000615032.4_6:exon3:c.C641T:p.T214M,RAVER1:ENST00000617231.5_10:exon3:c.C641T:p.T214M</t>
        </is>
      </c>
      <c r="Q532" t="n">
        <v>0.001</v>
      </c>
      <c r="R532" t="n">
        <v>-1</v>
      </c>
      <c r="S532" t="n">
        <v>-1</v>
      </c>
      <c r="T532" t="n">
        <v>-1</v>
      </c>
      <c r="U532" t="n">
        <v>-1</v>
      </c>
      <c r="V532" t="inlineStr">
        <is>
          <t>7/12</t>
        </is>
      </c>
      <c r="W532" t="inlineStr">
        <is>
          <t>.</t>
        </is>
      </c>
      <c r="X532" t="inlineStr">
        <is>
          <t>.</t>
        </is>
      </c>
      <c r="Y532" t="inlineStr">
        <is>
          <t>.</t>
        </is>
      </c>
      <c r="Z532" t="inlineStr">
        <is>
          <t>4/7</t>
        </is>
      </c>
      <c r="AA532" t="inlineStr">
        <is>
          <t>Uncertain significance</t>
        </is>
      </c>
      <c r="AB532" t="inlineStr">
        <is>
          <t>.</t>
        </is>
      </c>
      <c r="AC532" t="inlineStr">
        <is>
          <t>0/1</t>
        </is>
      </c>
      <c r="AD532" t="inlineStr">
        <is>
          <t>1</t>
        </is>
      </c>
      <c r="AE532" t="inlineStr">
        <is>
          <t>0.982340267394972</t>
        </is>
      </c>
      <c r="AF532" t="inlineStr">
        <is>
          <t>ribonucleoprotein, PTB-binding 1</t>
        </is>
      </c>
      <c r="AG532" t="inlineStr">
        <is>
          <t xml:space="preserve">FUNCTION: Cooperates with PTBP1 to modulate regulated alternative splicing events. Promotes exon skipping. Cooperates with PTBP1 to modulate switching between mutually exclusive exons during maturation of the TPM1 pre-mRNA (By similarity). {ECO:0000250}.; </t>
        </is>
      </c>
      <c r="AH532" t="inlineStr">
        <is>
          <t>.</t>
        </is>
      </c>
      <c r="AI532" t="inlineStr">
        <is>
          <t>.</t>
        </is>
      </c>
      <c r="AJ532" t="inlineStr">
        <is>
          <t>.</t>
        </is>
      </c>
      <c r="AK532" t="inlineStr">
        <is>
          <t>.</t>
        </is>
      </c>
      <c r="AL532" t="inlineStr">
        <is>
          <t>.</t>
        </is>
      </c>
    </row>
    <row r="533">
      <c r="A533" t="inlineStr"/>
      <c r="B533">
        <f>HYPERLINK("https://genome.ucsc.edu/cgi-bin/hgTracks?db=hg19&amp;position=chr19%3A12757694%2D12757694", "chr19:12757694")</f>
        <v/>
      </c>
      <c r="C533" t="inlineStr">
        <is>
          <t>chr19</t>
        </is>
      </c>
      <c r="D533" t="n">
        <v>12757694</v>
      </c>
      <c r="E533" t="n">
        <v>12757694</v>
      </c>
      <c r="F533" t="inlineStr">
        <is>
          <t>C</t>
        </is>
      </c>
      <c r="G533" t="inlineStr">
        <is>
          <t>A</t>
        </is>
      </c>
      <c r="H533" t="inlineStr">
        <is>
          <t>38.64</t>
        </is>
      </c>
      <c r="I533" t="inlineStr">
        <is>
          <t>11</t>
        </is>
      </c>
      <c r="J533" t="inlineStr">
        <is>
          <t>9,2</t>
        </is>
      </c>
      <c r="K533" t="inlineStr">
        <is>
          <t>.</t>
        </is>
      </c>
      <c r="L533" t="inlineStr">
        <is>
          <t>.</t>
        </is>
      </c>
      <c r="M533">
        <f>HYPERLINK("https://www.genecards.org/Search/Keyword?queryString=%5Baliases%5D(%20MAN2B1%20)&amp;keywords=MAN2B1", "MAN2B1")</f>
        <v/>
      </c>
      <c r="N533" t="inlineStr">
        <is>
          <t>intronic</t>
        </is>
      </c>
      <c r="O533" t="inlineStr">
        <is>
          <t>.</t>
        </is>
      </c>
      <c r="P533" t="inlineStr">
        <is>
          <t>.</t>
        </is>
      </c>
      <c r="Q533" t="n">
        <v>-1</v>
      </c>
      <c r="R533" t="n">
        <v>-1</v>
      </c>
      <c r="S533" t="n">
        <v>-1</v>
      </c>
      <c r="T533" t="n">
        <v>-1</v>
      </c>
      <c r="U533" t="n">
        <v>-1</v>
      </c>
      <c r="V533" t="inlineStr">
        <is>
          <t>.</t>
        </is>
      </c>
      <c r="W533" t="inlineStr">
        <is>
          <t>.</t>
        </is>
      </c>
      <c r="X533" t="inlineStr">
        <is>
          <t>D</t>
        </is>
      </c>
      <c r="Y533" t="inlineStr">
        <is>
          <t>off</t>
        </is>
      </c>
      <c r="Z533" t="inlineStr">
        <is>
          <t>.</t>
        </is>
      </c>
      <c r="AA533" t="inlineStr">
        <is>
          <t>.</t>
        </is>
      </c>
      <c r="AB533" t="inlineStr">
        <is>
          <t>.</t>
        </is>
      </c>
      <c r="AC533" t="inlineStr">
        <is>
          <t>0/1</t>
        </is>
      </c>
      <c r="AD533" t="inlineStr">
        <is>
          <t>1</t>
        </is>
      </c>
      <c r="AE533" t="inlineStr">
        <is>
          <t>1.56344757218082e-12</t>
        </is>
      </c>
      <c r="AF533" t="inlineStr">
        <is>
          <t>mannosidase alpha class 2B member 1</t>
        </is>
      </c>
      <c r="AG533" t="inlineStr">
        <is>
          <t xml:space="preserve">FUNCTION: Necessary for the catabolism of N-linked carbohydrates released during glycoprotein turnover. Cleaves all known types of alpha-mannosidic linkages.; </t>
        </is>
      </c>
      <c r="AH533" t="inlineStr">
        <is>
          <t xml:space="preserve">DISEASE: Mannosidosis, alpha B, lysosomal (MANSA) [MIM:248500]: A lysosomal storage disease characterized by accumulation of unbranched oligosaccharide chains. This accumulation is expressed histologically as cytoplasmic vacuolation predominantly in the CNS and parenchymatous organs. Depending on the clinical findings at the age of onset, a severe infantile (type I) and a mild juvenile (type II) form of alpha-mannosidosis are recognized. There is considerable variation in the clinical expression with mental retardation, recurrent infections, impaired hearing and Hurler- like skeletal changes being the most consistent abnormalities. {ECO:0000269|PubMed:12718372, ECO:0000269|PubMed:15712269, ECO:0000269|PubMed:22161967, ECO:0000269|PubMed:9158146, ECO:0000269|PubMed:9758606, ECO:0000269|PubMed:9915946}. Note=The disease is caused by mutations affecting the gene represented in this entry.; </t>
        </is>
      </c>
      <c r="AI533" t="inlineStr">
        <is>
          <t>.</t>
        </is>
      </c>
      <c r="AJ533" t="inlineStr">
        <is>
          <t>.</t>
        </is>
      </c>
      <c r="AK533" t="inlineStr">
        <is>
          <t>.</t>
        </is>
      </c>
      <c r="AL533" t="inlineStr">
        <is>
          <t>.</t>
        </is>
      </c>
    </row>
    <row r="534">
      <c r="A534" t="inlineStr"/>
      <c r="B534">
        <f>HYPERLINK("https://genome.ucsc.edu/cgi-bin/hgTracks?db=hg19&amp;position=chr19%3A13186485%2D13186485", "chr19:13186485")</f>
        <v/>
      </c>
      <c r="C534" t="inlineStr">
        <is>
          <t>chr19</t>
        </is>
      </c>
      <c r="D534" t="n">
        <v>13186485</v>
      </c>
      <c r="E534" t="n">
        <v>13186485</v>
      </c>
      <c r="F534" t="inlineStr">
        <is>
          <t>G</t>
        </is>
      </c>
      <c r="G534" t="inlineStr">
        <is>
          <t>C</t>
        </is>
      </c>
      <c r="H534" t="inlineStr">
        <is>
          <t>1402.64</t>
        </is>
      </c>
      <c r="I534" t="inlineStr">
        <is>
          <t>77</t>
        </is>
      </c>
      <c r="J534" t="inlineStr">
        <is>
          <t>16,61</t>
        </is>
      </c>
      <c r="K534" t="inlineStr">
        <is>
          <t>.</t>
        </is>
      </c>
      <c r="L534" t="inlineStr">
        <is>
          <t>.</t>
        </is>
      </c>
      <c r="M534">
        <f>HYPERLINK("https://www.genecards.org/Search/Keyword?queryString=%5Baliases%5D(%20NFIX%20)&amp;keywords=NFIX", "NFIX")</f>
        <v/>
      </c>
      <c r="N534" t="inlineStr">
        <is>
          <t>exonic</t>
        </is>
      </c>
      <c r="O534" t="inlineStr">
        <is>
          <t>nonsynonymous SNV</t>
        </is>
      </c>
      <c r="P534" t="inlineStr">
        <is>
          <t>NFIX:NM_001365984:exon5:c.G952C:p.G318R,NFIX:NM_001365985:exon5:c.G952C:p.G318R,NFIX:NM_001271043:exon6:c.G979C:p.G327R,NFIX:NM_001271044:exon6:c.G931C:p.G311R,NFIX:NM_001365902:exon6:c.G955C:p.G319R,NFIX:NM_001365982:exon6:c.G955C:p.G319R,NFIX:NM_001365983:exon6:c.G814C:p.G272R,NFIX:NM_001378404:exon6:c.G931C:p.G311R,NFIX:NM_001378405:exon6:c.G1003C:p.G335R,NFIX:NM_002501:exon6:c.G955C:p.G319R;NFIX:uc002mwg.2:exon5:c.G952C:p.G318R,NFIX:uc002mwd.3:exon6:c.G955C:p.G319R,NFIX:uc002mwe.4:exon6:c.G931C:p.G311R,NFIX:uc002mwf.3:exon6:c.G964C:p.G322R,NFIX:uc010xmx.2:exon6:c.G979C:p.G327R;NFIX:ENST00000358552.8_2:exon5:c.G952C:p.G318R,NFIX:ENST00000587260.1_2:exon5:c.G952C:p.G318R,NFIX:ENST00000622520.2_4:exon5:c.G952C:p.G318R,NFIX:ENST00000360105.8_1:exon6:c.G964C:p.G322R,NFIX:ENST00000397661.6_2:exon6:c.G955C:p.G319R,NFIX:ENST00000585575.5_5:exon6:c.G931C:p.G311R,NFIX:ENST00000587760.5_1:exon6:c.G931C:p.G311R,NFIX:ENST00000588228.5_1:exon6:c.G814C:p.G272R,NFIX:ENST00000592199.6_9:exon6:c.G955C:p.G319R,NFIX:ENST00000676441.1_4:exon6:c.G979C:p.G327R</t>
        </is>
      </c>
      <c r="Q534" t="n">
        <v>-1</v>
      </c>
      <c r="R534" t="n">
        <v>-1</v>
      </c>
      <c r="S534" t="n">
        <v>-1</v>
      </c>
      <c r="T534" t="n">
        <v>-1</v>
      </c>
      <c r="U534" t="n">
        <v>-1</v>
      </c>
      <c r="V534" t="inlineStr">
        <is>
          <t>6/11</t>
        </is>
      </c>
      <c r="W534" t="inlineStr">
        <is>
          <t>D</t>
        </is>
      </c>
      <c r="X534" t="inlineStr">
        <is>
          <t>.</t>
        </is>
      </c>
      <c r="Y534" t="inlineStr">
        <is>
          <t>.</t>
        </is>
      </c>
      <c r="Z534" t="inlineStr">
        <is>
          <t>5/7</t>
        </is>
      </c>
      <c r="AA534" t="inlineStr">
        <is>
          <t>Uncertain significance</t>
        </is>
      </c>
      <c r="AB534" t="inlineStr">
        <is>
          <t>.</t>
        </is>
      </c>
      <c r="AC534" t="inlineStr">
        <is>
          <t>0/1</t>
        </is>
      </c>
      <c r="AD534" t="inlineStr">
        <is>
          <t>1</t>
        </is>
      </c>
      <c r="AE534" t="inlineStr">
        <is>
          <t>0.989066455193014</t>
        </is>
      </c>
      <c r="AF534" t="inlineStr">
        <is>
          <t>nuclear factor I/X (CCAAT-binding transcription factor)</t>
        </is>
      </c>
      <c r="AG534" t="inlineStr">
        <is>
          <t xml:space="preserve">FUNCTION: Recognizes and binds the palindromic sequence 5'- TTGGCNNNNNGCCAA-3' present in viral and cellular promoters and in the origin of replication of adenovirus type 2. These proteins are individually capable of activating transcription and replication.; </t>
        </is>
      </c>
      <c r="AH534" t="inlineStr">
        <is>
          <t xml:space="preserve">DISEASE: Sotos syndrome 2 (SOTOS2) [MIM:614753]: A form of Sotos syndrome, a childhood overgrowth syndrome characterized by prenatal and postnatal overgrowth, developmental delay, mental retardation, advanced bone age, and abnormal craniofacial morphology. SOTOS2 patients have macrocephaly, long narrow face, high forehead, slender habitus, scoliosis, and unusual behavior characterized especially by anxiety. {ECO:0000269|PubMed:22301465}. Note=The disease is caused by mutations affecting the gene represented in this entry.; DISEASE: Marshall-Smith syndrome (MRSHSS) [MIM:602535]: A distinct malformation syndrome characterized by accelerated skeletal maturation, relative failure to thrive, respiratory difficulties, mental retardation, and unusual facies, including prominent forehead, shallow orbits, blue sclerae, depressed nasal bridge, and micrognathia. Additional skeletal findings include long and thin tubular bones, broad middle phalanges with relatively narrow distal phalanges, and scoliosis. {ECO:0000269|PubMed:20673863}. Note=The disease is caused by mutations affecting the gene represented in this entry.; </t>
        </is>
      </c>
      <c r="AI534" t="inlineStr">
        <is>
          <t>.</t>
        </is>
      </c>
      <c r="AJ534" t="inlineStr">
        <is>
          <t>.</t>
        </is>
      </c>
      <c r="AK534" t="inlineStr">
        <is>
          <t>.</t>
        </is>
      </c>
      <c r="AL534" t="inlineStr">
        <is>
          <t>.</t>
        </is>
      </c>
    </row>
    <row r="535">
      <c r="A535" t="inlineStr"/>
      <c r="B535">
        <f>HYPERLINK("https://genome.ucsc.edu/cgi-bin/hgTracks?db=hg19&amp;position=chr19%3A14080765%2D14080765", "chr19:14080765")</f>
        <v/>
      </c>
      <c r="C535" t="inlineStr">
        <is>
          <t>chr19</t>
        </is>
      </c>
      <c r="D535" t="n">
        <v>14080765</v>
      </c>
      <c r="E535" t="n">
        <v>14080765</v>
      </c>
      <c r="F535" t="inlineStr">
        <is>
          <t>C</t>
        </is>
      </c>
      <c r="G535" t="inlineStr">
        <is>
          <t>T</t>
        </is>
      </c>
      <c r="H535" t="inlineStr">
        <is>
          <t>228.64</t>
        </is>
      </c>
      <c r="I535" t="inlineStr">
        <is>
          <t>46</t>
        </is>
      </c>
      <c r="J535" t="inlineStr">
        <is>
          <t>34,12</t>
        </is>
      </c>
      <c r="K535" t="inlineStr">
        <is>
          <t>.</t>
        </is>
      </c>
      <c r="L535" t="inlineStr">
        <is>
          <t>.</t>
        </is>
      </c>
      <c r="M535">
        <f>HYPERLINK("https://www.genecards.org/Search/Keyword?queryString=%5Baliases%5D(%20RFX1%20)&amp;keywords=RFX1", "RFX1")</f>
        <v/>
      </c>
      <c r="N535" t="inlineStr">
        <is>
          <t>UTR3;intronic</t>
        </is>
      </c>
      <c r="O535" t="inlineStr">
        <is>
          <t>.</t>
        </is>
      </c>
      <c r="P535" t="inlineStr">
        <is>
          <t>uc010dzi.2:c.*37G&gt;A</t>
        </is>
      </c>
      <c r="Q535" t="n">
        <v>-1</v>
      </c>
      <c r="R535" t="n">
        <v>-1</v>
      </c>
      <c r="S535" t="n">
        <v>-1</v>
      </c>
      <c r="T535" t="n">
        <v>-1</v>
      </c>
      <c r="U535" t="n">
        <v>-1</v>
      </c>
      <c r="V535" t="inlineStr">
        <is>
          <t>.</t>
        </is>
      </c>
      <c r="W535" t="inlineStr">
        <is>
          <t>.</t>
        </is>
      </c>
      <c r="X535" t="inlineStr">
        <is>
          <t>D</t>
        </is>
      </c>
      <c r="Y535" t="inlineStr">
        <is>
          <t>off</t>
        </is>
      </c>
      <c r="Z535" t="inlineStr">
        <is>
          <t>.</t>
        </is>
      </c>
      <c r="AA535" t="inlineStr">
        <is>
          <t>.</t>
        </is>
      </c>
      <c r="AB535" t="inlineStr">
        <is>
          <t>.</t>
        </is>
      </c>
      <c r="AC535" t="inlineStr">
        <is>
          <t>0/1</t>
        </is>
      </c>
      <c r="AD535" t="inlineStr">
        <is>
          <t>1</t>
        </is>
      </c>
      <c r="AE535" t="inlineStr">
        <is>
          <t>0.998752687183383</t>
        </is>
      </c>
      <c r="AF535" t="inlineStr">
        <is>
          <t>regulatory factor X1</t>
        </is>
      </c>
      <c r="AG535" t="inlineStr">
        <is>
          <t xml:space="preserve">FUNCTION: Regulatory factor essential for MHC class II genes expression. Binds to the X boxes of MHC class II genes. Also binds to an inverted repeat (ENH1) required for hepatitis B virus genes expression and to the most upstream element (alpha) of the RPL30 promoter.; </t>
        </is>
      </c>
      <c r="AH535" t="inlineStr">
        <is>
          <t>.</t>
        </is>
      </c>
      <c r="AI535" t="inlineStr">
        <is>
          <t>.</t>
        </is>
      </c>
      <c r="AJ535" t="inlineStr">
        <is>
          <t>.</t>
        </is>
      </c>
      <c r="AK535" t="inlineStr">
        <is>
          <t>.</t>
        </is>
      </c>
      <c r="AL535" t="inlineStr">
        <is>
          <t>.</t>
        </is>
      </c>
    </row>
    <row r="536">
      <c r="A536" t="inlineStr"/>
      <c r="B536">
        <f>HYPERLINK("https://genome.ucsc.edu/cgi-bin/hgTracks?db=hg19&amp;position=chr19%3A14590315%2D14590315", "chr19:14590315")</f>
        <v/>
      </c>
      <c r="C536" t="inlineStr">
        <is>
          <t>chr19</t>
        </is>
      </c>
      <c r="D536" t="n">
        <v>14590315</v>
      </c>
      <c r="E536" t="n">
        <v>14590315</v>
      </c>
      <c r="F536" t="inlineStr">
        <is>
          <t>G</t>
        </is>
      </c>
      <c r="G536" t="inlineStr">
        <is>
          <t>A</t>
        </is>
      </c>
      <c r="H536" t="inlineStr">
        <is>
          <t>1281.64</t>
        </is>
      </c>
      <c r="I536" t="inlineStr">
        <is>
          <t>86</t>
        </is>
      </c>
      <c r="J536" t="inlineStr">
        <is>
          <t>31,55</t>
        </is>
      </c>
      <c r="K536" t="inlineStr">
        <is>
          <t>.</t>
        </is>
      </c>
      <c r="L536">
        <f>HYPERLINK("https://www.ncbi.nlm.nih.gov/snp/rs147583484", "rs147583484")</f>
        <v/>
      </c>
      <c r="M536">
        <f>HYPERLINK("https://www.genecards.org/Search/Keyword?queryString=%5Baliases%5D(%20GIPC1%20)&amp;keywords=GIPC1", "GIPC1")</f>
        <v/>
      </c>
      <c r="N536" t="inlineStr">
        <is>
          <t>exonic</t>
        </is>
      </c>
      <c r="O536" t="inlineStr">
        <is>
          <t>nonsynonymous SNV</t>
        </is>
      </c>
      <c r="P536" t="inlineStr">
        <is>
          <t>GIPC1:NM_202494:exon4:c.C386T:p.A129V,GIPC1:NM_202469:exon5:c.C386T:p.A129V,GIPC1:NM_202470:exon5:c.C677T:p.A226V,GIPC1:NM_202468:exon6:c.C677T:p.A226V,GIPC1:NM_005716:exon7:c.C677T:p.A226V;GIPC1:uc002myy.4:exon4:c.C386T:p.A129V,GIPC1:uc002myw.4:exon5:c.C386T:p.A129V,GIPC1:uc002myx.4:exon5:c.C677T:p.A226V,GIPC1:uc002myu.4:exon6:c.C677T:p.A226V,GIPC1:uc002myt.4:exon7:c.C677T:p.A226V;GIPC1:ENST00000393028.5_3:exon4:c.C386T:p.A129V,GIPC1:ENST00000345425.6_3:exon5:c.C677T:p.A226V,GIPC1:ENST00000591349.5_3:exon5:c.C386T:p.A129V,GIPC1:ENST00000586027.5_3:exon6:c.C677T:p.A226V,GIPC1:ENST00000393033.9_5:exon7:c.C677T:p.A226V</t>
        </is>
      </c>
      <c r="Q536" t="n">
        <v>0.017241</v>
      </c>
      <c r="R536" t="n">
        <v>0.0102</v>
      </c>
      <c r="S536" t="n">
        <v>0.008200000000000001</v>
      </c>
      <c r="T536" t="n">
        <v>-1</v>
      </c>
      <c r="U536" t="n">
        <v>0.0138</v>
      </c>
      <c r="V536" t="inlineStr">
        <is>
          <t>3/10</t>
        </is>
      </c>
      <c r="W536" t="inlineStr">
        <is>
          <t>.</t>
        </is>
      </c>
      <c r="X536" t="inlineStr">
        <is>
          <t>.</t>
        </is>
      </c>
      <c r="Y536" t="inlineStr">
        <is>
          <t>.</t>
        </is>
      </c>
      <c r="Z536" t="inlineStr">
        <is>
          <t>0/7</t>
        </is>
      </c>
      <c r="AA536" t="inlineStr">
        <is>
          <t>Likely benign</t>
        </is>
      </c>
      <c r="AB536" t="inlineStr">
        <is>
          <t>Benign</t>
        </is>
      </c>
      <c r="AC536" t="inlineStr">
        <is>
          <t>0/1</t>
        </is>
      </c>
      <c r="AD536" t="inlineStr">
        <is>
          <t>1</t>
        </is>
      </c>
      <c r="AE536" t="inlineStr">
        <is>
          <t>0.020370586194085</t>
        </is>
      </c>
      <c r="AF536" t="inlineStr">
        <is>
          <t>GIPC PDZ domain containing family member 1</t>
        </is>
      </c>
      <c r="AG536" t="inlineStr">
        <is>
          <t xml:space="preserve">FUNCTION: May be involved in G protein-linked signaling.; </t>
        </is>
      </c>
      <c r="AH536" t="inlineStr">
        <is>
          <t>.</t>
        </is>
      </c>
      <c r="AI536" t="inlineStr">
        <is>
          <t>.</t>
        </is>
      </c>
      <c r="AJ536" t="inlineStr">
        <is>
          <t>.</t>
        </is>
      </c>
      <c r="AK536" t="inlineStr">
        <is>
          <t>.</t>
        </is>
      </c>
      <c r="AL536" t="inlineStr">
        <is>
          <t>.</t>
        </is>
      </c>
    </row>
    <row r="537">
      <c r="A537" t="inlineStr"/>
      <c r="B537">
        <f>HYPERLINK("https://genome.ucsc.edu/cgi-bin/hgTracks?db=hg19&amp;position=chr19%3A17387984%2D17387984", "chr19:17387984")</f>
        <v/>
      </c>
      <c r="C537" t="inlineStr">
        <is>
          <t>chr19</t>
        </is>
      </c>
      <c r="D537" t="n">
        <v>17387984</v>
      </c>
      <c r="E537" t="n">
        <v>17387984</v>
      </c>
      <c r="F537" t="inlineStr">
        <is>
          <t>C</t>
        </is>
      </c>
      <c r="G537" t="inlineStr">
        <is>
          <t>A</t>
        </is>
      </c>
      <c r="H537" t="inlineStr">
        <is>
          <t>46.64</t>
        </is>
      </c>
      <c r="I537" t="inlineStr">
        <is>
          <t>7</t>
        </is>
      </c>
      <c r="J537" t="inlineStr">
        <is>
          <t>5,2</t>
        </is>
      </c>
      <c r="K537" t="inlineStr">
        <is>
          <t>.</t>
        </is>
      </c>
      <c r="L537" t="inlineStr">
        <is>
          <t>.</t>
        </is>
      </c>
      <c r="M537">
        <f>HYPERLINK("https://www.genecards.org/Search/Keyword?queryString=%5Baliases%5D(%20BABAM1%20)&amp;keywords=BABAM1", "BABAM1")</f>
        <v/>
      </c>
      <c r="N537" t="inlineStr">
        <is>
          <t>UTR3;intronic</t>
        </is>
      </c>
      <c r="O537" t="inlineStr">
        <is>
          <t>.</t>
        </is>
      </c>
      <c r="P537" t="inlineStr">
        <is>
          <t>uc010xpl.1:c.*509C&gt;A</t>
        </is>
      </c>
      <c r="Q537" t="n">
        <v>-1</v>
      </c>
      <c r="R537" t="n">
        <v>-1</v>
      </c>
      <c r="S537" t="n">
        <v>-1</v>
      </c>
      <c r="T537" t="n">
        <v>-1</v>
      </c>
      <c r="U537" t="n">
        <v>-1</v>
      </c>
      <c r="V537" t="inlineStr">
        <is>
          <t>.</t>
        </is>
      </c>
      <c r="W537" t="inlineStr">
        <is>
          <t>.</t>
        </is>
      </c>
      <c r="X537" t="inlineStr">
        <is>
          <t>D</t>
        </is>
      </c>
      <c r="Y537" t="inlineStr">
        <is>
          <t>off</t>
        </is>
      </c>
      <c r="Z537" t="inlineStr">
        <is>
          <t>.</t>
        </is>
      </c>
      <c r="AA537" t="inlineStr">
        <is>
          <t>.</t>
        </is>
      </c>
      <c r="AB537" t="inlineStr">
        <is>
          <t>.</t>
        </is>
      </c>
      <c r="AC537" t="inlineStr">
        <is>
          <t>0/1</t>
        </is>
      </c>
      <c r="AD537" t="inlineStr">
        <is>
          <t>1</t>
        </is>
      </c>
      <c r="AE537" t="inlineStr">
        <is>
          <t>0.729375765332217</t>
        </is>
      </c>
      <c r="AF537" t="inlineStr">
        <is>
          <t>BRISC and BRCA1 A complex member 1</t>
        </is>
      </c>
      <c r="AG537" t="inlineStr">
        <is>
          <t xml:space="preserve">FUNCTION: Component of the BRCA1-A complex, a complex that specifically recognizes 'Lys-63'-linked ubiquitinated histones H2A and H2AX at DNA lesions sites, leading to target the BRCA1-BARD1 heterodimer to sites of DNA damage at double-strand breaks (DSBs). The BRCA1-A complex also possesses deubiquitinase activity that specifically removes 'Lys-63'-linked ubiquitin on histones H2A and H2AX. In the BRCA1-A complex, it is required for the complex integrity and its localization at DSBs. Component of the BRISC complex, a multiprotein complex that specifically cleaves 'Lys- 63'-linked ubiquitin in various substrates (PubMed:24075985, PubMed:26195665). In these 2 complexes, it is probably required to maintain the stability of BRE/BRCC45 and help the 'Lys-63'-linked deubiquitinase activity mediated by BRCC3/BRCC36 component. The BRISC complex is required for normal mitotic spindle assembly and microtubule attachment to kinetochores via its role in deubiquitinating NUMA1 (PubMed:26195665). Plays a role in interferon signaling via its role in the deubiquitination of the interferon receptor IFNAR1; deubiquitination increases IFNAR1 activity by enhancing its stability and cell surface expression (PubMed:24075985). Down-regulates the response to bacterial lipopolysaccharide (LPS) via its role in IFNAR1 deubiquitination (PubMed:24075985). {ECO:0000269|PubMed:19261746, ECO:0000269|PubMed:19261748, ECO:0000269|PubMed:19261749}.; </t>
        </is>
      </c>
      <c r="AH537" t="inlineStr">
        <is>
          <t>.</t>
        </is>
      </c>
      <c r="AI537" t="inlineStr">
        <is>
          <t>.</t>
        </is>
      </c>
      <c r="AJ537" t="inlineStr">
        <is>
          <t>.</t>
        </is>
      </c>
      <c r="AK537" t="inlineStr">
        <is>
          <t>.</t>
        </is>
      </c>
      <c r="AL537" t="inlineStr">
        <is>
          <t>.</t>
        </is>
      </c>
    </row>
    <row r="538">
      <c r="A538" t="inlineStr"/>
      <c r="B538">
        <f>HYPERLINK("https://genome.ucsc.edu/cgi-bin/hgTracks?db=hg19&amp;position=chr19%3A19338311%2D19338311", "chr19:19338311")</f>
        <v/>
      </c>
      <c r="C538" t="inlineStr">
        <is>
          <t>chr19</t>
        </is>
      </c>
      <c r="D538" t="n">
        <v>19338311</v>
      </c>
      <c r="E538" t="n">
        <v>19338311</v>
      </c>
      <c r="F538" t="inlineStr">
        <is>
          <t>C</t>
        </is>
      </c>
      <c r="G538" t="inlineStr">
        <is>
          <t>T</t>
        </is>
      </c>
      <c r="H538" t="inlineStr">
        <is>
          <t>1667.64</t>
        </is>
      </c>
      <c r="I538" t="inlineStr">
        <is>
          <t>100</t>
        </is>
      </c>
      <c r="J538" t="inlineStr">
        <is>
          <t>42,58</t>
        </is>
      </c>
      <c r="K538" t="inlineStr">
        <is>
          <t>.</t>
        </is>
      </c>
      <c r="L538">
        <f>HYPERLINK("https://www.ncbi.nlm.nih.gov/snp/rs138659174", "rs138659174")</f>
        <v/>
      </c>
      <c r="M538">
        <f>HYPERLINK("https://www.genecards.org/Search/Keyword?queryString=%5Baliases%5D(%20NCAN%20)&amp;keywords=NCAN", "NCAN")</f>
        <v/>
      </c>
      <c r="N538" t="inlineStr">
        <is>
          <t>exonic</t>
        </is>
      </c>
      <c r="O538" t="inlineStr">
        <is>
          <t>nonsynonymous SNV</t>
        </is>
      </c>
      <c r="P538" t="inlineStr">
        <is>
          <t>NCAN:NM_004386:exon8:c.C1882T:p.P628S;NCAN:uc010ecc.1:exon2:c.C574T:p.P192S,NCAN:uc002nlz.3:exon8:c.C1882T:p.P628S;NCAN:ENST00000252575.11_3:exon8:c.C1882T:p.P628S</t>
        </is>
      </c>
      <c r="Q538" t="n">
        <v>0.0002</v>
      </c>
      <c r="R538" t="n">
        <v>-1</v>
      </c>
      <c r="S538" t="n">
        <v>7.360999999999999e-05</v>
      </c>
      <c r="T538" t="n">
        <v>-1</v>
      </c>
      <c r="U538" t="n">
        <v>-1</v>
      </c>
      <c r="V538" t="inlineStr">
        <is>
          <t>5/11</t>
        </is>
      </c>
      <c r="W538" t="inlineStr">
        <is>
          <t>.</t>
        </is>
      </c>
      <c r="X538" t="inlineStr">
        <is>
          <t>.</t>
        </is>
      </c>
      <c r="Y538" t="inlineStr">
        <is>
          <t>.</t>
        </is>
      </c>
      <c r="Z538" t="inlineStr">
        <is>
          <t>0/7</t>
        </is>
      </c>
      <c r="AA538" t="inlineStr">
        <is>
          <t>Uncertain significance</t>
        </is>
      </c>
      <c r="AB538" t="inlineStr">
        <is>
          <t>.</t>
        </is>
      </c>
      <c r="AC538" t="inlineStr">
        <is>
          <t>0/1</t>
        </is>
      </c>
      <c r="AD538" t="inlineStr">
        <is>
          <t>1</t>
        </is>
      </c>
      <c r="AE538" t="inlineStr">
        <is>
          <t>0.154546738217425</t>
        </is>
      </c>
      <c r="AF538" t="inlineStr">
        <is>
          <t>neurocan</t>
        </is>
      </c>
      <c r="AG538" t="inlineStr">
        <is>
          <t xml:space="preserve">FUNCTION: May modulate neuronal adhesion and neurite growth during development by binding to neural cell adhesion molecules (NG-CAM and N-CAM). Chondroitin sulfate proteoglycan; binds to hyaluronic acid.; </t>
        </is>
      </c>
      <c r="AH538" t="inlineStr">
        <is>
          <t>.</t>
        </is>
      </c>
      <c r="AI538" t="inlineStr">
        <is>
          <t>.</t>
        </is>
      </c>
      <c r="AJ538" t="inlineStr">
        <is>
          <t>.</t>
        </is>
      </c>
      <c r="AK538" t="inlineStr">
        <is>
          <t>.</t>
        </is>
      </c>
      <c r="AL538" t="inlineStr">
        <is>
          <t>.</t>
        </is>
      </c>
    </row>
    <row r="539">
      <c r="A539" t="inlineStr"/>
      <c r="B539">
        <f>HYPERLINK("https://genome.ucsc.edu/cgi-bin/hgTracks?db=hg19&amp;position=chr19%3A20981871%2D20981871", "chr19:20981871")</f>
        <v/>
      </c>
      <c r="C539" t="inlineStr">
        <is>
          <t>chr19</t>
        </is>
      </c>
      <c r="D539" t="n">
        <v>20981871</v>
      </c>
      <c r="E539" t="n">
        <v>20981871</v>
      </c>
      <c r="F539" t="inlineStr">
        <is>
          <t>-</t>
        </is>
      </c>
      <c r="G539" t="inlineStr">
        <is>
          <t>T</t>
        </is>
      </c>
      <c r="H539" t="inlineStr">
        <is>
          <t>248.06</t>
        </is>
      </c>
      <c r="I539" t="inlineStr">
        <is>
          <t>19</t>
        </is>
      </c>
      <c r="J539" t="inlineStr">
        <is>
          <t>1,5,10</t>
        </is>
      </c>
      <c r="K539" t="inlineStr">
        <is>
          <t>.</t>
        </is>
      </c>
      <c r="L539">
        <f>HYPERLINK("https://www.ncbi.nlm.nih.gov/snp/rs746296804", "rs746296804")</f>
        <v/>
      </c>
      <c r="M539">
        <f>HYPERLINK("https://www.genecards.org/Search/Keyword?queryString=%5Baliases%5D(%20ZNF66%20)&amp;keywords=ZNF66", "ZNF66")</f>
        <v/>
      </c>
      <c r="N539" t="inlineStr">
        <is>
          <t>exonic;intergenic;intronic</t>
        </is>
      </c>
      <c r="O539" t="inlineStr">
        <is>
          <t>frameshift insertion</t>
        </is>
      </c>
      <c r="P539" t="inlineStr">
        <is>
          <t>dist=4468;dist=124188;ZNF66:ENST00000594534.5_1:exon4:c.292dupT:p.L102Ffs*30</t>
        </is>
      </c>
      <c r="Q539" t="n">
        <v>0.0001682</v>
      </c>
      <c r="R539" t="n">
        <v>-1</v>
      </c>
      <c r="S539" t="n">
        <v>-1</v>
      </c>
      <c r="T539" t="n">
        <v>-1</v>
      </c>
      <c r="U539" t="n">
        <v>-1</v>
      </c>
      <c r="V539" t="inlineStr">
        <is>
          <t>.</t>
        </is>
      </c>
      <c r="W539" t="inlineStr">
        <is>
          <t>.</t>
        </is>
      </c>
      <c r="X539" t="inlineStr">
        <is>
          <t>.</t>
        </is>
      </c>
      <c r="Y539" t="inlineStr">
        <is>
          <t>.</t>
        </is>
      </c>
      <c r="Z539" t="inlineStr">
        <is>
          <t>.</t>
        </is>
      </c>
      <c r="AA539" t="inlineStr">
        <is>
          <t>.</t>
        </is>
      </c>
      <c r="AB539" t="inlineStr">
        <is>
          <t>.</t>
        </is>
      </c>
      <c r="AC539" t="inlineStr">
        <is>
          <t>1/2</t>
        </is>
      </c>
      <c r="AD539" t="inlineStr">
        <is>
          <t>1</t>
        </is>
      </c>
      <c r="AE539" t="inlineStr">
        <is>
          <t>5.45295491875167e-17</t>
        </is>
      </c>
      <c r="AF539" t="inlineStr">
        <is>
          <t>zinc finger protein 66</t>
        </is>
      </c>
      <c r="AG539" t="inlineStr">
        <is>
          <t xml:space="preserve">FUNCTION: May be involved in transcriptional regulation. {ECO:0000250}.; </t>
        </is>
      </c>
      <c r="AH539" t="inlineStr">
        <is>
          <t>.</t>
        </is>
      </c>
      <c r="AI539" t="inlineStr">
        <is>
          <t>.</t>
        </is>
      </c>
      <c r="AJ539" t="inlineStr">
        <is>
          <t>.</t>
        </is>
      </c>
      <c r="AK539" t="inlineStr">
        <is>
          <t>.</t>
        </is>
      </c>
      <c r="AL539" t="inlineStr">
        <is>
          <t>.</t>
        </is>
      </c>
    </row>
    <row r="540">
      <c r="A540" t="inlineStr"/>
      <c r="B540">
        <f>HYPERLINK("https://genome.ucsc.edu/cgi-bin/hgTracks?db=hg19&amp;position=chr19%3A22034736%2D22034736", "chr19:22034736")</f>
        <v/>
      </c>
      <c r="C540" t="inlineStr">
        <is>
          <t>chr19</t>
        </is>
      </c>
      <c r="D540" t="n">
        <v>22034736</v>
      </c>
      <c r="E540" t="n">
        <v>22034736</v>
      </c>
      <c r="F540" t="inlineStr">
        <is>
          <t>T</t>
        </is>
      </c>
      <c r="G540" t="inlineStr">
        <is>
          <t>C</t>
        </is>
      </c>
      <c r="H540" t="inlineStr">
        <is>
          <t>234.64</t>
        </is>
      </c>
      <c r="I540" t="inlineStr">
        <is>
          <t>54</t>
        </is>
      </c>
      <c r="J540" t="inlineStr">
        <is>
          <t>45,9</t>
        </is>
      </c>
      <c r="K540" t="inlineStr">
        <is>
          <t>.</t>
        </is>
      </c>
      <c r="L540">
        <f>HYPERLINK("https://www.ncbi.nlm.nih.gov/snp/rs952797996", "rs952797996")</f>
        <v/>
      </c>
      <c r="M540">
        <f>HYPERLINK("https://www.genecards.org/Search/Keyword?queryString=%5Baliases%5D(%20ZNF43%20)&amp;keywords=ZNF43", "ZNF43")</f>
        <v/>
      </c>
      <c r="N540" t="inlineStr">
        <is>
          <t>UTR5;exonic</t>
        </is>
      </c>
      <c r="O540" t="inlineStr">
        <is>
          <t>startloss</t>
        </is>
      </c>
      <c r="P540" t="inlineStr">
        <is>
          <t>ZNF43:NM_001256653:exon1:c.A1G:p.M1?;ZNF43:uc031rka.1:exon1:c.A1G:p.M1?;ENST00000594012.1:c.-32728A&gt;G;ENST00000595461.1:c.-32728A&gt;G;ENST00000598381.1:c.-32728A&gt;G</t>
        </is>
      </c>
      <c r="Q540" t="n">
        <v>-1</v>
      </c>
      <c r="R540" t="n">
        <v>-1</v>
      </c>
      <c r="S540" t="n">
        <v>-1</v>
      </c>
      <c r="T540" t="n">
        <v>-1</v>
      </c>
      <c r="U540" t="n">
        <v>-1</v>
      </c>
      <c r="V540" t="inlineStr">
        <is>
          <t>0/4</t>
        </is>
      </c>
      <c r="W540" t="inlineStr">
        <is>
          <t>.</t>
        </is>
      </c>
      <c r="X540" t="inlineStr">
        <is>
          <t>.</t>
        </is>
      </c>
      <c r="Y540" t="inlineStr">
        <is>
          <t>.</t>
        </is>
      </c>
      <c r="Z540" t="inlineStr">
        <is>
          <t>0/6</t>
        </is>
      </c>
      <c r="AA540" t="inlineStr">
        <is>
          <t>Uncertain significance</t>
        </is>
      </c>
      <c r="AB540" t="inlineStr">
        <is>
          <t>.</t>
        </is>
      </c>
      <c r="AC540" t="inlineStr">
        <is>
          <t>0/1</t>
        </is>
      </c>
      <c r="AD540" t="inlineStr">
        <is>
          <t>1</t>
        </is>
      </c>
      <c r="AE540" t="inlineStr">
        <is>
          <t>2.14784246985067e-08</t>
        </is>
      </c>
      <c r="AF540" t="inlineStr">
        <is>
          <t>zinc finger protein 43</t>
        </is>
      </c>
      <c r="AG540" t="inlineStr">
        <is>
          <t xml:space="preserve">FUNCTION: May be involved in transcriptional regulation.; </t>
        </is>
      </c>
      <c r="AH540" t="inlineStr">
        <is>
          <t>.</t>
        </is>
      </c>
      <c r="AI540" t="inlineStr">
        <is>
          <t>.</t>
        </is>
      </c>
      <c r="AJ540" t="inlineStr">
        <is>
          <t>.</t>
        </is>
      </c>
      <c r="AK540" t="inlineStr">
        <is>
          <t>.</t>
        </is>
      </c>
      <c r="AL540" t="inlineStr">
        <is>
          <t>.</t>
        </is>
      </c>
    </row>
    <row r="541">
      <c r="A541" t="inlineStr"/>
      <c r="B541">
        <f>HYPERLINK("https://genome.ucsc.edu/cgi-bin/hgTracks?db=hg19&amp;position=chr19%3A22154785%2D22154785", "chr19:22154785")</f>
        <v/>
      </c>
      <c r="C541" t="inlineStr">
        <is>
          <t>chr19</t>
        </is>
      </c>
      <c r="D541" t="n">
        <v>22154785</v>
      </c>
      <c r="E541" t="n">
        <v>22154785</v>
      </c>
      <c r="F541" t="inlineStr">
        <is>
          <t>-</t>
        </is>
      </c>
      <c r="G541" t="inlineStr">
        <is>
          <t>ATAAGGTT</t>
        </is>
      </c>
      <c r="H541" t="inlineStr">
        <is>
          <t>49.60</t>
        </is>
      </c>
      <c r="I541" t="inlineStr">
        <is>
          <t>11</t>
        </is>
      </c>
      <c r="J541" t="inlineStr">
        <is>
          <t>9,2</t>
        </is>
      </c>
      <c r="K541" t="inlineStr">
        <is>
          <t>.</t>
        </is>
      </c>
      <c r="L541" t="inlineStr">
        <is>
          <t>.</t>
        </is>
      </c>
      <c r="M541">
        <f>HYPERLINK("https://www.genecards.org/Search/Keyword?queryString=%5Baliases%5D(%20ZNF208%20)&amp;keywords=ZNF208", "ZNF208")</f>
        <v/>
      </c>
      <c r="N541" t="inlineStr">
        <is>
          <t>exonic</t>
        </is>
      </c>
      <c r="O541" t="inlineStr">
        <is>
          <t>frameshift insertion</t>
        </is>
      </c>
      <c r="P541" t="inlineStr">
        <is>
          <t>ZNF208:NM_007153:exon4:c.3050_3051insAACCTTAT:p.M1017Ifs*120;ZNF208:uc021urr.1:exon4:c.3050_3051insAACCTTAT:p.M1017Ifs*120;ZNF208:ENST00000397126.9_5:exon4:c.3050_3051insAACCTTAT:p.M1017Ifs*120</t>
        </is>
      </c>
      <c r="Q541" t="n">
        <v>-1</v>
      </c>
      <c r="R541" t="n">
        <v>-1</v>
      </c>
      <c r="S541" t="n">
        <v>-1</v>
      </c>
      <c r="T541" t="n">
        <v>-1</v>
      </c>
      <c r="U541" t="n">
        <v>-1</v>
      </c>
      <c r="V541" t="inlineStr">
        <is>
          <t>.</t>
        </is>
      </c>
      <c r="W541" t="inlineStr">
        <is>
          <t>.</t>
        </is>
      </c>
      <c r="X541" t="inlineStr">
        <is>
          <t>.</t>
        </is>
      </c>
      <c r="Y541" t="inlineStr">
        <is>
          <t>.</t>
        </is>
      </c>
      <c r="Z541" t="inlineStr">
        <is>
          <t>.</t>
        </is>
      </c>
      <c r="AA541" t="inlineStr">
        <is>
          <t>.</t>
        </is>
      </c>
      <c r="AB541" t="inlineStr">
        <is>
          <t>.</t>
        </is>
      </c>
      <c r="AC541" t="inlineStr">
        <is>
          <t>0/1</t>
        </is>
      </c>
      <c r="AD541" t="inlineStr">
        <is>
          <t>1</t>
        </is>
      </c>
      <c r="AE541" t="inlineStr">
        <is>
          <t>5.00161251193924e-20</t>
        </is>
      </c>
      <c r="AF541" t="inlineStr">
        <is>
          <t>zinc finger protein 208</t>
        </is>
      </c>
      <c r="AG541" t="inlineStr">
        <is>
          <t xml:space="preserve">FUNCTION: May be involved in transcriptional regulation.; </t>
        </is>
      </c>
      <c r="AH541" t="inlineStr">
        <is>
          <t>.</t>
        </is>
      </c>
      <c r="AI541" t="inlineStr">
        <is>
          <t>.</t>
        </is>
      </c>
      <c r="AJ541" t="inlineStr">
        <is>
          <t>.</t>
        </is>
      </c>
      <c r="AK541" t="inlineStr">
        <is>
          <t>.</t>
        </is>
      </c>
      <c r="AL541" t="inlineStr">
        <is>
          <t>NGS_LowStringency</t>
        </is>
      </c>
    </row>
    <row r="542">
      <c r="A542" t="inlineStr"/>
      <c r="B542">
        <f>HYPERLINK("https://genome.ucsc.edu/cgi-bin/hgTracks?db=hg19&amp;position=chr19%3A33289114%2D33289114", "chr19:33289114")</f>
        <v/>
      </c>
      <c r="C542" t="inlineStr">
        <is>
          <t>chr19</t>
        </is>
      </c>
      <c r="D542" t="n">
        <v>33289114</v>
      </c>
      <c r="E542" t="n">
        <v>33289114</v>
      </c>
      <c r="F542" t="inlineStr">
        <is>
          <t>A</t>
        </is>
      </c>
      <c r="G542" t="inlineStr">
        <is>
          <t>G</t>
        </is>
      </c>
      <c r="H542" t="inlineStr">
        <is>
          <t>359.64</t>
        </is>
      </c>
      <c r="I542" t="inlineStr">
        <is>
          <t>22</t>
        </is>
      </c>
      <c r="J542" t="inlineStr">
        <is>
          <t>7,15</t>
        </is>
      </c>
      <c r="K542" t="inlineStr">
        <is>
          <t>.</t>
        </is>
      </c>
      <c r="L542">
        <f>HYPERLINK("https://www.ncbi.nlm.nih.gov/snp/rs150688658", "rs150688658")</f>
        <v/>
      </c>
      <c r="M542">
        <f>HYPERLINK("https://www.genecards.org/Search/Keyword?queryString=%5Baliases%5D(%20TDRD12%20)&amp;keywords=TDRD12", "TDRD12")</f>
        <v/>
      </c>
      <c r="N542" t="inlineStr">
        <is>
          <t>intronic</t>
        </is>
      </c>
      <c r="O542" t="inlineStr">
        <is>
          <t>.</t>
        </is>
      </c>
      <c r="P542" t="inlineStr">
        <is>
          <t>.</t>
        </is>
      </c>
      <c r="Q542" t="n">
        <v>0.013</v>
      </c>
      <c r="R542" t="n">
        <v>0.0128</v>
      </c>
      <c r="S542" t="n">
        <v>0.0134</v>
      </c>
      <c r="T542" t="n">
        <v>-1</v>
      </c>
      <c r="U542" t="n">
        <v>0.0169</v>
      </c>
      <c r="V542" t="inlineStr">
        <is>
          <t>.</t>
        </is>
      </c>
      <c r="W542" t="inlineStr">
        <is>
          <t>.</t>
        </is>
      </c>
      <c r="X542" t="inlineStr">
        <is>
          <t>PD</t>
        </is>
      </c>
      <c r="Y542" t="inlineStr">
        <is>
          <t>off</t>
        </is>
      </c>
      <c r="Z542" t="inlineStr">
        <is>
          <t>.</t>
        </is>
      </c>
      <c r="AA542" t="inlineStr">
        <is>
          <t>.</t>
        </is>
      </c>
      <c r="AB542" t="inlineStr">
        <is>
          <t>.</t>
        </is>
      </c>
      <c r="AC542" t="inlineStr">
        <is>
          <t>0/1</t>
        </is>
      </c>
      <c r="AD542" t="inlineStr">
        <is>
          <t>1</t>
        </is>
      </c>
      <c r="AE542" t="inlineStr">
        <is>
          <t>.</t>
        </is>
      </c>
      <c r="AF542" t="inlineStr">
        <is>
          <t>tudor domain containing 12</t>
        </is>
      </c>
      <c r="AG542" t="inlineStr">
        <is>
          <t xml:space="preserve">FUNCTION: Probable ATP-binding RNA helicase required during spermatogenesis to repress transposable elements and preventing their mobilization, which is essential for the germline integrity. Acts via the piRNA metabolic process, which mediates the repression of transposable elements during meiosis by forming complexes composed of piRNAs and Piwi proteins and governs the methylation and subsequent repression of transposons. Involved in the secondary piRNAs metabolic process (By similarity). {ECO:0000250}.; </t>
        </is>
      </c>
      <c r="AH542" t="inlineStr">
        <is>
          <t>.</t>
        </is>
      </c>
      <c r="AI542" t="inlineStr">
        <is>
          <t>.</t>
        </is>
      </c>
      <c r="AJ542" t="inlineStr">
        <is>
          <t>.</t>
        </is>
      </c>
      <c r="AK542" t="inlineStr">
        <is>
          <t>.</t>
        </is>
      </c>
      <c r="AL542" t="inlineStr">
        <is>
          <t>.</t>
        </is>
      </c>
    </row>
    <row r="543">
      <c r="A543" t="inlineStr"/>
      <c r="B543">
        <f>HYPERLINK("https://genome.ucsc.edu/cgi-bin/hgTracks?db=hg19&amp;position=chr19%3A34262922%2D34262922", "chr19:34262922")</f>
        <v/>
      </c>
      <c r="C543" t="inlineStr">
        <is>
          <t>chr19</t>
        </is>
      </c>
      <c r="D543" t="n">
        <v>34262922</v>
      </c>
      <c r="E543" t="n">
        <v>34262922</v>
      </c>
      <c r="F543" t="inlineStr">
        <is>
          <t>C</t>
        </is>
      </c>
      <c r="G543" t="inlineStr">
        <is>
          <t>T</t>
        </is>
      </c>
      <c r="H543" t="inlineStr">
        <is>
          <t>371.64</t>
        </is>
      </c>
      <c r="I543" t="inlineStr">
        <is>
          <t>84</t>
        </is>
      </c>
      <c r="J543" t="inlineStr">
        <is>
          <t>65,19</t>
        </is>
      </c>
      <c r="K543" t="inlineStr">
        <is>
          <t>CM122477</t>
        </is>
      </c>
      <c r="L543">
        <f>HYPERLINK("https://www.ncbi.nlm.nih.gov/snp/rs149660944", "rs149660944")</f>
        <v/>
      </c>
      <c r="M543">
        <f>HYPERLINK("https://www.genecards.org/Search/Keyword?queryString=%5Baliases%5D(%20CHST8%20)&amp;keywords=CHST8", "CHST8")</f>
        <v/>
      </c>
      <c r="N543" t="inlineStr">
        <is>
          <t>exonic</t>
        </is>
      </c>
      <c r="O543" t="inlineStr">
        <is>
          <t>nonsynonymous SNV</t>
        </is>
      </c>
      <c r="P543" t="inlineStr">
        <is>
          <t>CHST8:NM_001127896:exon4:c.C229T:p.R77W,CHST8:NM_022467:exon4:c.C229T:p.R77W,CHST8:NM_001127895:exon5:c.C229T:p.R77W;CHST8:uc002nut.4:exon4:c.C229T:p.R77W,CHST8:uc002nuu.3:exon4:c.C229T:p.R77W,CHST8:uc002nus.4:exon5:c.C229T:p.R77W;CHST8:ENST00000262622.4_2:exon4:c.C229T:p.R77W,CHST8:ENST00000438847.7_2:exon4:c.C229T:p.R77W,CHST8:ENST00000434302.5_2:exon5:c.C229T:p.R77W,CHST8:ENST00000650847.1_3:exon5:c.C229T:p.R77W</t>
        </is>
      </c>
      <c r="Q543" t="n">
        <v>0.0058</v>
      </c>
      <c r="R543" t="n">
        <v>0.0044</v>
      </c>
      <c r="S543" t="n">
        <v>0.0054</v>
      </c>
      <c r="T543" t="n">
        <v>-1</v>
      </c>
      <c r="U543" t="n">
        <v>0.0041</v>
      </c>
      <c r="V543" t="inlineStr">
        <is>
          <t>3/11</t>
        </is>
      </c>
      <c r="W543" t="inlineStr">
        <is>
          <t>.</t>
        </is>
      </c>
      <c r="X543" t="inlineStr">
        <is>
          <t>.</t>
        </is>
      </c>
      <c r="Y543" t="inlineStr">
        <is>
          <t>.</t>
        </is>
      </c>
      <c r="Z543" t="inlineStr">
        <is>
          <t>0/7</t>
        </is>
      </c>
      <c r="AA543" t="inlineStr">
        <is>
          <t>Uncertain significance</t>
        </is>
      </c>
      <c r="AB543" t="inlineStr">
        <is>
          <t>Conflicting_interpretations_of_pathogenicity</t>
        </is>
      </c>
      <c r="AC543" t="inlineStr">
        <is>
          <t>0/1</t>
        </is>
      </c>
      <c r="AD543" t="inlineStr">
        <is>
          <t>1</t>
        </is>
      </c>
      <c r="AE543" t="inlineStr">
        <is>
          <t>0.00422201568083706</t>
        </is>
      </c>
      <c r="AF543" t="inlineStr">
        <is>
          <t>carbohydrate (N-acetylgalactosamine 4-0) sulfotransferase 8</t>
        </is>
      </c>
      <c r="AG543" t="inlineStr">
        <is>
          <t xml:space="preserve">FUNCTION: Catalyzes the transfer of sulfate to position 4 of non- reducing N-acetylgalactosamine (GalNAc) residues in both N-glycans and O-glycans. Required for biosynthesis of glycoprotein hormones lutropin and thyrotropin, by mediating sulfation of their carbohydrate structures. Only active against terminal GalNAcbeta1,GalNAcbeta. Not active toward chondroitin. {ECO:0000269|PubMed:10988300, ECO:0000269|PubMed:11445554}.; </t>
        </is>
      </c>
      <c r="AH543" t="inlineStr">
        <is>
          <t xml:space="preserve">DISEASE: Peeling skin syndrome 3 (PSS3) [MIM:616265]: A form of peeling skin syndrome, a genodermatosis characterized by generalized, continuous shedding of the outer layers of the epidermis. Two main PSS subtypes have been suggested. Patients with non-inflammatory PSS (type A) manifest white scaling, with painless and easy removal of the skin, irritation when in contact with water, dust and sand, and no history of erythema, pruritis or atopy. Inflammatory PSS (type B) is associated with generalized erythema, pruritus and atopy. It is an ichthyosiform erythroderma characterized by lifelong patchy peeling of the entire skin with onset at birth or shortly after. Several patients have been reported with high IgE levels. PSS3 is characterized by generalized white scaling occurring over the upper and lower extremities. Symptoms start during the second half of the first decade of life. {ECO:0000269|PubMed:22289416}. Note=The disease is caused by mutations affecting the gene represented in this entry.; </t>
        </is>
      </c>
      <c r="AI543" t="inlineStr">
        <is>
          <t>.</t>
        </is>
      </c>
      <c r="AJ543" t="inlineStr">
        <is>
          <t>.</t>
        </is>
      </c>
      <c r="AK543" t="inlineStr">
        <is>
          <t>.</t>
        </is>
      </c>
      <c r="AL543" t="inlineStr">
        <is>
          <t>.</t>
        </is>
      </c>
    </row>
    <row r="544">
      <c r="A544" t="inlineStr"/>
      <c r="B544">
        <f>HYPERLINK("https://genome.ucsc.edu/cgi-bin/hgTracks?db=hg19&amp;position=chr19%3A34904758%2D34904758", "chr19:34904758")</f>
        <v/>
      </c>
      <c r="C544" t="inlineStr">
        <is>
          <t>chr19</t>
        </is>
      </c>
      <c r="D544" t="n">
        <v>34904758</v>
      </c>
      <c r="E544" t="n">
        <v>34904758</v>
      </c>
      <c r="F544" t="inlineStr">
        <is>
          <t>A</t>
        </is>
      </c>
      <c r="G544" t="inlineStr">
        <is>
          <t>G</t>
        </is>
      </c>
      <c r="H544" t="inlineStr">
        <is>
          <t>344.64</t>
        </is>
      </c>
      <c r="I544" t="inlineStr">
        <is>
          <t>48</t>
        </is>
      </c>
      <c r="J544" t="inlineStr">
        <is>
          <t>32,16</t>
        </is>
      </c>
      <c r="K544" t="inlineStr">
        <is>
          <t>.</t>
        </is>
      </c>
      <c r="L544">
        <f>HYPERLINK("https://www.ncbi.nlm.nih.gov/snp/rs141435266", "rs141435266")</f>
        <v/>
      </c>
      <c r="M544">
        <f>HYPERLINK("https://www.genecards.org/Search/Keyword?queryString=%5Baliases%5D(%20PDCD2L%20)&amp;keywords=PDCD2L", "PDCD2L")</f>
        <v/>
      </c>
      <c r="N544" t="inlineStr">
        <is>
          <t>intronic</t>
        </is>
      </c>
      <c r="O544" t="inlineStr">
        <is>
          <t>.</t>
        </is>
      </c>
      <c r="P544" t="inlineStr">
        <is>
          <t>.</t>
        </is>
      </c>
      <c r="Q544" t="n">
        <v>0.0202</v>
      </c>
      <c r="R544" t="n">
        <v>0.0166</v>
      </c>
      <c r="S544" t="n">
        <v>0.0158</v>
      </c>
      <c r="T544" t="n">
        <v>-1</v>
      </c>
      <c r="U544" t="n">
        <v>0.0172</v>
      </c>
      <c r="V544" t="inlineStr">
        <is>
          <t>.</t>
        </is>
      </c>
      <c r="W544" t="inlineStr">
        <is>
          <t>T</t>
        </is>
      </c>
      <c r="X544" t="inlineStr">
        <is>
          <t>PD</t>
        </is>
      </c>
      <c r="Y544" t="inlineStr">
        <is>
          <t>on</t>
        </is>
      </c>
      <c r="Z544" t="inlineStr">
        <is>
          <t>.</t>
        </is>
      </c>
      <c r="AA544" t="inlineStr">
        <is>
          <t>.</t>
        </is>
      </c>
      <c r="AB544" t="inlineStr">
        <is>
          <t>.</t>
        </is>
      </c>
      <c r="AC544" t="inlineStr">
        <is>
          <t>0/1</t>
        </is>
      </c>
      <c r="AD544" t="inlineStr">
        <is>
          <t>1</t>
        </is>
      </c>
      <c r="AE544" t="inlineStr">
        <is>
          <t>4.99044178798444e-05</t>
        </is>
      </c>
      <c r="AF544" t="inlineStr">
        <is>
          <t>programmed cell death 2-like</t>
        </is>
      </c>
      <c r="AG544" t="inlineStr">
        <is>
          <t xml:space="preserve">FUNCTION: Over-expression suppresses AP1, CREB, NFAT, and NF-kB transcriptional activation, and delays cell cycle progression at S phase. {ECO:0000269|PubMed:17393540}.; </t>
        </is>
      </c>
      <c r="AH544" t="inlineStr">
        <is>
          <t>.</t>
        </is>
      </c>
      <c r="AI544" t="inlineStr">
        <is>
          <t>.</t>
        </is>
      </c>
      <c r="AJ544" t="inlineStr">
        <is>
          <t>.</t>
        </is>
      </c>
      <c r="AK544" t="inlineStr">
        <is>
          <t>.</t>
        </is>
      </c>
      <c r="AL544" t="inlineStr">
        <is>
          <t>.</t>
        </is>
      </c>
    </row>
    <row r="545">
      <c r="A545" t="inlineStr"/>
      <c r="B545">
        <f>HYPERLINK("https://genome.ucsc.edu/cgi-bin/hgTracks?db=hg19&amp;position=chr19%3A35250532%2D35250532", "chr19:35250532")</f>
        <v/>
      </c>
      <c r="C545" t="inlineStr">
        <is>
          <t>chr19</t>
        </is>
      </c>
      <c r="D545" t="n">
        <v>35250532</v>
      </c>
      <c r="E545" t="n">
        <v>35250532</v>
      </c>
      <c r="F545" t="inlineStr">
        <is>
          <t>C</t>
        </is>
      </c>
      <c r="G545" t="inlineStr">
        <is>
          <t>T</t>
        </is>
      </c>
      <c r="H545" t="inlineStr">
        <is>
          <t>1833.64</t>
        </is>
      </c>
      <c r="I545" t="inlineStr">
        <is>
          <t>145</t>
        </is>
      </c>
      <c r="J545" t="inlineStr">
        <is>
          <t>72,73</t>
        </is>
      </c>
      <c r="K545" t="inlineStr">
        <is>
          <t>.</t>
        </is>
      </c>
      <c r="L545" t="inlineStr">
        <is>
          <t>.</t>
        </is>
      </c>
      <c r="M545">
        <f>HYPERLINK("https://www.genecards.org/Search/Keyword?queryString=%5Baliases%5D(%20ZNF599%20)&amp;keywords=ZNF599", "ZNF599")</f>
        <v/>
      </c>
      <c r="N545" t="inlineStr">
        <is>
          <t>exonic</t>
        </is>
      </c>
      <c r="O545" t="inlineStr">
        <is>
          <t>nonsynonymous SNV</t>
        </is>
      </c>
      <c r="P545" t="inlineStr">
        <is>
          <t>ZNF599:NM_001007248:exon4:c.G1174A:p.E392K;ZNF599:uc010edm.2:exon4:c.G1063A:p.E355K,ZNF599:uc010edn.1:exon4:c.G1174A:p.E392K;ZNF599:ENST00000329285.13_5:exon4:c.G1174A:p.E392K</t>
        </is>
      </c>
      <c r="Q545" t="n">
        <v>-1</v>
      </c>
      <c r="R545" t="n">
        <v>-1</v>
      </c>
      <c r="S545" t="n">
        <v>-1</v>
      </c>
      <c r="T545" t="n">
        <v>-1</v>
      </c>
      <c r="U545" t="n">
        <v>-1</v>
      </c>
      <c r="V545" t="inlineStr">
        <is>
          <t>4/11</t>
        </is>
      </c>
      <c r="W545" t="inlineStr">
        <is>
          <t>.</t>
        </is>
      </c>
      <c r="X545" t="inlineStr">
        <is>
          <t>.</t>
        </is>
      </c>
      <c r="Y545" t="inlineStr">
        <is>
          <t>.</t>
        </is>
      </c>
      <c r="Z545" t="inlineStr">
        <is>
          <t>1/7</t>
        </is>
      </c>
      <c r="AA545" t="inlineStr">
        <is>
          <t>Uncertain significance</t>
        </is>
      </c>
      <c r="AB545" t="inlineStr">
        <is>
          <t>.</t>
        </is>
      </c>
      <c r="AC545" t="inlineStr">
        <is>
          <t>0/1</t>
        </is>
      </c>
      <c r="AD545" t="inlineStr">
        <is>
          <t>1</t>
        </is>
      </c>
      <c r="AE545" t="inlineStr">
        <is>
          <t>4.70007785154845e-07</t>
        </is>
      </c>
      <c r="AF545" t="inlineStr">
        <is>
          <t>zinc finger protein 599</t>
        </is>
      </c>
      <c r="AG545" t="inlineStr">
        <is>
          <t xml:space="preserve">FUNCTION: May be involved in transcriptional regulation.; </t>
        </is>
      </c>
      <c r="AH545" t="inlineStr">
        <is>
          <t>.</t>
        </is>
      </c>
      <c r="AI545" t="inlineStr">
        <is>
          <t>.</t>
        </is>
      </c>
      <c r="AJ545" t="inlineStr">
        <is>
          <t>.</t>
        </is>
      </c>
      <c r="AK545" t="inlineStr">
        <is>
          <t>.</t>
        </is>
      </c>
      <c r="AL545" t="inlineStr">
        <is>
          <t>.</t>
        </is>
      </c>
    </row>
    <row r="546">
      <c r="A546" t="inlineStr"/>
      <c r="B546">
        <f>HYPERLINK("https://genome.ucsc.edu/cgi-bin/hgTracks?db=hg19&amp;position=chr19%3A41313759%2D41313759", "chr19:41313759")</f>
        <v/>
      </c>
      <c r="C546" t="inlineStr">
        <is>
          <t>chr19</t>
        </is>
      </c>
      <c r="D546" t="n">
        <v>41313759</v>
      </c>
      <c r="E546" t="n">
        <v>41313759</v>
      </c>
      <c r="F546" t="inlineStr">
        <is>
          <t>C</t>
        </is>
      </c>
      <c r="G546" t="inlineStr">
        <is>
          <t>T</t>
        </is>
      </c>
      <c r="H546" t="inlineStr">
        <is>
          <t>889.64</t>
        </is>
      </c>
      <c r="I546" t="inlineStr">
        <is>
          <t>53</t>
        </is>
      </c>
      <c r="J546" t="inlineStr">
        <is>
          <t>17,36</t>
        </is>
      </c>
      <c r="K546" t="inlineStr">
        <is>
          <t>.</t>
        </is>
      </c>
      <c r="L546">
        <f>HYPERLINK("https://www.ncbi.nlm.nih.gov/snp/rs141698095", "rs141698095")</f>
        <v/>
      </c>
      <c r="M546">
        <f>HYPERLINK("https://www.genecards.org/Search/Keyword?queryString=%5Baliases%5D(%20EGLN2%20)%20OR%20%5Baliases%5D(%20RAB4B-EGLN2%20)&amp;keywords=EGLN2,RAB4B-EGLN2", "EGLN2;RAB4B-EGLN2")</f>
        <v/>
      </c>
      <c r="N546" t="inlineStr">
        <is>
          <t>exonic</t>
        </is>
      </c>
      <c r="O546" t="inlineStr">
        <is>
          <t>nonsynonymous SNV</t>
        </is>
      </c>
      <c r="P546" t="inlineStr">
        <is>
          <t>EGLN2:NM_053046:exon6:c.C1214T:p.T405M,EGLN2:NM_080732:exon6:c.C1214T:p.T405M;EGLN2:uc002opi.3:exon5:c.C1214T:p.T405M,EGLN2:uc002opg.4:exon6:c.C1214T:p.T405M,EGLN2:uc002oph.3:exon6:c.C1214T:p.T405M,RAB4B-EGLN2:uc010ehd.3:exon12:c.C1214T:p.T405M;EGLN2:ENST00000593726.5_1:exon5:c.C1214T:p.T405M,EGLN2:ENST00000594140.5_1:exon5:c.C368T:p.T123M,EGLN2:ENST00000303961.9_3:exon6:c.C1214T:p.T405M,EGLN2:ENST00000406058.6_1:exon6:c.C1214T:p.T405M</t>
        </is>
      </c>
      <c r="Q546" t="n">
        <v>0.0037</v>
      </c>
      <c r="R546" t="n">
        <v>0.0009</v>
      </c>
      <c r="S546" t="n">
        <v>0.0007</v>
      </c>
      <c r="T546" t="n">
        <v>-1</v>
      </c>
      <c r="U546" t="n">
        <v>0.0009</v>
      </c>
      <c r="V546" t="inlineStr">
        <is>
          <t>4/11</t>
        </is>
      </c>
      <c r="W546" t="inlineStr">
        <is>
          <t>.</t>
        </is>
      </c>
      <c r="X546" t="inlineStr">
        <is>
          <t>.</t>
        </is>
      </c>
      <c r="Y546" t="inlineStr">
        <is>
          <t>.</t>
        </is>
      </c>
      <c r="Z546" t="inlineStr">
        <is>
          <t>1/7</t>
        </is>
      </c>
      <c r="AA546" t="inlineStr">
        <is>
          <t>Uncertain significance</t>
        </is>
      </c>
      <c r="AB546" t="inlineStr">
        <is>
          <t>Likely_benign</t>
        </is>
      </c>
      <c r="AC546" t="inlineStr">
        <is>
          <t>0/1</t>
        </is>
      </c>
      <c r="AD546" t="inlineStr">
        <is>
          <t>1;1</t>
        </is>
      </c>
      <c r="AE546" t="inlineStr">
        <is>
          <t>0.286988738826209</t>
        </is>
      </c>
      <c r="AF546" t="inlineStr">
        <is>
          <t>RAB4B-EGLN2 readthrough (NMD candidate);egl-9 family hypoxia-inducible factor 2</t>
        </is>
      </c>
      <c r="AG546" t="inlineStr">
        <is>
          <t xml:space="preserve">FUNCTION: Cellular oxygen sensor that catalyzes, under normoxic conditions, the post-translational formation of 4-hydroxyproline in hypoxia-inducible factor (HIF) alpha proteins. Hydroxylates a specific proline found in each of the oxygen-dependent degradation (ODD) domains (N-terminal, NODD, and C-terminal, CODD) of HIF1A. Also hydroxylates HIF2A. Has a preference for the CODD site for both HIF1A and HIF2A. Hydroxylated HIFs are then targeted for proteasomal degradation via the von Hippel-Lindau ubiquitination complex. Under hypoxic conditions, the hydroxylation reaction is attenuated allowing HIFs to escape degradation resulting in their translocation to the nucleus, heterodimerization with HIF1B, and increased expression of hypoxy-inducible genes. EGLN2 is involved in regulating hypoxia tolerance and apoptosis in cardiac and skeletal muscle. Also regulates susceptibility to normoxic oxidative neuronal death. Links oxygen sensing to cell cycle and primary cilia formation by hydroxylating the critical centrosome component CEP192 which promotes its ubiquitination and subsequent proteasomal degradation. Hydroxylates IKBKB, mediating NF-kappaB activation in hypoxic conditions. Target proteins are preferentially recognized via a LXXLAP motif. {ECO:0000269|PubMed:11595184, ECO:0000269|PubMed:12181324, ECO:0000269|PubMed:16509823, ECO:0000269|PubMed:17114296, ECO:0000269|PubMed:19339211, ECO:0000269|PubMed:23932902}.; </t>
        </is>
      </c>
      <c r="AH546" t="inlineStr">
        <is>
          <t>.</t>
        </is>
      </c>
      <c r="AI546" t="inlineStr">
        <is>
          <t>.</t>
        </is>
      </c>
      <c r="AJ546" t="inlineStr">
        <is>
          <t>.</t>
        </is>
      </c>
      <c r="AK546" t="inlineStr">
        <is>
          <t>.</t>
        </is>
      </c>
      <c r="AL546" t="inlineStr">
        <is>
          <t>.</t>
        </is>
      </c>
    </row>
    <row r="547">
      <c r="A547" t="inlineStr"/>
      <c r="B547">
        <f>HYPERLINK("https://genome.ucsc.edu/cgi-bin/hgTracks?db=hg19&amp;position=chr19%3A42795793%2D42795793", "chr19:42795793")</f>
        <v/>
      </c>
      <c r="C547" t="inlineStr">
        <is>
          <t>chr19</t>
        </is>
      </c>
      <c r="D547" t="n">
        <v>42795793</v>
      </c>
      <c r="E547" t="n">
        <v>42795793</v>
      </c>
      <c r="F547" t="inlineStr">
        <is>
          <t>G</t>
        </is>
      </c>
      <c r="G547" t="inlineStr">
        <is>
          <t>A</t>
        </is>
      </c>
      <c r="H547" t="inlineStr">
        <is>
          <t>2105.64</t>
        </is>
      </c>
      <c r="I547" t="inlineStr">
        <is>
          <t>117</t>
        </is>
      </c>
      <c r="J547" t="inlineStr">
        <is>
          <t>33,84</t>
        </is>
      </c>
      <c r="K547" t="inlineStr">
        <is>
          <t>.</t>
        </is>
      </c>
      <c r="L547">
        <f>HYPERLINK("https://www.ncbi.nlm.nih.gov/snp/rs761259577", "rs761259577")</f>
        <v/>
      </c>
      <c r="M547">
        <f>HYPERLINK("https://www.genecards.org/Search/Keyword?queryString=%5Baliases%5D(%20CIC%20)&amp;keywords=CIC", "CIC")</f>
        <v/>
      </c>
      <c r="N547" t="inlineStr">
        <is>
          <t>exonic</t>
        </is>
      </c>
      <c r="O547" t="inlineStr">
        <is>
          <t>nonsynonymous SNV</t>
        </is>
      </c>
      <c r="P547" t="inlineStr">
        <is>
          <t>CIC:NM_001379484:exon11:c.G2782A:p.A928T,CIC:NM_001379485:exon11:c.G2782A:p.A928T,CIC:NM_015125:exon11:c.G2782A:p.A928T,CIC:NM_001304815:exon12:c.G5509A:p.A1837T,CIC:NM_001379480:exon12:c.G5509A:p.A1837T,CIC:NM_001379482:exon12:c.G5509A:p.A1837T;CIC:uc002otf.1:exon11:c.G2782A:p.A928T;CIC:ENST00000160740.7_4:exon11:c.G2782A:p.A928T,CIC:ENST00000575354.6_2:exon11:c.G2782A:p.A928T,CIC:ENST00000572681.6_9:exon12:c.G5509A:p.A1837T,CIC:ENST00000681038.1_5:exon12:c.G5509A:p.A1837T</t>
        </is>
      </c>
      <c r="Q547" t="n">
        <v>2.59e-05</v>
      </c>
      <c r="R547" t="n">
        <v>-1</v>
      </c>
      <c r="S547" t="n">
        <v>-1</v>
      </c>
      <c r="T547" t="n">
        <v>-1</v>
      </c>
      <c r="U547" t="n">
        <v>-1</v>
      </c>
      <c r="V547" t="inlineStr">
        <is>
          <t>3/11</t>
        </is>
      </c>
      <c r="W547" t="inlineStr">
        <is>
          <t>.</t>
        </is>
      </c>
      <c r="X547" t="inlineStr">
        <is>
          <t>.</t>
        </is>
      </c>
      <c r="Y547" t="inlineStr">
        <is>
          <t>.</t>
        </is>
      </c>
      <c r="Z547" t="inlineStr">
        <is>
          <t>0/7</t>
        </is>
      </c>
      <c r="AA547" t="inlineStr">
        <is>
          <t>Likely benign</t>
        </is>
      </c>
      <c r="AB547" t="inlineStr">
        <is>
          <t>.</t>
        </is>
      </c>
      <c r="AC547" t="inlineStr">
        <is>
          <t>0/1</t>
        </is>
      </c>
      <c r="AD547" t="inlineStr">
        <is>
          <t>1</t>
        </is>
      </c>
      <c r="AE547" t="inlineStr">
        <is>
          <t>0.99990294666404</t>
        </is>
      </c>
      <c r="AF547" t="inlineStr">
        <is>
          <t>capicua transcriptional repressor</t>
        </is>
      </c>
      <c r="AG547" t="inlineStr">
        <is>
          <t xml:space="preserve">FUNCTION: Transcriptional repressor which may play a role in development of the central nervous system (CNS).; </t>
        </is>
      </c>
      <c r="AH547" t="inlineStr">
        <is>
          <t>.</t>
        </is>
      </c>
      <c r="AI547" t="inlineStr">
        <is>
          <t>.</t>
        </is>
      </c>
      <c r="AJ547" t="inlineStr">
        <is>
          <t>.</t>
        </is>
      </c>
      <c r="AK547" t="inlineStr">
        <is>
          <t>.</t>
        </is>
      </c>
      <c r="AL547" t="inlineStr">
        <is>
          <t>.</t>
        </is>
      </c>
    </row>
    <row r="548">
      <c r="A548" t="inlineStr"/>
      <c r="B548">
        <f>HYPERLINK("https://genome.ucsc.edu/cgi-bin/hgTracks?db=hg19&amp;position=chr19%3A45150851%2D45150851", "chr19:45150851")</f>
        <v/>
      </c>
      <c r="C548" t="inlineStr">
        <is>
          <t>chr19</t>
        </is>
      </c>
      <c r="D548" t="n">
        <v>45150851</v>
      </c>
      <c r="E548" t="n">
        <v>45150851</v>
      </c>
      <c r="F548" t="inlineStr">
        <is>
          <t>G</t>
        </is>
      </c>
      <c r="G548" t="inlineStr">
        <is>
          <t>A</t>
        </is>
      </c>
      <c r="H548" t="inlineStr">
        <is>
          <t>83.64</t>
        </is>
      </c>
      <c r="I548" t="inlineStr">
        <is>
          <t>43</t>
        </is>
      </c>
      <c r="J548" t="inlineStr">
        <is>
          <t>36,7</t>
        </is>
      </c>
      <c r="K548" t="inlineStr">
        <is>
          <t>.</t>
        </is>
      </c>
      <c r="L548" t="inlineStr">
        <is>
          <t>.</t>
        </is>
      </c>
      <c r="M548">
        <f>HYPERLINK("https://www.genecards.org/Search/Keyword?queryString=%5Baliases%5D(%20PVR%20)&amp;keywords=PVR", "PVR")</f>
        <v/>
      </c>
      <c r="N548" t="inlineStr">
        <is>
          <t>intronic;ncRNA_intronic</t>
        </is>
      </c>
      <c r="O548" t="inlineStr">
        <is>
          <t>.</t>
        </is>
      </c>
      <c r="P548" t="inlineStr">
        <is>
          <t>.</t>
        </is>
      </c>
      <c r="Q548" t="n">
        <v>-1</v>
      </c>
      <c r="R548" t="n">
        <v>-1</v>
      </c>
      <c r="S548" t="n">
        <v>-1</v>
      </c>
      <c r="T548" t="n">
        <v>-1</v>
      </c>
      <c r="U548" t="n">
        <v>-1</v>
      </c>
      <c r="V548" t="inlineStr">
        <is>
          <t>.</t>
        </is>
      </c>
      <c r="W548" t="inlineStr">
        <is>
          <t>.</t>
        </is>
      </c>
      <c r="X548" t="inlineStr">
        <is>
          <t>PD</t>
        </is>
      </c>
      <c r="Y548" t="inlineStr">
        <is>
          <t>off</t>
        </is>
      </c>
      <c r="Z548" t="inlineStr">
        <is>
          <t>.</t>
        </is>
      </c>
      <c r="AA548" t="inlineStr">
        <is>
          <t>.</t>
        </is>
      </c>
      <c r="AB548" t="inlineStr">
        <is>
          <t>.</t>
        </is>
      </c>
      <c r="AC548" t="inlineStr">
        <is>
          <t>0/1</t>
        </is>
      </c>
      <c r="AD548" t="inlineStr">
        <is>
          <t>1</t>
        </is>
      </c>
      <c r="AE548" t="inlineStr">
        <is>
          <t>5.51101308161619e-07</t>
        </is>
      </c>
      <c r="AF548" t="inlineStr">
        <is>
          <t>poliovirus receptor</t>
        </is>
      </c>
      <c r="AG548" t="inlineStr">
        <is>
          <t xml:space="preserve">FUNCTION: Mediates NK cell adhesion and triggers NK cell effector functions. Binds two different NK cell receptors: CD96 and CD226. These interactions accumulates at the cell-cell contact site, leading to the formation of a mature immunological synapse between NK cell and target cell. This may trigger adhesion and secretion of lytic granules and IFN-gamma and activate cytoxicity of activated NK cells. May also promote NK cell-target cell modular exchange, and PVR transfer to the NK cell. This transfer is more important in some tumor cells expressing a lot of PVR, and may trigger fratricide NK cell activation, providing tumors with a mechanism of immunoevasion. Plays a role in mediating tumor cell invasion and migration. {ECO:0000269|PubMed:15471548, ECO:0000269|PubMed:15607800}.; </t>
        </is>
      </c>
      <c r="AH548" t="inlineStr">
        <is>
          <t>.</t>
        </is>
      </c>
      <c r="AI548" t="inlineStr">
        <is>
          <t>.</t>
        </is>
      </c>
      <c r="AJ548" t="inlineStr">
        <is>
          <t>.</t>
        </is>
      </c>
      <c r="AK548" t="inlineStr">
        <is>
          <t>.</t>
        </is>
      </c>
      <c r="AL548" t="inlineStr">
        <is>
          <t>.</t>
        </is>
      </c>
    </row>
    <row r="549">
      <c r="A549" t="inlineStr"/>
      <c r="B549">
        <f>HYPERLINK("https://genome.ucsc.edu/cgi-bin/hgTracks?db=hg19&amp;position=chr19%3A45207127%2D45207127", "chr19:45207127")</f>
        <v/>
      </c>
      <c r="C549" t="inlineStr">
        <is>
          <t>chr19</t>
        </is>
      </c>
      <c r="D549" t="n">
        <v>45207127</v>
      </c>
      <c r="E549" t="n">
        <v>45207127</v>
      </c>
      <c r="F549" t="inlineStr">
        <is>
          <t>G</t>
        </is>
      </c>
      <c r="G549" t="inlineStr">
        <is>
          <t>A</t>
        </is>
      </c>
      <c r="H549" t="inlineStr">
        <is>
          <t>35.64</t>
        </is>
      </c>
      <c r="I549" t="inlineStr">
        <is>
          <t>11</t>
        </is>
      </c>
      <c r="J549" t="inlineStr">
        <is>
          <t>9,2</t>
        </is>
      </c>
      <c r="K549" t="inlineStr">
        <is>
          <t>.</t>
        </is>
      </c>
      <c r="L549" t="inlineStr">
        <is>
          <t>.</t>
        </is>
      </c>
      <c r="M549">
        <f>HYPERLINK("https://www.genecards.org/Search/Keyword?queryString=%5Baliases%5D(%20CEACAM16%20)&amp;keywords=CEACAM16", "CEACAM16")</f>
        <v/>
      </c>
      <c r="N549" t="inlineStr">
        <is>
          <t>intronic;ncRNA_intronic</t>
        </is>
      </c>
      <c r="O549" t="inlineStr">
        <is>
          <t>.</t>
        </is>
      </c>
      <c r="P549" t="inlineStr">
        <is>
          <t>.</t>
        </is>
      </c>
      <c r="Q549" t="n">
        <v>-1</v>
      </c>
      <c r="R549" t="n">
        <v>-1</v>
      </c>
      <c r="S549" t="n">
        <v>-1</v>
      </c>
      <c r="T549" t="n">
        <v>-1</v>
      </c>
      <c r="U549" t="n">
        <v>-1</v>
      </c>
      <c r="V549" t="inlineStr">
        <is>
          <t>.</t>
        </is>
      </c>
      <c r="W549" t="inlineStr">
        <is>
          <t>.</t>
        </is>
      </c>
      <c r="X549" t="inlineStr">
        <is>
          <t>B</t>
        </is>
      </c>
      <c r="Y549" t="inlineStr">
        <is>
          <t>off</t>
        </is>
      </c>
      <c r="Z549" t="inlineStr">
        <is>
          <t>.</t>
        </is>
      </c>
      <c r="AA549" t="inlineStr">
        <is>
          <t>.</t>
        </is>
      </c>
      <c r="AB549" t="inlineStr">
        <is>
          <t>.</t>
        </is>
      </c>
      <c r="AC549" t="inlineStr">
        <is>
          <t>0/1</t>
        </is>
      </c>
      <c r="AD549" t="inlineStr">
        <is>
          <t>1</t>
        </is>
      </c>
      <c r="AE549" t="inlineStr">
        <is>
          <t>0.0295802581415047</t>
        </is>
      </c>
      <c r="AF549" t="inlineStr">
        <is>
          <t>carcinoembryonic antigen related cell adhesion molecule 16</t>
        </is>
      </c>
      <c r="AG549" t="inlineStr">
        <is>
          <t xml:space="preserve">FUNCTION: Required for proper hearing, it may play a role in maintaining the integrity of the tectorial membrane. {ECO:0000269|PubMed:21368133, ECO:0000269|PubMed:25589040}.; </t>
        </is>
      </c>
      <c r="AH549" t="inlineStr">
        <is>
          <t xml:space="preserve">DISEASE: Deafness, autosomal dominant, 4B (DFNA4B) [MIM:614614]: A form of non-syndromic sensorineural hearing loss. Sensorineural deafness results from damage to the neural receptors of the inner ear, the nerve pathways to the brain, or the area of the brain that receives sound information. {ECO:0000269|PubMed:21368133, ECO:0000269|PubMed:25589040}. Note=The disease is caused by mutations affecting the gene represented in this entry.; </t>
        </is>
      </c>
      <c r="AI549" t="inlineStr">
        <is>
          <t>.</t>
        </is>
      </c>
      <c r="AJ549" t="inlineStr">
        <is>
          <t>.</t>
        </is>
      </c>
      <c r="AK549" t="inlineStr">
        <is>
          <t>.</t>
        </is>
      </c>
      <c r="AL549" t="inlineStr">
        <is>
          <t>.</t>
        </is>
      </c>
    </row>
    <row r="550">
      <c r="A550" t="inlineStr"/>
      <c r="B550">
        <f>HYPERLINK("https://genome.ucsc.edu/cgi-bin/hgTracks?db=hg19&amp;position=chr19%3A46268522%2D46268522", "chr19:46268522")</f>
        <v/>
      </c>
      <c r="C550" t="inlineStr">
        <is>
          <t>chr19</t>
        </is>
      </c>
      <c r="D550" t="n">
        <v>46268522</v>
      </c>
      <c r="E550" t="n">
        <v>46268522</v>
      </c>
      <c r="F550" t="inlineStr">
        <is>
          <t>G</t>
        </is>
      </c>
      <c r="G550" t="inlineStr">
        <is>
          <t>T</t>
        </is>
      </c>
      <c r="H550" t="inlineStr">
        <is>
          <t>39.64</t>
        </is>
      </c>
      <c r="I550" t="inlineStr">
        <is>
          <t>10</t>
        </is>
      </c>
      <c r="J550" t="inlineStr">
        <is>
          <t>8,2</t>
        </is>
      </c>
      <c r="K550" t="inlineStr">
        <is>
          <t>.</t>
        </is>
      </c>
      <c r="L550" t="inlineStr">
        <is>
          <t>.</t>
        </is>
      </c>
      <c r="M550">
        <f>HYPERLINK("https://www.genecards.org/Search/Keyword?queryString=%5Baliases%5D(%20SIX5%20)&amp;keywords=SIX5", "SIX5")</f>
        <v/>
      </c>
      <c r="N550" t="inlineStr">
        <is>
          <t>UTR3;ncRNA_exonic</t>
        </is>
      </c>
      <c r="O550" t="inlineStr">
        <is>
          <t>.</t>
        </is>
      </c>
      <c r="P550" t="inlineStr">
        <is>
          <t>NM_175875:c.*237C&gt;A;uc002pdb.3:c.*237C&gt;A</t>
        </is>
      </c>
      <c r="Q550" t="n">
        <v>-1</v>
      </c>
      <c r="R550" t="n">
        <v>-1</v>
      </c>
      <c r="S550" t="n">
        <v>-1</v>
      </c>
      <c r="T550" t="n">
        <v>-1</v>
      </c>
      <c r="U550" t="n">
        <v>-1</v>
      </c>
      <c r="V550" t="inlineStr">
        <is>
          <t>.</t>
        </is>
      </c>
      <c r="W550" t="inlineStr">
        <is>
          <t>.</t>
        </is>
      </c>
      <c r="X550" t="inlineStr">
        <is>
          <t>.</t>
        </is>
      </c>
      <c r="Y550" t="inlineStr">
        <is>
          <t>.</t>
        </is>
      </c>
      <c r="Z550" t="inlineStr">
        <is>
          <t>.</t>
        </is>
      </c>
      <c r="AA550" t="inlineStr">
        <is>
          <t>.</t>
        </is>
      </c>
      <c r="AB550" t="inlineStr">
        <is>
          <t>.</t>
        </is>
      </c>
      <c r="AC550" t="inlineStr">
        <is>
          <t>0/1</t>
        </is>
      </c>
      <c r="AD550" t="inlineStr">
        <is>
          <t>1</t>
        </is>
      </c>
      <c r="AE550" t="inlineStr">
        <is>
          <t>0.310828642912358</t>
        </is>
      </c>
      <c r="AF550" t="inlineStr">
        <is>
          <t>SIX homeobox 5</t>
        </is>
      </c>
      <c r="AG550" t="inlineStr">
        <is>
          <t xml:space="preserve">FUNCTION: Transcription factor that is thought to be involved in regulation of organogenesis. May be involved in determination and maintenance of retina formation. Binds a 5'-GGTGTCAG-3' motif present in the ARE regulatory element of ATP1A1. Binds a 5'- TCA[AG][AG]TTNC-3' motif present in the MEF3 element in the myogenin promoter, and in the IGFBP5 promoter (By similarity). Thought to be regulated by association with Dach and Eya proteins, and seems to be coactivated by EYA1, EYA2 and EYA3 (By similarity). {ECO:0000250}.; </t>
        </is>
      </c>
      <c r="AH550" t="inlineStr">
        <is>
          <t xml:space="preserve">DISEASE: Branchiootorenal syndrome 2 (BOR2) [MIM:610896]: A syndrome characterized by branchial cleft fistulas or cysts, sensorineural and/or conductive hearing loss, pre-auricular pits, structural defects of the outer, middle or inner ear, and renal malformations. {ECO:0000269|PubMed:17357085}. Note=The disease is caused by mutations affecting the gene represented in this entry.; </t>
        </is>
      </c>
      <c r="AI550" t="inlineStr">
        <is>
          <t>.</t>
        </is>
      </c>
      <c r="AJ550" t="inlineStr">
        <is>
          <t>.</t>
        </is>
      </c>
      <c r="AK550" t="inlineStr">
        <is>
          <t>.</t>
        </is>
      </c>
      <c r="AL550" t="inlineStr">
        <is>
          <t>.</t>
        </is>
      </c>
    </row>
    <row r="551">
      <c r="A551" t="inlineStr"/>
      <c r="B551">
        <f>HYPERLINK("https://genome.ucsc.edu/cgi-bin/hgTracks?db=hg19&amp;position=chr19%3A46273466%2D46273483", "chr19:46273466")</f>
        <v/>
      </c>
      <c r="C551" t="inlineStr">
        <is>
          <t>chr19</t>
        </is>
      </c>
      <c r="D551" t="n">
        <v>46273466</v>
      </c>
      <c r="E551" t="n">
        <v>46273483</v>
      </c>
      <c r="F551" t="inlineStr">
        <is>
          <t>CAGCAGCAGCAGCAGCAG</t>
        </is>
      </c>
      <c r="G551" t="inlineStr">
        <is>
          <t>-</t>
        </is>
      </c>
      <c r="H551" t="inlineStr">
        <is>
          <t>735.03</t>
        </is>
      </c>
      <c r="I551" t="inlineStr">
        <is>
          <t>21</t>
        </is>
      </c>
      <c r="J551" t="inlineStr">
        <is>
          <t>0,16,2</t>
        </is>
      </c>
      <c r="K551" t="inlineStr">
        <is>
          <t>.</t>
        </is>
      </c>
      <c r="L551" t="inlineStr">
        <is>
          <t>.</t>
        </is>
      </c>
      <c r="M551">
        <f>HYPERLINK("https://www.genecards.org/Search/Keyword?queryString=%5Baliases%5D(%20DM1-AS%20)%20OR%20%5Baliases%5D(%20DMPK%20)&amp;keywords=DM1-AS,DMPK", "DM1-AS;DMPK")</f>
        <v/>
      </c>
      <c r="N551" t="inlineStr">
        <is>
          <t>UTR3;ncRNA_intronic</t>
        </is>
      </c>
      <c r="O551" t="inlineStr">
        <is>
          <t>.</t>
        </is>
      </c>
      <c r="P551" t="inlineStr">
        <is>
          <t>uc021uwb.1:c.*273_*256delCTGCTGCTGCTGCTGCTG;uc010xxs.1:c.*273_*256delCTGCTGCTGCTGCTGCTG;uc002pdd.1:c.*280_*263delCTGCTGCTGCTGCTGCTG;uc002pde.1:c.*273_*256delCTGCTGCTGCTGCTGCTG;uc002pdg.1:c.*273_*256delCTGCTGCTGCTGCTGCTG;uc002pdf.1:c.*280_*263delCTGCTGCTGCTGCTGCTG;uc002pdh.1:c.*280_*263delCTGCTGCTGCTGCTGCTG;uc002pdi.1:c.*280_*263delCTGCTGCTGCTGCTGCTG;uc010xxt.1:c.*425_*408delCTGCTGCTGCTGCTGCTG</t>
        </is>
      </c>
      <c r="Q551" t="n">
        <v>-1</v>
      </c>
      <c r="R551" t="n">
        <v>-1</v>
      </c>
      <c r="S551" t="n">
        <v>-1</v>
      </c>
      <c r="T551" t="n">
        <v>-1</v>
      </c>
      <c r="U551" t="n">
        <v>-1</v>
      </c>
      <c r="V551" t="inlineStr">
        <is>
          <t>.</t>
        </is>
      </c>
      <c r="W551" t="inlineStr">
        <is>
          <t>.</t>
        </is>
      </c>
      <c r="X551" t="inlineStr">
        <is>
          <t>.</t>
        </is>
      </c>
      <c r="Y551" t="inlineStr">
        <is>
          <t>.</t>
        </is>
      </c>
      <c r="Z551" t="inlineStr">
        <is>
          <t>.</t>
        </is>
      </c>
      <c r="AA551" t="inlineStr">
        <is>
          <t>.</t>
        </is>
      </c>
      <c r="AB551" t="inlineStr">
        <is>
          <t>.</t>
        </is>
      </c>
      <c r="AC551" t="inlineStr">
        <is>
          <t>1/2</t>
        </is>
      </c>
      <c r="AD551" t="inlineStr">
        <is>
          <t>1;1</t>
        </is>
      </c>
      <c r="AE551" t="inlineStr">
        <is>
          <t>0.0330811788641306</t>
        </is>
      </c>
      <c r="AF551" t="inlineStr">
        <is>
          <t>dystrophia myotonica protein kinase</t>
        </is>
      </c>
      <c r="AG551" t="inlineStr">
        <is>
          <t xml:space="preserve">FUNCTION: Non-receptor serine/threonine protein kinase which is necessary for the maintenance of skeletal muscle structure and function. May play a role in myocyte differentiation and survival by regulating the integrity of the nuclear envelope and the expression of muscle-specific genes. May also phosphorylate PPP1R12A and inhibit the myosin phosphatase activity to regulate myosin phosphorylation. Also critical to the modulation of cardiac contractility and to the maintenance of proper cardiac conduction activity probably through the regulation of cellular calcium homeostasis. Phosphorylates PLN, a regulator of calcium pumps and may regulate sarcoplasmic reticulum calcium uptake in myocytes. May also phosphorylate FXYD1/PLM which is able to induce chloride currents. May also play a role in synaptic plasticity. {ECO:0000269|PubMed:10811636, ECO:0000269|PubMed:10913253, ECO:0000269|PubMed:11287000, ECO:0000269|PubMed:15598648, ECO:0000269|PubMed:21457715, ECO:0000269|PubMed:21949239}.; </t>
        </is>
      </c>
      <c r="AH551" t="inlineStr">
        <is>
          <t xml:space="preserve">DISEASE: Dystrophia myotonica 1 (DM1) [MIM:160900]: A muscular disorder characterized by myotonia, muscle wasting in the distal extremities, cataract, hypogonadism, defective endocrine functions, male baldness and cardiac arrhythmias. {ECO:0000269|PubMed:1302022, ECO:0000269|PubMed:1310900, ECO:0000269|PubMed:1546326, ECO:0000269|PubMed:19514047}. Note=The disease is caused by mutations affecting the gene represented in this entry. The causative mutation is a CTG expansion in the 3'- UTR of the DMPK gene. A length exceeding 50 CTG repeats is pathogenic, while normal individuals have 5 to 37 repeats. Intermediate alleles with 35-49 triplets are not disease-causing but show instability in intergenerational transmissions. Disease severity varies with the number of repeats: mildly affected persons have 50 to 150 repeats, patients with classic DM have 100 to 1,000 repeats, and those with congenital onset can have more than 2,000 repeats. {ECO:0000269|PubMed:1310900, ECO:0000269|PubMed:19514047}.; </t>
        </is>
      </c>
      <c r="AI551" t="inlineStr">
        <is>
          <t>GenotypeConflict</t>
        </is>
      </c>
      <c r="AJ551" t="inlineStr">
        <is>
          <t>.</t>
        </is>
      </c>
      <c r="AK551" t="inlineStr">
        <is>
          <t>.</t>
        </is>
      </c>
      <c r="AL551" t="inlineStr">
        <is>
          <t>.</t>
        </is>
      </c>
    </row>
    <row r="552">
      <c r="A552" t="inlineStr"/>
      <c r="B552">
        <f>HYPERLINK("https://genome.ucsc.edu/cgi-bin/hgTracks?db=hg19&amp;position=chr19%3A48024817%2D48024817", "chr19:48024817")</f>
        <v/>
      </c>
      <c r="C552" t="inlineStr">
        <is>
          <t>chr19</t>
        </is>
      </c>
      <c r="D552" t="n">
        <v>48024817</v>
      </c>
      <c r="E552" t="n">
        <v>48024817</v>
      </c>
      <c r="F552" t="inlineStr">
        <is>
          <t>G</t>
        </is>
      </c>
      <c r="G552" t="inlineStr">
        <is>
          <t>T</t>
        </is>
      </c>
      <c r="H552" t="inlineStr">
        <is>
          <t>945.64</t>
        </is>
      </c>
      <c r="I552" t="inlineStr">
        <is>
          <t>127</t>
        </is>
      </c>
      <c r="J552" t="inlineStr">
        <is>
          <t>81,46</t>
        </is>
      </c>
      <c r="K552" t="inlineStr">
        <is>
          <t>.</t>
        </is>
      </c>
      <c r="L552" t="inlineStr">
        <is>
          <t>.</t>
        </is>
      </c>
      <c r="M552">
        <f>HYPERLINK("https://www.genecards.org/Search/Keyword?queryString=%5Baliases%5D(%20ZNF541%20)&amp;keywords=ZNF541", "ZNF541")</f>
        <v/>
      </c>
      <c r="N552" t="inlineStr">
        <is>
          <t>exonic</t>
        </is>
      </c>
      <c r="O552" t="inlineStr">
        <is>
          <t>nonsynonymous SNV</t>
        </is>
      </c>
      <c r="P552" t="inlineStr">
        <is>
          <t>ZNF541:NM_001277075:exon16:c.C3806A:p.P1269Q;ZNF541:uc010eli.4:exon6:c.C2474A:p.P825Q,ZNF541:uc010elh.4:exon11:c.C3074A:p.P1025Q,ZNF541:uc002phg.5:exon14:c.C3806A:p.P1269Q,ZNF541:uc010xyt.3:exon14:c.C3863A:p.P1288Q;ZNF541:ENST00000391901.8_7:exon16:c.C3806A:p.P1269Q</t>
        </is>
      </c>
      <c r="Q552" t="n">
        <v>-1</v>
      </c>
      <c r="R552" t="n">
        <v>-1</v>
      </c>
      <c r="S552" t="n">
        <v>-1</v>
      </c>
      <c r="T552" t="n">
        <v>-1</v>
      </c>
      <c r="U552" t="n">
        <v>-1</v>
      </c>
      <c r="V552" t="inlineStr">
        <is>
          <t>8/11</t>
        </is>
      </c>
      <c r="W552" t="inlineStr">
        <is>
          <t>.</t>
        </is>
      </c>
      <c r="X552" t="inlineStr">
        <is>
          <t>.</t>
        </is>
      </c>
      <c r="Y552" t="inlineStr">
        <is>
          <t>.</t>
        </is>
      </c>
      <c r="Z552" t="inlineStr">
        <is>
          <t>4/7</t>
        </is>
      </c>
      <c r="AA552" t="inlineStr">
        <is>
          <t>Uncertain significance</t>
        </is>
      </c>
      <c r="AB552" t="inlineStr">
        <is>
          <t>.</t>
        </is>
      </c>
      <c r="AC552" t="inlineStr">
        <is>
          <t>0/1</t>
        </is>
      </c>
      <c r="AD552" t="inlineStr">
        <is>
          <t>2</t>
        </is>
      </c>
      <c r="AE552" t="inlineStr">
        <is>
          <t>.</t>
        </is>
      </c>
      <c r="AF552" t="inlineStr">
        <is>
          <t>zinc finger protein 541</t>
        </is>
      </c>
      <c r="AG552" t="inlineStr">
        <is>
          <t xml:space="preserve">FUNCTION: Component of some chromatin remodeling multiprotein complex that plays a role during spermatogenesis. {ECO:0000250|UniProtKB:Q0GGX2}.; </t>
        </is>
      </c>
      <c r="AH552" t="inlineStr">
        <is>
          <t>.</t>
        </is>
      </c>
      <c r="AI552" t="inlineStr">
        <is>
          <t>.</t>
        </is>
      </c>
      <c r="AJ552" t="inlineStr">
        <is>
          <t>.</t>
        </is>
      </c>
      <c r="AK552" t="inlineStr">
        <is>
          <t>.</t>
        </is>
      </c>
      <c r="AL552" t="inlineStr">
        <is>
          <t>.</t>
        </is>
      </c>
    </row>
    <row r="553">
      <c r="A553" t="inlineStr"/>
      <c r="B553">
        <f>HYPERLINK("https://genome.ucsc.edu/cgi-bin/hgTracks?db=hg19&amp;position=chr19%3A48048900%2D48048900", "chr19:48048900")</f>
        <v/>
      </c>
      <c r="C553" t="inlineStr">
        <is>
          <t>chr19</t>
        </is>
      </c>
      <c r="D553" t="n">
        <v>48048900</v>
      </c>
      <c r="E553" t="n">
        <v>48048900</v>
      </c>
      <c r="F553" t="inlineStr">
        <is>
          <t>C</t>
        </is>
      </c>
      <c r="G553" t="inlineStr">
        <is>
          <t>A</t>
        </is>
      </c>
      <c r="H553" t="inlineStr">
        <is>
          <t>1848.64</t>
        </is>
      </c>
      <c r="I553" t="inlineStr">
        <is>
          <t>112</t>
        </is>
      </c>
      <c r="J553" t="inlineStr">
        <is>
          <t>41,71</t>
        </is>
      </c>
      <c r="K553" t="inlineStr">
        <is>
          <t>.</t>
        </is>
      </c>
      <c r="L553">
        <f>HYPERLINK("https://www.ncbi.nlm.nih.gov/snp/rs146808728", "rs146808728")</f>
        <v/>
      </c>
      <c r="M553">
        <f>HYPERLINK("https://www.genecards.org/Search/Keyword?queryString=%5Baliases%5D(%20ZNF541%20)&amp;keywords=ZNF541", "ZNF541")</f>
        <v/>
      </c>
      <c r="N553" t="inlineStr">
        <is>
          <t>exonic</t>
        </is>
      </c>
      <c r="O553" t="inlineStr">
        <is>
          <t>nonsynonymous SNV</t>
        </is>
      </c>
      <c r="P553" t="inlineStr">
        <is>
          <t>ZNF541:NM_001277075:exon5:c.G886T:p.G296W;ZNF541:uc010elh.4:exon1:c.G328T:p.G110W,ZNF541:uc010eli.4:exon1:c.G328T:p.G110W,ZNF541:uc002phg.5:exon3:c.G886T:p.G296W,ZNF541:uc010xyt.3:exon3:c.G886T:p.G296W;ZNF541:ENST00000391901.8_7:exon5:c.G886T:p.G296W</t>
        </is>
      </c>
      <c r="Q553" t="n">
        <v>0.0246</v>
      </c>
      <c r="R553" t="n">
        <v>0.0224</v>
      </c>
      <c r="S553" t="n">
        <v>0.0253</v>
      </c>
      <c r="T553" t="n">
        <v>-1</v>
      </c>
      <c r="U553" t="n">
        <v>0.0177</v>
      </c>
      <c r="V553" t="inlineStr">
        <is>
          <t>3/9</t>
        </is>
      </c>
      <c r="W553" t="inlineStr">
        <is>
          <t>.</t>
        </is>
      </c>
      <c r="X553" t="inlineStr">
        <is>
          <t>.</t>
        </is>
      </c>
      <c r="Y553" t="inlineStr">
        <is>
          <t>.</t>
        </is>
      </c>
      <c r="Z553" t="inlineStr">
        <is>
          <t>0/7</t>
        </is>
      </c>
      <c r="AA553" t="inlineStr">
        <is>
          <t>Uncertain significance</t>
        </is>
      </c>
      <c r="AB553" t="inlineStr">
        <is>
          <t>.</t>
        </is>
      </c>
      <c r="AC553" t="inlineStr">
        <is>
          <t>0/1</t>
        </is>
      </c>
      <c r="AD553" t="inlineStr">
        <is>
          <t>2</t>
        </is>
      </c>
      <c r="AE553" t="inlineStr">
        <is>
          <t>.</t>
        </is>
      </c>
      <c r="AF553" t="inlineStr">
        <is>
          <t>zinc finger protein 541</t>
        </is>
      </c>
      <c r="AG553" t="inlineStr">
        <is>
          <t xml:space="preserve">FUNCTION: Component of some chromatin remodeling multiprotein complex that plays a role during spermatogenesis. {ECO:0000250|UniProtKB:Q0GGX2}.; </t>
        </is>
      </c>
      <c r="AH553" t="inlineStr">
        <is>
          <t>.</t>
        </is>
      </c>
      <c r="AI553" t="inlineStr">
        <is>
          <t>.</t>
        </is>
      </c>
      <c r="AJ553" t="inlineStr">
        <is>
          <t>.</t>
        </is>
      </c>
      <c r="AK553" t="inlineStr">
        <is>
          <t>.</t>
        </is>
      </c>
      <c r="AL553" t="inlineStr">
        <is>
          <t>.</t>
        </is>
      </c>
    </row>
    <row r="554">
      <c r="A554" t="inlineStr"/>
      <c r="B554">
        <f>HYPERLINK("https://genome.ucsc.edu/cgi-bin/hgTracks?db=hg19&amp;position=chr19%3A48965165%2D48965165", "chr19:48965165")</f>
        <v/>
      </c>
      <c r="C554" t="inlineStr">
        <is>
          <t>chr19</t>
        </is>
      </c>
      <c r="D554" t="n">
        <v>48965165</v>
      </c>
      <c r="E554" t="n">
        <v>48965165</v>
      </c>
      <c r="F554" t="inlineStr">
        <is>
          <t>C</t>
        </is>
      </c>
      <c r="G554" t="inlineStr">
        <is>
          <t>T</t>
        </is>
      </c>
      <c r="H554" t="inlineStr">
        <is>
          <t>574.64</t>
        </is>
      </c>
      <c r="I554" t="inlineStr">
        <is>
          <t>65</t>
        </is>
      </c>
      <c r="J554" t="inlineStr">
        <is>
          <t>40,25</t>
        </is>
      </c>
      <c r="K554" t="inlineStr">
        <is>
          <t>.</t>
        </is>
      </c>
      <c r="L554">
        <f>HYPERLINK("https://www.ncbi.nlm.nih.gov/snp/rs370291546", "rs370291546")</f>
        <v/>
      </c>
      <c r="M554">
        <f>HYPERLINK("https://www.genecards.org/Search/Keyword?queryString=%5Baliases%5D(%20KCNJ14%20)&amp;keywords=KCNJ14", "KCNJ14")</f>
        <v/>
      </c>
      <c r="N554" t="inlineStr">
        <is>
          <t>exonic</t>
        </is>
      </c>
      <c r="O554" t="inlineStr">
        <is>
          <t>nonsynonymous SNV</t>
        </is>
      </c>
      <c r="P554" t="inlineStr">
        <is>
          <t>KCNJ14:NM_013348:exon2:c.C184T:p.R62C;KCNJ14:uc002pjf.1:exon1:c.C184T:p.R62C,KCNJ14:uc002pje.2:exon2:c.C184T:p.R62C;KCNJ14:ENST00000391884.2_2:exon1:c.C184T:p.R62C,KCNJ14:ENST00000342291.3_3:exon2:c.C184T:p.R62C</t>
        </is>
      </c>
      <c r="Q554" t="n">
        <v>0.000200047</v>
      </c>
      <c r="R554" t="n">
        <v>9.027e-05</v>
      </c>
      <c r="S554" t="n">
        <v>0.0001</v>
      </c>
      <c r="T554" t="n">
        <v>-1</v>
      </c>
      <c r="U554" t="n">
        <v>0.0002</v>
      </c>
      <c r="V554" t="inlineStr">
        <is>
          <t>6/11</t>
        </is>
      </c>
      <c r="W554" t="inlineStr">
        <is>
          <t>.</t>
        </is>
      </c>
      <c r="X554" t="inlineStr">
        <is>
          <t>.</t>
        </is>
      </c>
      <c r="Y554" t="inlineStr">
        <is>
          <t>.</t>
        </is>
      </c>
      <c r="Z554" t="inlineStr">
        <is>
          <t>1/7</t>
        </is>
      </c>
      <c r="AA554" t="inlineStr">
        <is>
          <t>Uncertain significance</t>
        </is>
      </c>
      <c r="AB554" t="inlineStr">
        <is>
          <t>.</t>
        </is>
      </c>
      <c r="AC554" t="inlineStr">
        <is>
          <t>0/1</t>
        </is>
      </c>
      <c r="AD554" t="inlineStr">
        <is>
          <t>1</t>
        </is>
      </c>
      <c r="AE554" t="inlineStr">
        <is>
          <t>8.51179265459349e-05</t>
        </is>
      </c>
      <c r="AF554" t="inlineStr">
        <is>
          <t>potassium voltage-gated channel subfamily J member 14</t>
        </is>
      </c>
      <c r="AG554" t="inlineStr">
        <is>
          <t xml:space="preserve">FUNCTION: Inward rectifier potassium channels are characterized by a greater tendency to allow potassium to flow into the cell rather than out of it. Their voltage dependence is regulated by the concentration of extracellular potassium; as external potassium is raised, the voltage range of the channel opening shifts to more positive voltages. The inward rectification is mainly due to the blockage of outward current by internal magnesium. KCNJ14 gives rise to low-conductance channels with a low affinity to the channel blockers Barium and Cesium (By similarity). {ECO:0000250}.; </t>
        </is>
      </c>
      <c r="AH554" t="inlineStr">
        <is>
          <t>.</t>
        </is>
      </c>
      <c r="AI554" t="inlineStr">
        <is>
          <t>.</t>
        </is>
      </c>
      <c r="AJ554" t="inlineStr">
        <is>
          <t>.</t>
        </is>
      </c>
      <c r="AK554" t="inlineStr">
        <is>
          <t>.</t>
        </is>
      </c>
      <c r="AL554" t="inlineStr">
        <is>
          <t>.</t>
        </is>
      </c>
    </row>
    <row r="555">
      <c r="A555" t="inlineStr"/>
      <c r="B555">
        <f>HYPERLINK("https://genome.ucsc.edu/cgi-bin/hgTracks?db=hg19&amp;position=chr19%3A49142791%2D49142791", "chr19:49142791")</f>
        <v/>
      </c>
      <c r="C555" t="inlineStr">
        <is>
          <t>chr19</t>
        </is>
      </c>
      <c r="D555" t="n">
        <v>49142791</v>
      </c>
      <c r="E555" t="n">
        <v>49142791</v>
      </c>
      <c r="F555" t="inlineStr">
        <is>
          <t>A</t>
        </is>
      </c>
      <c r="G555" t="inlineStr">
        <is>
          <t>T</t>
        </is>
      </c>
      <c r="H555" t="inlineStr">
        <is>
          <t>523.64</t>
        </is>
      </c>
      <c r="I555" t="inlineStr">
        <is>
          <t>80</t>
        </is>
      </c>
      <c r="J555" t="inlineStr">
        <is>
          <t>55,25</t>
        </is>
      </c>
      <c r="K555" t="inlineStr">
        <is>
          <t>.</t>
        </is>
      </c>
      <c r="L555">
        <f>HYPERLINK("https://www.ncbi.nlm.nih.gov/snp/rs141672508", "rs141672508")</f>
        <v/>
      </c>
      <c r="M555">
        <f>HYPERLINK("https://www.genecards.org/Search/Keyword?queryString=%5Baliases%5D(%20CA11%20)%20OR%20%5Baliases%5D(%20SEC1P%20)&amp;keywords=CA11,SEC1P", "CA11;SEC1P")</f>
        <v/>
      </c>
      <c r="N555" t="inlineStr">
        <is>
          <t>intronic;ncRNA_intronic</t>
        </is>
      </c>
      <c r="O555" t="inlineStr">
        <is>
          <t>.</t>
        </is>
      </c>
      <c r="P555" t="inlineStr">
        <is>
          <t>.</t>
        </is>
      </c>
      <c r="Q555" t="n">
        <v>0.0189</v>
      </c>
      <c r="R555" t="n">
        <v>0.0133</v>
      </c>
      <c r="S555" t="n">
        <v>0.014</v>
      </c>
      <c r="T555" t="n">
        <v>-1</v>
      </c>
      <c r="U555" t="n">
        <v>0.0122</v>
      </c>
      <c r="V555" t="inlineStr">
        <is>
          <t>.</t>
        </is>
      </c>
      <c r="W555" t="inlineStr">
        <is>
          <t>.</t>
        </is>
      </c>
      <c r="X555" t="inlineStr">
        <is>
          <t>D</t>
        </is>
      </c>
      <c r="Y555" t="inlineStr">
        <is>
          <t>off</t>
        </is>
      </c>
      <c r="Z555" t="inlineStr">
        <is>
          <t>.</t>
        </is>
      </c>
      <c r="AA555" t="inlineStr">
        <is>
          <t>.</t>
        </is>
      </c>
      <c r="AB555" t="inlineStr">
        <is>
          <t>.</t>
        </is>
      </c>
      <c r="AC555" t="inlineStr">
        <is>
          <t>0/1</t>
        </is>
      </c>
      <c r="AD555" t="inlineStr">
        <is>
          <t>1;1</t>
        </is>
      </c>
      <c r="AE555" t="inlineStr">
        <is>
          <t>0.976097038480165</t>
        </is>
      </c>
      <c r="AF555" t="inlineStr">
        <is>
          <t>carbonic anhydrase XI;secretory blood group 1, pseudogene</t>
        </is>
      </c>
      <c r="AG555" t="inlineStr">
        <is>
          <t xml:space="preserve">FUNCTION: Does not have a catalytic activity.; </t>
        </is>
      </c>
      <c r="AH555" t="inlineStr">
        <is>
          <t>.</t>
        </is>
      </c>
      <c r="AI555" t="inlineStr">
        <is>
          <t>.</t>
        </is>
      </c>
      <c r="AJ555" t="inlineStr">
        <is>
          <t>.</t>
        </is>
      </c>
      <c r="AK555" t="inlineStr">
        <is>
          <t>.</t>
        </is>
      </c>
      <c r="AL555" t="inlineStr">
        <is>
          <t>.</t>
        </is>
      </c>
    </row>
    <row r="556">
      <c r="A556" t="inlineStr"/>
      <c r="B556">
        <f>HYPERLINK("https://genome.ucsc.edu/cgi-bin/hgTracks?db=hg19&amp;position=chr19%3A49536437%2D49536437", "chr19:49536437")</f>
        <v/>
      </c>
      <c r="C556" t="inlineStr">
        <is>
          <t>chr19</t>
        </is>
      </c>
      <c r="D556" t="n">
        <v>49536437</v>
      </c>
      <c r="E556" t="n">
        <v>49536437</v>
      </c>
      <c r="F556" t="inlineStr">
        <is>
          <t>C</t>
        </is>
      </c>
      <c r="G556" t="inlineStr">
        <is>
          <t>T</t>
        </is>
      </c>
      <c r="H556" t="inlineStr">
        <is>
          <t>1319.64</t>
        </is>
      </c>
      <c r="I556" t="inlineStr">
        <is>
          <t>70</t>
        </is>
      </c>
      <c r="J556" t="inlineStr">
        <is>
          <t>16,54</t>
        </is>
      </c>
      <c r="K556" t="inlineStr">
        <is>
          <t>.</t>
        </is>
      </c>
      <c r="L556">
        <f>HYPERLINK("https://www.ncbi.nlm.nih.gov/snp/rs202133130", "rs202133130")</f>
        <v/>
      </c>
      <c r="M556">
        <f>HYPERLINK("https://www.genecards.org/Search/Keyword?queryString=%5Baliases%5D(%20CGB2%20)&amp;keywords=CGB2", "CGB2")</f>
        <v/>
      </c>
      <c r="N556" t="inlineStr">
        <is>
          <t>exonic</t>
        </is>
      </c>
      <c r="O556" t="inlineStr">
        <is>
          <t>stopgain</t>
        </is>
      </c>
      <c r="P556" t="inlineStr">
        <is>
          <t>CGB2:NM_001319065:exon3:c.C415T:p.R139X,CGB2:NM_033378:exon3:c.C451T:p.R151X;CGB2:uc002plw.3:exon3:c.C451T:p.R151X,CGB2:uc010yaf.2:exon3:c.C415T:p.R139X;CGB2:ENST00000359342.7_4:exon3:c.C451T:p.R151X</t>
        </is>
      </c>
      <c r="Q556" t="n">
        <v>0.0015</v>
      </c>
      <c r="R556" t="n">
        <v>0.0013</v>
      </c>
      <c r="S556" t="n">
        <v>0.0018</v>
      </c>
      <c r="T556" t="n">
        <v>-1</v>
      </c>
      <c r="U556" t="n">
        <v>0.0016</v>
      </c>
      <c r="V556" t="inlineStr">
        <is>
          <t>0/2</t>
        </is>
      </c>
      <c r="W556" t="inlineStr">
        <is>
          <t>.</t>
        </is>
      </c>
      <c r="X556" t="inlineStr">
        <is>
          <t>.</t>
        </is>
      </c>
      <c r="Y556" t="inlineStr">
        <is>
          <t>.</t>
        </is>
      </c>
      <c r="Z556" t="inlineStr">
        <is>
          <t>0/7</t>
        </is>
      </c>
      <c r="AA556" t="inlineStr">
        <is>
          <t>Uncertain significance</t>
        </is>
      </c>
      <c r="AB556" t="inlineStr">
        <is>
          <t>.</t>
        </is>
      </c>
      <c r="AC556" t="inlineStr">
        <is>
          <t>0/1</t>
        </is>
      </c>
      <c r="AD556" t="inlineStr">
        <is>
          <t>1</t>
        </is>
      </c>
      <c r="AE556" t="inlineStr">
        <is>
          <t>0.0694219778865575</t>
        </is>
      </c>
      <c r="AF556" t="inlineStr">
        <is>
          <t>chorionic gonadotropin beta subunit 2</t>
        </is>
      </c>
      <c r="AG556" t="inlineStr">
        <is>
          <t>.</t>
        </is>
      </c>
      <c r="AH556" t="inlineStr">
        <is>
          <t>.</t>
        </is>
      </c>
      <c r="AI556" t="inlineStr">
        <is>
          <t>.</t>
        </is>
      </c>
      <c r="AJ556" t="inlineStr">
        <is>
          <t>.</t>
        </is>
      </c>
      <c r="AK556" t="inlineStr">
        <is>
          <t>.</t>
        </is>
      </c>
      <c r="AL556" t="inlineStr">
        <is>
          <t>NGS_HighStringency</t>
        </is>
      </c>
    </row>
    <row r="557">
      <c r="A557" t="inlineStr"/>
      <c r="B557">
        <f>HYPERLINK("https://genome.ucsc.edu/cgi-bin/hgTracks?db=hg19&amp;position=chr19%3A49656934%2D49656934", "chr19:49656934")</f>
        <v/>
      </c>
      <c r="C557" t="inlineStr">
        <is>
          <t>chr19</t>
        </is>
      </c>
      <c r="D557" t="n">
        <v>49656934</v>
      </c>
      <c r="E557" t="n">
        <v>49656934</v>
      </c>
      <c r="F557" t="inlineStr">
        <is>
          <t>C</t>
        </is>
      </c>
      <c r="G557" t="inlineStr">
        <is>
          <t>T</t>
        </is>
      </c>
      <c r="H557" t="inlineStr">
        <is>
          <t>396.64</t>
        </is>
      </c>
      <c r="I557" t="inlineStr">
        <is>
          <t>96</t>
        </is>
      </c>
      <c r="J557" t="inlineStr">
        <is>
          <t>74,22</t>
        </is>
      </c>
      <c r="K557" t="inlineStr">
        <is>
          <t>.</t>
        </is>
      </c>
      <c r="L557" t="inlineStr">
        <is>
          <t>.</t>
        </is>
      </c>
      <c r="M557">
        <f>HYPERLINK("https://www.genecards.org/Search/Keyword?queryString=%5Baliases%5D(%20HRC%20)&amp;keywords=HRC", "HRC")</f>
        <v/>
      </c>
      <c r="N557" t="inlineStr">
        <is>
          <t>exonic</t>
        </is>
      </c>
      <c r="O557" t="inlineStr">
        <is>
          <t>nonsynonymous SNV</t>
        </is>
      </c>
      <c r="P557" t="inlineStr">
        <is>
          <t>HRC:NM_002152:exon1:c.G1561A:p.D521N;HRC:uc002pmv.3:exon1:c.G1561A:p.D521N;HRC:ENST00000252825.9_5:exon1:c.G1561A:p.D521N,HRC:ENST00000595625.1_3:exon1:c.G1561A:p.D521N</t>
        </is>
      </c>
      <c r="Q557" t="n">
        <v>-1</v>
      </c>
      <c r="R557" t="n">
        <v>-1</v>
      </c>
      <c r="S557" t="n">
        <v>-1</v>
      </c>
      <c r="T557" t="n">
        <v>-1</v>
      </c>
      <c r="U557" t="n">
        <v>-1</v>
      </c>
      <c r="V557" t="inlineStr">
        <is>
          <t>4/11</t>
        </is>
      </c>
      <c r="W557" t="inlineStr">
        <is>
          <t>.</t>
        </is>
      </c>
      <c r="X557" t="inlineStr">
        <is>
          <t>.</t>
        </is>
      </c>
      <c r="Y557" t="inlineStr">
        <is>
          <t>.</t>
        </is>
      </c>
      <c r="Z557" t="inlineStr">
        <is>
          <t>0/7</t>
        </is>
      </c>
      <c r="AA557" t="inlineStr">
        <is>
          <t>Uncertain significance</t>
        </is>
      </c>
      <c r="AB557" t="inlineStr">
        <is>
          <t>.</t>
        </is>
      </c>
      <c r="AC557" t="inlineStr">
        <is>
          <t>0/1</t>
        </is>
      </c>
      <c r="AD557" t="inlineStr">
        <is>
          <t>1</t>
        </is>
      </c>
      <c r="AE557" t="inlineStr">
        <is>
          <t>3.13676309509999e-05</t>
        </is>
      </c>
      <c r="AF557" t="inlineStr">
        <is>
          <t>histidine rich calcium binding protein</t>
        </is>
      </c>
      <c r="AG557" t="inlineStr">
        <is>
          <t xml:space="preserve">FUNCTION: May play a role in the regulation of calcium sequestration or release in the SR of skeletal and cardiac muscle.; </t>
        </is>
      </c>
      <c r="AH557" t="inlineStr">
        <is>
          <t>.</t>
        </is>
      </c>
      <c r="AI557" t="inlineStr">
        <is>
          <t>.</t>
        </is>
      </c>
      <c r="AJ557" t="inlineStr">
        <is>
          <t>.</t>
        </is>
      </c>
      <c r="AK557" t="inlineStr">
        <is>
          <t>.</t>
        </is>
      </c>
      <c r="AL557" t="inlineStr">
        <is>
          <t>.</t>
        </is>
      </c>
    </row>
    <row r="558">
      <c r="A558" t="inlineStr"/>
      <c r="B558">
        <f>HYPERLINK("https://genome.ucsc.edu/cgi-bin/hgTracks?db=hg19&amp;position=chr19%3A51361307%2D51361307", "chr19:51361307")</f>
        <v/>
      </c>
      <c r="C558" t="inlineStr">
        <is>
          <t>chr19</t>
        </is>
      </c>
      <c r="D558" t="n">
        <v>51361307</v>
      </c>
      <c r="E558" t="n">
        <v>51361307</v>
      </c>
      <c r="F558" t="inlineStr">
        <is>
          <t>C</t>
        </is>
      </c>
      <c r="G558" t="inlineStr">
        <is>
          <t>T</t>
        </is>
      </c>
      <c r="H558" t="inlineStr">
        <is>
          <t>1311.64</t>
        </is>
      </c>
      <c r="I558" t="inlineStr">
        <is>
          <t>77</t>
        </is>
      </c>
      <c r="J558" t="inlineStr">
        <is>
          <t>27,50</t>
        </is>
      </c>
      <c r="K558" t="inlineStr">
        <is>
          <t>.</t>
        </is>
      </c>
      <c r="L558">
        <f>HYPERLINK("https://www.ncbi.nlm.nih.gov/snp/rs146422657", "rs146422657")</f>
        <v/>
      </c>
      <c r="M558">
        <f>HYPERLINK("https://www.genecards.org/Search/Keyword?queryString=%5Baliases%5D(%20KLK3%20)&amp;keywords=KLK3", "KLK3")</f>
        <v/>
      </c>
      <c r="N558" t="inlineStr">
        <is>
          <t>exonic</t>
        </is>
      </c>
      <c r="O558" t="inlineStr">
        <is>
          <t>nonsynonymous SNV</t>
        </is>
      </c>
      <c r="P558" t="inlineStr">
        <is>
          <t>KLK3:NM_001030047:exon3:c.C229T:p.R77W,KLK3:NM_001648:exon3:c.C229T:p.R77W;KLK3:uc002pts.1:exon3:c.C229T:p.R77W,KLK3:uc021uyi.1:exon3:c.C229T:p.R77W;KLK3:ENST00000326003.7_3:exon3:c.C229T:p.R77W,KLK3:ENST00000360617.7_1:exon3:c.C229T:p.R77W,KLK3:ENST00000593997.5_1:exon3:c.C229T:p.R77W</t>
        </is>
      </c>
      <c r="Q558" t="n">
        <v>0.0003</v>
      </c>
      <c r="R558" t="n">
        <v>9.02e-05</v>
      </c>
      <c r="S558" t="n">
        <v>0.0001</v>
      </c>
      <c r="T558" t="n">
        <v>-1</v>
      </c>
      <c r="U558" t="n">
        <v>-1</v>
      </c>
      <c r="V558" t="inlineStr">
        <is>
          <t>6/11</t>
        </is>
      </c>
      <c r="W558" t="inlineStr">
        <is>
          <t>.</t>
        </is>
      </c>
      <c r="X558" t="inlineStr">
        <is>
          <t>.</t>
        </is>
      </c>
      <c r="Y558" t="inlineStr">
        <is>
          <t>.</t>
        </is>
      </c>
      <c r="Z558" t="inlineStr">
        <is>
          <t>0/7</t>
        </is>
      </c>
      <c r="AA558" t="inlineStr">
        <is>
          <t>Uncertain significance</t>
        </is>
      </c>
      <c r="AB558" t="inlineStr">
        <is>
          <t>.</t>
        </is>
      </c>
      <c r="AC558" t="inlineStr">
        <is>
          <t>0/1</t>
        </is>
      </c>
      <c r="AD558" t="inlineStr">
        <is>
          <t>1</t>
        </is>
      </c>
      <c r="AE558" t="inlineStr">
        <is>
          <t>0.00347267051874821</t>
        </is>
      </c>
      <c r="AF558" t="inlineStr">
        <is>
          <t>kallikrein related peptidase 3</t>
        </is>
      </c>
      <c r="AG558" t="inlineStr">
        <is>
          <t xml:space="preserve">FUNCTION: Hydrolyzes semenogelin-1 thus leading to the liquefaction of the seminal coagulum.; </t>
        </is>
      </c>
      <c r="AH558" t="inlineStr">
        <is>
          <t>.</t>
        </is>
      </c>
      <c r="AI558" t="inlineStr">
        <is>
          <t>.</t>
        </is>
      </c>
      <c r="AJ558" t="inlineStr">
        <is>
          <t>.</t>
        </is>
      </c>
      <c r="AK558" t="inlineStr">
        <is>
          <t>.</t>
        </is>
      </c>
      <c r="AL558" t="inlineStr">
        <is>
          <t>.</t>
        </is>
      </c>
    </row>
    <row r="559">
      <c r="A559" t="inlineStr"/>
      <c r="B559">
        <f>HYPERLINK("https://genome.ucsc.edu/cgi-bin/hgTracks?db=hg19&amp;position=chr19%3A51582808%2D51582808", "chr19:51582808")</f>
        <v/>
      </c>
      <c r="C559" t="inlineStr">
        <is>
          <t>chr19</t>
        </is>
      </c>
      <c r="D559" t="n">
        <v>51582808</v>
      </c>
      <c r="E559" t="n">
        <v>51582808</v>
      </c>
      <c r="F559" t="inlineStr">
        <is>
          <t>G</t>
        </is>
      </c>
      <c r="G559" t="inlineStr">
        <is>
          <t>A</t>
        </is>
      </c>
      <c r="H559" t="inlineStr">
        <is>
          <t>1746.64</t>
        </is>
      </c>
      <c r="I559" t="inlineStr">
        <is>
          <t>112</t>
        </is>
      </c>
      <c r="J559" t="inlineStr">
        <is>
          <t>41,71</t>
        </is>
      </c>
      <c r="K559" t="inlineStr">
        <is>
          <t>.</t>
        </is>
      </c>
      <c r="L559">
        <f>HYPERLINK("https://www.ncbi.nlm.nih.gov/snp/rs112658494", "rs112658494")</f>
        <v/>
      </c>
      <c r="M559">
        <f>HYPERLINK("https://www.genecards.org/Search/Keyword?queryString=%5Baliases%5D(%20KLK14%20)&amp;keywords=KLK14", "KLK14")</f>
        <v/>
      </c>
      <c r="N559" t="inlineStr">
        <is>
          <t>exonic</t>
        </is>
      </c>
      <c r="O559" t="inlineStr">
        <is>
          <t>nonsynonymous SNV</t>
        </is>
      </c>
      <c r="P559" t="inlineStr">
        <is>
          <t>KLK14:NM_001369775:exon4:c.C364T:p.R122W,KLK14:NM_001311182:exon5:c.C364T:p.R122W,KLK14:NM_022046:exon5:c.C364T:p.R122W;KLK14:uc002pvs.1:exon5:c.C412T:p.R138W,KLK14:uc021uyk.1:exon5:c.C412T:p.R138W;KLK14:ENST00000650543.2_10:exon4:c.C364T:p.R122W,KLK14:ENST00000156499.7_10:exon5:c.C364T:p.R122W,KLK14:ENST00000391802.1_8:exon5:c.C412T:p.R138W</t>
        </is>
      </c>
      <c r="Q559" t="n">
        <v>0.022727</v>
      </c>
      <c r="R559" t="n">
        <v>0.0118</v>
      </c>
      <c r="S559" t="n">
        <v>0.0125</v>
      </c>
      <c r="T559" t="n">
        <v>-1</v>
      </c>
      <c r="U559" t="n">
        <v>0.0125</v>
      </c>
      <c r="V559" t="inlineStr">
        <is>
          <t>4/9</t>
        </is>
      </c>
      <c r="W559" t="inlineStr">
        <is>
          <t>.</t>
        </is>
      </c>
      <c r="X559" t="inlineStr">
        <is>
          <t>.</t>
        </is>
      </c>
      <c r="Y559" t="inlineStr">
        <is>
          <t>.</t>
        </is>
      </c>
      <c r="Z559" t="inlineStr">
        <is>
          <t>0/7</t>
        </is>
      </c>
      <c r="AA559" t="inlineStr">
        <is>
          <t>Likely benign</t>
        </is>
      </c>
      <c r="AB559" t="inlineStr">
        <is>
          <t>.</t>
        </is>
      </c>
      <c r="AC559" t="inlineStr">
        <is>
          <t>0/1</t>
        </is>
      </c>
      <c r="AD559" t="inlineStr">
        <is>
          <t>1</t>
        </is>
      </c>
      <c r="AE559" t="inlineStr">
        <is>
          <t>1.09820370579845e-09</t>
        </is>
      </c>
      <c r="AF559" t="inlineStr">
        <is>
          <t>kallikrein related peptidase 14</t>
        </is>
      </c>
      <c r="AG559" t="inlineStr">
        <is>
          <t xml:space="preserve">FUNCTION: Serine-type endopeptidase with a dual trypsin-like and chymotrypsin-like substrate specificity. May activate/inactivate the proteinase-activated receptors F2R, F2RL1 and F2RL3 and other kallikreins including KLK1, KLK3, KLK5 and KLK11. May function in seminal clot liquefaction through direct cleavage of the semenogelin SEMG1 and SEMG2 and activation of KLK3. May function through desmoglein DSG1 cleavage in epidermal desquamation a process by which the most superficial corneocytes are shed from the skin surface. May be involved in several aspects of tumor progression including growth, invasion and angiogenesis. {ECO:0000269|PubMed:15654974, ECO:0000269|PubMed:16885167, ECO:0000269|PubMed:17158887, ECO:0000269|PubMed:17625593, ECO:0000269|PubMed:18056261, ECO:0000269|PubMed:18482984}.; </t>
        </is>
      </c>
      <c r="AH559" t="inlineStr">
        <is>
          <t>.</t>
        </is>
      </c>
      <c r="AI559" t="inlineStr">
        <is>
          <t>.</t>
        </is>
      </c>
      <c r="AJ559" t="inlineStr">
        <is>
          <t>.</t>
        </is>
      </c>
      <c r="AK559" t="inlineStr">
        <is>
          <t>.</t>
        </is>
      </c>
      <c r="AL559" t="inlineStr">
        <is>
          <t>.</t>
        </is>
      </c>
    </row>
    <row r="560">
      <c r="A560" t="inlineStr"/>
      <c r="B560">
        <f>HYPERLINK("https://genome.ucsc.edu/cgi-bin/hgTracks?db=hg19&amp;position=chr19%3A52034549%2D52034549", "chr19:52034549")</f>
        <v/>
      </c>
      <c r="C560" t="inlineStr">
        <is>
          <t>chr19</t>
        </is>
      </c>
      <c r="D560" t="n">
        <v>52034549</v>
      </c>
      <c r="E560" t="n">
        <v>52034549</v>
      </c>
      <c r="F560" t="inlineStr">
        <is>
          <t>C</t>
        </is>
      </c>
      <c r="G560" t="inlineStr">
        <is>
          <t>A</t>
        </is>
      </c>
      <c r="H560" t="inlineStr">
        <is>
          <t>2220.64</t>
        </is>
      </c>
      <c r="I560" t="inlineStr">
        <is>
          <t>134</t>
        </is>
      </c>
      <c r="J560" t="inlineStr">
        <is>
          <t>42,92</t>
        </is>
      </c>
      <c r="K560" t="inlineStr">
        <is>
          <t>.</t>
        </is>
      </c>
      <c r="L560">
        <f>HYPERLINK("https://www.ncbi.nlm.nih.gov/snp/rs62617068", "rs62617068")</f>
        <v/>
      </c>
      <c r="M560">
        <f>HYPERLINK("https://www.genecards.org/Search/Keyword?queryString=%5Baliases%5D(%20SIGLEC6%20)&amp;keywords=SIGLEC6", "SIGLEC6")</f>
        <v/>
      </c>
      <c r="N560" t="inlineStr">
        <is>
          <t>exonic</t>
        </is>
      </c>
      <c r="O560" t="inlineStr">
        <is>
          <t>nonsynonymous SNV</t>
        </is>
      </c>
      <c r="P560" t="inlineStr">
        <is>
          <t>SIGLEC6:NM_001177547:exon2:c.G184T:p.D62Y,SIGLEC6:NM_001177548:exon2:c.G292T:p.D98Y,SIGLEC6:NM_001177549:exon2:c.G292T:p.D98Y,SIGLEC6:NM_001245:exon2:c.G292T:p.D98Y,SIGLEC6:NM_198845:exon2:c.G292T:p.D98Y,SIGLEC6:NM_198846:exon2:c.G292T:p.D98Y;SIGLEC6:uc002pwy.3:exon2:c.G292T:p.D98Y,SIGLEC6:uc002pwz.3:exon2:c.G292T:p.D98Y,SIGLEC6:uc002pxa.3:exon2:c.G292T:p.D98Y,SIGLEC6:uc010eoz.2:exon2:c.G292T:p.D98Y,SIGLEC6:uc010epa.2:exon2:c.G259T:p.D87Y,SIGLEC6:uc010epb.2:exon2:c.G151T:p.D51Y,SIGLEC6:uc010ydb.2:exon2:c.G184T:p.D62Y,SIGLEC6:uc010ydc.2:exon2:c.G292T:p.D98Y;SIGLEC6:ENST00000343300.8_5:exon2:c.G292T:p.D98Y,SIGLEC6:ENST00000346477.7_3:exon2:c.G292T:p.D98Y,SIGLEC6:ENST00000359982.8_5:exon2:c.G292T:p.D98Y,SIGLEC6:ENST00000391797.3_5:exon2:c.G292T:p.D98Y,SIGLEC6:ENST00000425629.8_8:exon2:c.G292T:p.D98Y,SIGLEC6:ENST00000436458.5_6:exon2:c.G184T:p.D62Y</t>
        </is>
      </c>
      <c r="Q560" t="n">
        <v>0.025862</v>
      </c>
      <c r="R560" t="n">
        <v>0.0089</v>
      </c>
      <c r="S560" t="n">
        <v>0.009900000000000001</v>
      </c>
      <c r="T560" t="n">
        <v>-1</v>
      </c>
      <c r="U560" t="n">
        <v>0.0081</v>
      </c>
      <c r="V560" t="inlineStr">
        <is>
          <t>4/10</t>
        </is>
      </c>
      <c r="W560" t="inlineStr">
        <is>
          <t>.</t>
        </is>
      </c>
      <c r="X560" t="inlineStr">
        <is>
          <t>.</t>
        </is>
      </c>
      <c r="Y560" t="inlineStr">
        <is>
          <t>.</t>
        </is>
      </c>
      <c r="Z560" t="inlineStr">
        <is>
          <t>0/7</t>
        </is>
      </c>
      <c r="AA560" t="inlineStr">
        <is>
          <t>Likely benign</t>
        </is>
      </c>
      <c r="AB560" t="inlineStr">
        <is>
          <t>Benign</t>
        </is>
      </c>
      <c r="AC560" t="inlineStr">
        <is>
          <t>0/1</t>
        </is>
      </c>
      <c r="AD560" t="inlineStr">
        <is>
          <t>1</t>
        </is>
      </c>
      <c r="AE560" t="inlineStr">
        <is>
          <t>0.024724478649233</t>
        </is>
      </c>
      <c r="AF560" t="inlineStr">
        <is>
          <t>sialic acid binding Ig like lectin 6</t>
        </is>
      </c>
      <c r="AG560" t="inlineStr">
        <is>
          <t xml:space="preserve">FUNCTION: Putative adhesion molecule that mediates sialic-acid dependent binding to cells. Binds to alpha-2,6-linked sialic acid. The sialic acid recognition site may be masked by cis interactions with sialic acids on the same cell surface.; </t>
        </is>
      </c>
      <c r="AH560" t="inlineStr">
        <is>
          <t>.</t>
        </is>
      </c>
      <c r="AI560" t="inlineStr">
        <is>
          <t>.</t>
        </is>
      </c>
      <c r="AJ560" t="inlineStr">
        <is>
          <t>.</t>
        </is>
      </c>
      <c r="AK560" t="inlineStr">
        <is>
          <t>.</t>
        </is>
      </c>
      <c r="AL560" t="inlineStr">
        <is>
          <t>.</t>
        </is>
      </c>
    </row>
    <row r="561">
      <c r="A561" t="inlineStr"/>
      <c r="B561">
        <f>HYPERLINK("https://genome.ucsc.edu/cgi-bin/hgTracks?db=hg19&amp;position=chr19%3A53344257%2D53344257", "chr19:53344257")</f>
        <v/>
      </c>
      <c r="C561" t="inlineStr">
        <is>
          <t>chr19</t>
        </is>
      </c>
      <c r="D561" t="n">
        <v>53344257</v>
      </c>
      <c r="E561" t="n">
        <v>53344257</v>
      </c>
      <c r="F561" t="inlineStr">
        <is>
          <t>C</t>
        </is>
      </c>
      <c r="G561" t="inlineStr">
        <is>
          <t>-</t>
        </is>
      </c>
      <c r="H561" t="inlineStr">
        <is>
          <t>239.60</t>
        </is>
      </c>
      <c r="I561" t="inlineStr">
        <is>
          <t>19</t>
        </is>
      </c>
      <c r="J561" t="inlineStr">
        <is>
          <t>12,7</t>
        </is>
      </c>
      <c r="K561" t="inlineStr">
        <is>
          <t>.</t>
        </is>
      </c>
      <c r="L561">
        <f>HYPERLINK("https://www.ncbi.nlm.nih.gov/snp/rs752278455", "rs752278455")</f>
        <v/>
      </c>
      <c r="M561">
        <f>HYPERLINK("https://www.genecards.org/Search/Keyword?queryString=%5Baliases%5D(%20ZNF468%20)&amp;keywords=ZNF468", "ZNF468")</f>
        <v/>
      </c>
      <c r="N561" t="inlineStr">
        <is>
          <t>exonic</t>
        </is>
      </c>
      <c r="O561" t="inlineStr">
        <is>
          <t>frameshift deletion</t>
        </is>
      </c>
      <c r="P561" t="inlineStr">
        <is>
          <t>ZNF468:NM_001008801:exon4:c.1290delG:p.R431Gfs*53;ZNF468:uc002qaf.3:exon4:c.1290delG:p.R431Gfs*53,ZNF468:uc031rms.1:exon5:c.1182delG:p.R395Gfs*53,ZNF468:uc021uzb.2:exon6:c.1131delG:p.R378Gfs*53,ZNF468:uc031rmr.1:exon6:c.1131delG:p.R378Gfs*53;ZNF468:ENST00000595646.6_6:exon4:c.1290delG:p.R431Gfs*53</t>
        </is>
      </c>
      <c r="Q561" t="n">
        <v>0.0012</v>
      </c>
      <c r="R561" t="n">
        <v>0.0012</v>
      </c>
      <c r="S561" t="n">
        <v>0.0018</v>
      </c>
      <c r="T561" t="n">
        <v>-1</v>
      </c>
      <c r="U561" t="n">
        <v>0.0041</v>
      </c>
      <c r="V561" t="inlineStr">
        <is>
          <t>.</t>
        </is>
      </c>
      <c r="W561" t="inlineStr">
        <is>
          <t>.</t>
        </is>
      </c>
      <c r="X561" t="inlineStr">
        <is>
          <t>.</t>
        </is>
      </c>
      <c r="Y561" t="inlineStr">
        <is>
          <t>.</t>
        </is>
      </c>
      <c r="Z561" t="inlineStr">
        <is>
          <t>.</t>
        </is>
      </c>
      <c r="AA561" t="inlineStr">
        <is>
          <t>.</t>
        </is>
      </c>
      <c r="AB561" t="inlineStr">
        <is>
          <t>.</t>
        </is>
      </c>
      <c r="AC561" t="inlineStr">
        <is>
          <t>.</t>
        </is>
      </c>
      <c r="AD561" t="inlineStr">
        <is>
          <t>2</t>
        </is>
      </c>
      <c r="AE561" t="inlineStr">
        <is>
          <t>4.58040583827181e-12</t>
        </is>
      </c>
      <c r="AF561" t="inlineStr">
        <is>
          <t>zinc finger protein 468</t>
        </is>
      </c>
      <c r="AG561" t="inlineStr">
        <is>
          <t xml:space="preserve">FUNCTION: May be involved in transcriptional regulation.; </t>
        </is>
      </c>
      <c r="AH561" t="inlineStr">
        <is>
          <t>.</t>
        </is>
      </c>
      <c r="AI561" t="inlineStr">
        <is>
          <t>.</t>
        </is>
      </c>
      <c r="AJ561" t="inlineStr">
        <is>
          <t>.</t>
        </is>
      </c>
      <c r="AK561" t="inlineStr">
        <is>
          <t>.</t>
        </is>
      </c>
      <c r="AL561" t="inlineStr">
        <is>
          <t>NGS_LowStringency</t>
        </is>
      </c>
    </row>
    <row r="562">
      <c r="A562" t="inlineStr"/>
      <c r="B562">
        <f>HYPERLINK("https://genome.ucsc.edu/cgi-bin/hgTracks?db=hg19&amp;position=chr19%3A53344260%2D53344342", "chr19:53344260")</f>
        <v/>
      </c>
      <c r="C562" t="inlineStr">
        <is>
          <t>chr19</t>
        </is>
      </c>
      <c r="D562" t="n">
        <v>53344260</v>
      </c>
      <c r="E562" t="n">
        <v>53344342</v>
      </c>
      <c r="F562" t="inlineStr">
        <is>
          <t>GTGTCTTTCCAGGTTTGATTTGCGACTGAAAACTTTGCAACATTCTTCACATTTGTAAGGTTTCTCTCCACTATGAATCCTCC</t>
        </is>
      </c>
      <c r="G562" t="inlineStr">
        <is>
          <t>-</t>
        </is>
      </c>
      <c r="H562" t="inlineStr">
        <is>
          <t>202.60</t>
        </is>
      </c>
      <c r="I562" t="inlineStr">
        <is>
          <t>31</t>
        </is>
      </c>
      <c r="J562" t="inlineStr">
        <is>
          <t>24,7</t>
        </is>
      </c>
      <c r="K562" t="inlineStr">
        <is>
          <t>.</t>
        </is>
      </c>
      <c r="L562" t="inlineStr">
        <is>
          <t>.</t>
        </is>
      </c>
      <c r="M562">
        <f>HYPERLINK("https://www.genecards.org/Search/Keyword?queryString=%5Baliases%5D(%20ZNF468%20)&amp;keywords=ZNF468", "ZNF468")</f>
        <v/>
      </c>
      <c r="N562" t="inlineStr">
        <is>
          <t>exonic</t>
        </is>
      </c>
      <c r="O562" t="inlineStr">
        <is>
          <t>frameshift deletion</t>
        </is>
      </c>
      <c r="P562" t="inlineStr">
        <is>
          <t>ZNF468:NM_001008801:exon4:c.1205_1287del:p.R402Kfs*13;ZNF468:uc002qaf.3:exon4:c.1205_1287del:p.R402Kfs*13,ZNF468:uc031rms.1:exon5:c.1097_1179del:p.R366Kfs*13,ZNF468:uc021uzb.2:exon6:c.1046_1128del:p.R349Kfs*13,ZNF468:uc031rmr.1:exon6:c.1046_1128del:p.R349Kfs*13;ZNF468:ENST00000595646.6_6:exon4:c.1205_1287del:p.R402Kfs*13</t>
        </is>
      </c>
      <c r="Q562" t="n">
        <v>0.0012</v>
      </c>
      <c r="R562" t="n">
        <v>0.0012</v>
      </c>
      <c r="S562" t="n">
        <v>0.0018</v>
      </c>
      <c r="T562" t="n">
        <v>-1</v>
      </c>
      <c r="U562" t="n">
        <v>0.0041</v>
      </c>
      <c r="V562" t="inlineStr">
        <is>
          <t>.</t>
        </is>
      </c>
      <c r="W562" t="inlineStr">
        <is>
          <t>.</t>
        </is>
      </c>
      <c r="X562" t="inlineStr">
        <is>
          <t>.</t>
        </is>
      </c>
      <c r="Y562" t="inlineStr">
        <is>
          <t>.</t>
        </is>
      </c>
      <c r="Z562" t="inlineStr">
        <is>
          <t>.</t>
        </is>
      </c>
      <c r="AA562" t="inlineStr">
        <is>
          <t>.</t>
        </is>
      </c>
      <c r="AB562" t="inlineStr">
        <is>
          <t>.</t>
        </is>
      </c>
      <c r="AC562" t="inlineStr">
        <is>
          <t>.</t>
        </is>
      </c>
      <c r="AD562" t="inlineStr">
        <is>
          <t>2</t>
        </is>
      </c>
      <c r="AE562" t="inlineStr">
        <is>
          <t>4.58040583827181e-12</t>
        </is>
      </c>
      <c r="AF562" t="inlineStr">
        <is>
          <t>zinc finger protein 468</t>
        </is>
      </c>
      <c r="AG562" t="inlineStr">
        <is>
          <t xml:space="preserve">FUNCTION: May be involved in transcriptional regulation.; </t>
        </is>
      </c>
      <c r="AH562" t="inlineStr">
        <is>
          <t>.</t>
        </is>
      </c>
      <c r="AI562" t="inlineStr">
        <is>
          <t>.</t>
        </is>
      </c>
      <c r="AJ562" t="inlineStr">
        <is>
          <t>.</t>
        </is>
      </c>
      <c r="AK562" t="inlineStr">
        <is>
          <t>.</t>
        </is>
      </c>
      <c r="AL562" t="inlineStr">
        <is>
          <t>NGS_LowStringency</t>
        </is>
      </c>
    </row>
    <row r="563">
      <c r="A563" t="inlineStr"/>
      <c r="B563">
        <f>HYPERLINK("https://genome.ucsc.edu/cgi-bin/hgTracks?db=hg19&amp;position=chr19%3A54392706%2D54392706", "chr19:54392706")</f>
        <v/>
      </c>
      <c r="C563" t="inlineStr">
        <is>
          <t>chr19</t>
        </is>
      </c>
      <c r="D563" t="n">
        <v>54392706</v>
      </c>
      <c r="E563" t="n">
        <v>54392706</v>
      </c>
      <c r="F563" t="inlineStr">
        <is>
          <t>G</t>
        </is>
      </c>
      <c r="G563" t="inlineStr">
        <is>
          <t>A</t>
        </is>
      </c>
      <c r="H563" t="inlineStr">
        <is>
          <t>136.64</t>
        </is>
      </c>
      <c r="I563" t="inlineStr">
        <is>
          <t>7</t>
        </is>
      </c>
      <c r="J563" t="inlineStr">
        <is>
          <t>2,5</t>
        </is>
      </c>
      <c r="K563" t="inlineStr">
        <is>
          <t>.</t>
        </is>
      </c>
      <c r="L563">
        <f>HYPERLINK("https://www.ncbi.nlm.nih.gov/snp/rs77674196", "rs77674196")</f>
        <v/>
      </c>
      <c r="M563">
        <f>HYPERLINK("https://www.genecards.org/Search/Keyword?queryString=%5Baliases%5D(%20PRKCG%20)&amp;keywords=PRKCG", "PRKCG")</f>
        <v/>
      </c>
      <c r="N563" t="inlineStr">
        <is>
          <t>intronic</t>
        </is>
      </c>
      <c r="O563" t="inlineStr">
        <is>
          <t>.</t>
        </is>
      </c>
      <c r="P563" t="inlineStr">
        <is>
          <t>.</t>
        </is>
      </c>
      <c r="Q563" t="n">
        <v>0.007</v>
      </c>
      <c r="R563" t="n">
        <v>0.0031</v>
      </c>
      <c r="S563" t="n">
        <v>0.0032</v>
      </c>
      <c r="T563" t="n">
        <v>-1</v>
      </c>
      <c r="U563" t="n">
        <v>0.0033</v>
      </c>
      <c r="V563" t="inlineStr">
        <is>
          <t>.</t>
        </is>
      </c>
      <c r="W563" t="inlineStr">
        <is>
          <t>.</t>
        </is>
      </c>
      <c r="X563" t="inlineStr">
        <is>
          <t>D</t>
        </is>
      </c>
      <c r="Y563" t="inlineStr">
        <is>
          <t>off</t>
        </is>
      </c>
      <c r="Z563" t="inlineStr">
        <is>
          <t>.</t>
        </is>
      </c>
      <c r="AA563" t="inlineStr">
        <is>
          <t>.</t>
        </is>
      </c>
      <c r="AB563" t="inlineStr">
        <is>
          <t>.</t>
        </is>
      </c>
      <c r="AC563" t="inlineStr">
        <is>
          <t>0/1</t>
        </is>
      </c>
      <c r="AD563" t="inlineStr">
        <is>
          <t>1</t>
        </is>
      </c>
      <c r="AE563" t="inlineStr">
        <is>
          <t>0.999823679633206</t>
        </is>
      </c>
      <c r="AF563" t="inlineStr">
        <is>
          <t>protein kinase C gamma</t>
        </is>
      </c>
      <c r="AG563" t="inlineStr">
        <is>
          <t xml:space="preserve">FUNCTION: Calcium-activated, phospholipid- and diacylglycerol (DAG)-dependent serine/threonine-protein kinase that plays diverse roles in neuronal cells and eye tissues, such as regulation of the neuronal receptors GRIA4/GLUR4 and GRIN1/NMDAR1, modulation of receptors and neuronal functions related to sensitivity to opiates, pain and alcohol, mediation of synaptic function and cell survival after ischemia, and inhibition of gap junction activity after oxidative stress. Binds and phosphorylates GRIA4/GLUR4 glutamate receptor and regulates its function by increasing plasma membrane-associated GRIA4 expression. In primary cerebellar neurons treated with the agonist 3,5-dihyidroxyphenylglycine, functions downstream of the metabotropic glutamate receptor GRM5/MGLUR5 and phosphorylates GRIN1/NMDAR1 receptor which plays a key role in synaptic plasticity, synaptogenesis, excitotoxicity, memory acquisition and learning. May be involved in the regulation of hippocampal long-term potentiation (LTP), but may be not necessary for the process of synaptic plasticity. May be involved in desensitization of mu-type opioid receptor-mediated G-protein activation in the spinal cord, and may be critical for the development and/or maintenance of morphine-induced reinforcing effects in the limbic forebrain. May modulate the functionality of mu-type-opioid receptors by participating in a signaling pathway which leads to the phosphorylation and degradation of opioid receptors. May also contributes to chronic morphine-induced changes in nociceptive processing. Plays a role in neuropathic pain mechanisms and contributes to the maintenance of the allodynia pain produced by peripheral inflammation. Plays an important role in initial sensitivity and tolerance to ethanol, by mediating the behavioral effects of ethanol as well as the effects of this drug on the GABA(A) receptors. During and after cerebral ischemia modulate neurotransmission and cell survival in synaptic membranes, and is involved in insulin-induced inhibition of necrosis, an important mechanism for minimizing ischemic injury. Required for the elimination of multiple climbing fibers during innervation of Purkinje cells in developing cerebellum. Is activated in lens epithelial cells upon hydrogen peroxide treatment, and phosphorylates connexin-43 (GJA1/CX43), resulting in disassembly of GJA1 gap junction plaques and inhibition of gap junction activity which could provide a protective effect against oxidative stress (By similarity). Phosphorylates p53/TP53 and promotes p53/TP53-dependent apoptosis in response to DNA damage. Involved in the phase resetting of the cerebral cortex circadian clock during temporally restricted feeding. Stabilizes the core clock component ARNTL/BMAL1 by interfering with its ubiquitination, thus suppressing its degradation, resulting in phase resetting of the cerebral cortex clock (By similarity). {ECO:0000250|UniProtKB:P63318, ECO:0000250|UniProtKB:P63319, ECO:0000269|PubMed:16377624}.; </t>
        </is>
      </c>
      <c r="AH563" t="inlineStr">
        <is>
          <t xml:space="preserve">DISEASE: Spinocerebellar ataxia 14 (SCA14) [MIM:605361]: Spinocerebellar ataxia is a clinically and genetically heterogeneous group of cerebellar disorders. Patients show progressive incoordination of gait and often poor coordination of hands, speech and eye movements, due to degeneration of the cerebellum with variable involvement of the brainstem and spinal cord. SCA14 is an autosomal dominant cerebellar ataxia (ADCA). {ECO:0000269|PubMed:12644968}. Note=The disease is caused by mutations affecting the gene represented in this entry.; </t>
        </is>
      </c>
      <c r="AI563" t="inlineStr">
        <is>
          <t>.</t>
        </is>
      </c>
      <c r="AJ563" t="inlineStr">
        <is>
          <t>.</t>
        </is>
      </c>
      <c r="AK563" t="inlineStr">
        <is>
          <t>.</t>
        </is>
      </c>
      <c r="AL563" t="inlineStr">
        <is>
          <t>.</t>
        </is>
      </c>
    </row>
    <row r="564">
      <c r="A564" t="inlineStr"/>
      <c r="B564">
        <f>HYPERLINK("https://genome.ucsc.edu/cgi-bin/hgTracks?db=hg19&amp;position=chr19%3A54725930%2D54725930", "chr19:54725930")</f>
        <v/>
      </c>
      <c r="C564" t="inlineStr">
        <is>
          <t>chr19</t>
        </is>
      </c>
      <c r="D564" t="n">
        <v>54725930</v>
      </c>
      <c r="E564" t="n">
        <v>54725930</v>
      </c>
      <c r="F564" t="inlineStr">
        <is>
          <t>C</t>
        </is>
      </c>
      <c r="G564" t="inlineStr">
        <is>
          <t>G</t>
        </is>
      </c>
      <c r="H564" t="inlineStr">
        <is>
          <t>1497.06</t>
        </is>
      </c>
      <c r="I564" t="inlineStr">
        <is>
          <t>49</t>
        </is>
      </c>
      <c r="J564" t="inlineStr">
        <is>
          <t>0,49</t>
        </is>
      </c>
      <c r="K564" t="inlineStr">
        <is>
          <t>.</t>
        </is>
      </c>
      <c r="L564" t="inlineStr">
        <is>
          <t>.</t>
        </is>
      </c>
      <c r="M564">
        <f>HYPERLINK("https://www.genecards.org/Search/Keyword?queryString=%5Baliases%5D(%20LILRB3%20)&amp;keywords=LILRB3", "LILRB3")</f>
        <v/>
      </c>
      <c r="N564" t="inlineStr">
        <is>
          <t>exonic;intronic</t>
        </is>
      </c>
      <c r="O564" t="inlineStr">
        <is>
          <t>nonsynonymous SNV</t>
        </is>
      </c>
      <c r="P564" t="inlineStr">
        <is>
          <t>LILRB3:uc002qee.1:exon4:c.G428C:p.R143P,LILRB3:uc002qef.1:exon4:c.G428C:p.R143P,LILRB3:uc002qeh.1:exon4:c.G428C:p.R143P,LILRB3:uc002qep.1:exon4:c.G428C:p.R143P,LILRB3:uc010erh.1:exon4:c.G428C:p.R143P;LILRB3:ENST00000245620.9:exon4:c.G428C:p.R143P,LILRB3:ENST00000346401.6:exon4:c.G428C:p.R143P,LILRB3:ENST00000407860.2:exon4:c.G428C:p.R143P,LILRB3:ENST00000424807.1:exon4:c.G428C:p.R143P,LILRB3:ENST00000391750.1:exon5:c.G428C:p.R143P</t>
        </is>
      </c>
      <c r="Q564" t="n">
        <v>-1</v>
      </c>
      <c r="R564" t="n">
        <v>-1</v>
      </c>
      <c r="S564" t="n">
        <v>-1</v>
      </c>
      <c r="T564" t="n">
        <v>-1</v>
      </c>
      <c r="U564" t="n">
        <v>-1</v>
      </c>
      <c r="V564" t="inlineStr">
        <is>
          <t>4/12</t>
        </is>
      </c>
      <c r="W564" t="inlineStr">
        <is>
          <t>.</t>
        </is>
      </c>
      <c r="X564" t="inlineStr">
        <is>
          <t>.</t>
        </is>
      </c>
      <c r="Y564" t="inlineStr">
        <is>
          <t>.</t>
        </is>
      </c>
      <c r="Z564" t="inlineStr">
        <is>
          <t>0/7</t>
        </is>
      </c>
      <c r="AA564" t="inlineStr">
        <is>
          <t>.</t>
        </is>
      </c>
      <c r="AB564" t="inlineStr">
        <is>
          <t>.</t>
        </is>
      </c>
      <c r="AC564" t="inlineStr">
        <is>
          <t>HOMO</t>
        </is>
      </c>
      <c r="AD564" t="inlineStr">
        <is>
          <t>1</t>
        </is>
      </c>
      <c r="AE564" t="inlineStr">
        <is>
          <t>0.0277606853655411</t>
        </is>
      </c>
      <c r="AF564" t="inlineStr">
        <is>
          <t>leukocyte immunoglobulin like receptor B3</t>
        </is>
      </c>
      <c r="AG564" t="inlineStr">
        <is>
          <t xml:space="preserve">FUNCTION: May act as receptor for class I MHC antigens. Becomes activated upon coligation of LILRB3 and immune receptors, such as FCGR2B and the B-cell receptor. Down-regulates antigen-induced B- cell activation by recruiting phosphatases to its immunoreceptor tyrosine-based inhibitor motifs (ITIM). {ECO:0000250|UniProtKB:P97484}.; </t>
        </is>
      </c>
      <c r="AH564" t="inlineStr">
        <is>
          <t>.</t>
        </is>
      </c>
      <c r="AI564" t="inlineStr">
        <is>
          <t>GenotypeConflict</t>
        </is>
      </c>
      <c r="AJ564" t="inlineStr">
        <is>
          <t>.</t>
        </is>
      </c>
      <c r="AK564" t="inlineStr">
        <is>
          <t>.</t>
        </is>
      </c>
      <c r="AL564" t="inlineStr">
        <is>
          <t>.</t>
        </is>
      </c>
    </row>
    <row r="565">
      <c r="A565" t="inlineStr"/>
      <c r="B565">
        <f>HYPERLINK("https://genome.ucsc.edu/cgi-bin/hgTracks?db=hg19&amp;position=chr19%3A55086104%2D55086104", "chr19:55086104")</f>
        <v/>
      </c>
      <c r="C565" t="inlineStr">
        <is>
          <t>chr19</t>
        </is>
      </c>
      <c r="D565" t="n">
        <v>55086104</v>
      </c>
      <c r="E565" t="n">
        <v>55086104</v>
      </c>
      <c r="F565" t="inlineStr">
        <is>
          <t>G</t>
        </is>
      </c>
      <c r="G565" t="inlineStr">
        <is>
          <t>A</t>
        </is>
      </c>
      <c r="H565" t="inlineStr">
        <is>
          <t>785.64</t>
        </is>
      </c>
      <c r="I565" t="inlineStr">
        <is>
          <t>122</t>
        </is>
      </c>
      <c r="J565" t="inlineStr">
        <is>
          <t>83,39</t>
        </is>
      </c>
      <c r="K565" t="inlineStr">
        <is>
          <t>.</t>
        </is>
      </c>
      <c r="L565">
        <f>HYPERLINK("https://www.ncbi.nlm.nih.gov/snp/rs45547738", "rs45547738")</f>
        <v/>
      </c>
      <c r="M565">
        <f>HYPERLINK("https://www.genecards.org/Search/Keyword?queryString=%5Baliases%5D(%20LILRA2%20)&amp;keywords=LILRA2", "LILRA2")</f>
        <v/>
      </c>
      <c r="N565" t="inlineStr">
        <is>
          <t>intronic</t>
        </is>
      </c>
      <c r="O565" t="inlineStr">
        <is>
          <t>.</t>
        </is>
      </c>
      <c r="P565" t="inlineStr">
        <is>
          <t>.</t>
        </is>
      </c>
      <c r="Q565" t="n">
        <v>0.006568</v>
      </c>
      <c r="R565" t="n">
        <v>0.0049</v>
      </c>
      <c r="S565" t="n">
        <v>0.0047</v>
      </c>
      <c r="T565" t="n">
        <v>-1</v>
      </c>
      <c r="U565" t="n">
        <v>0.0081</v>
      </c>
      <c r="V565" t="inlineStr">
        <is>
          <t>.</t>
        </is>
      </c>
      <c r="W565" t="inlineStr">
        <is>
          <t>.</t>
        </is>
      </c>
      <c r="X565" t="inlineStr">
        <is>
          <t>PD</t>
        </is>
      </c>
      <c r="Y565" t="inlineStr">
        <is>
          <t>off</t>
        </is>
      </c>
      <c r="Z565" t="inlineStr">
        <is>
          <t>.</t>
        </is>
      </c>
      <c r="AA565" t="inlineStr">
        <is>
          <t>.</t>
        </is>
      </c>
      <c r="AB565" t="inlineStr">
        <is>
          <t>.</t>
        </is>
      </c>
      <c r="AC565" t="inlineStr">
        <is>
          <t>.</t>
        </is>
      </c>
      <c r="AD565" t="inlineStr">
        <is>
          <t>1</t>
        </is>
      </c>
      <c r="AE565" t="inlineStr">
        <is>
          <t>6.88539478620464e-12</t>
        </is>
      </c>
      <c r="AF565" t="inlineStr">
        <is>
          <t>leukocyte immunoglobulin like receptor A2</t>
        </is>
      </c>
      <c r="AG565" t="inlineStr">
        <is>
          <t xml:space="preserve">FUNCTION: Does not bind class I MHC antigens. {ECO:0000269|PubMed:19230061}.; </t>
        </is>
      </c>
      <c r="AH565" t="inlineStr">
        <is>
          <t>.</t>
        </is>
      </c>
      <c r="AI565" t="inlineStr">
        <is>
          <t>.</t>
        </is>
      </c>
      <c r="AJ565" t="inlineStr">
        <is>
          <t>.</t>
        </is>
      </c>
      <c r="AK565" t="inlineStr">
        <is>
          <t>.</t>
        </is>
      </c>
      <c r="AL565" t="inlineStr">
        <is>
          <t>.</t>
        </is>
      </c>
    </row>
    <row r="566">
      <c r="A566" t="inlineStr"/>
      <c r="B566">
        <f>HYPERLINK("https://genome.ucsc.edu/cgi-bin/hgTracks?db=hg19&amp;position=chr19%3A55250979%2D55250979", "chr19:55250979")</f>
        <v/>
      </c>
      <c r="C566" t="inlineStr">
        <is>
          <t>chr19</t>
        </is>
      </c>
      <c r="D566" t="n">
        <v>55250979</v>
      </c>
      <c r="E566" t="n">
        <v>55250979</v>
      </c>
      <c r="F566" t="inlineStr">
        <is>
          <t>C</t>
        </is>
      </c>
      <c r="G566" t="inlineStr">
        <is>
          <t>A</t>
        </is>
      </c>
      <c r="H566" t="inlineStr">
        <is>
          <t>355.64</t>
        </is>
      </c>
      <c r="I566" t="inlineStr">
        <is>
          <t>248</t>
        </is>
      </c>
      <c r="J566" t="inlineStr">
        <is>
          <t>210,38</t>
        </is>
      </c>
      <c r="K566" t="inlineStr">
        <is>
          <t>.</t>
        </is>
      </c>
      <c r="L566">
        <f>HYPERLINK("https://www.ncbi.nlm.nih.gov/snp/rs143258060", "rs143258060")</f>
        <v/>
      </c>
      <c r="M566">
        <f>HYPERLINK("https://www.genecards.org/Search/Keyword?queryString=%5Baliases%5D(%20KIR2DL3%20)&amp;keywords=KIR2DL3", "KIR2DL3")</f>
        <v/>
      </c>
      <c r="N566" t="inlineStr">
        <is>
          <t>exonic</t>
        </is>
      </c>
      <c r="O566" t="inlineStr">
        <is>
          <t>nonsynonymous SNV</t>
        </is>
      </c>
      <c r="P566" t="inlineStr">
        <is>
          <t>KIR2DL3:NM_015868:exon2:c.C61A:p.P21T;KIR2DL3:uc002qgx.3:exon2:c.C61A:p.P21T,KIR2DL3:uc010erw.1:exon2:c.C61A:p.P21T;KIR2DL3:ENST00000342376.4_3:exon2:c.C61A:p.P21T</t>
        </is>
      </c>
      <c r="Q566" t="n">
        <v>1.94e-05</v>
      </c>
      <c r="R566" t="n">
        <v>-1</v>
      </c>
      <c r="S566" t="n">
        <v>-1</v>
      </c>
      <c r="T566" t="n">
        <v>-1</v>
      </c>
      <c r="U566" t="n">
        <v>-1</v>
      </c>
      <c r="V566" t="inlineStr">
        <is>
          <t>3/11</t>
        </is>
      </c>
      <c r="W566" t="inlineStr">
        <is>
          <t>.</t>
        </is>
      </c>
      <c r="X566" t="inlineStr">
        <is>
          <t>.</t>
        </is>
      </c>
      <c r="Y566" t="inlineStr">
        <is>
          <t>.</t>
        </is>
      </c>
      <c r="Z566" t="inlineStr">
        <is>
          <t>0/7</t>
        </is>
      </c>
      <c r="AA566" t="inlineStr">
        <is>
          <t>Uncertain significance</t>
        </is>
      </c>
      <c r="AB566" t="inlineStr">
        <is>
          <t>.</t>
        </is>
      </c>
      <c r="AC566" t="inlineStr">
        <is>
          <t>0/1</t>
        </is>
      </c>
      <c r="AD566" t="inlineStr">
        <is>
          <t>6</t>
        </is>
      </c>
      <c r="AE566" t="inlineStr">
        <is>
          <t>0.0380264991528057</t>
        </is>
      </c>
      <c r="AF566" t="inlineStr">
        <is>
          <t>killer cell immunoglobulin like receptor, two Ig domains and long cytoplasmic tail 3</t>
        </is>
      </c>
      <c r="AG566" t="inlineStr">
        <is>
          <t xml:space="preserve">FUNCTION: Receptor on natural killer (NK) cells for HLA-C alleles (HLA-Cw1, HLA-Cw3 and HLA-Cw7). Inhibits the activity of NK cells thus preventing cell lysis.; </t>
        </is>
      </c>
      <c r="AH566" t="inlineStr">
        <is>
          <t>.</t>
        </is>
      </c>
      <c r="AI566" t="inlineStr">
        <is>
          <t>GenotypeConflict</t>
        </is>
      </c>
      <c r="AJ566" t="inlineStr">
        <is>
          <t>.</t>
        </is>
      </c>
      <c r="AK566" t="inlineStr">
        <is>
          <t>.</t>
        </is>
      </c>
      <c r="AL566" t="inlineStr">
        <is>
          <t>NGS_HighStringency</t>
        </is>
      </c>
    </row>
    <row r="567">
      <c r="A567" t="inlineStr"/>
      <c r="B567">
        <f>HYPERLINK("https://genome.ucsc.edu/cgi-bin/hgTracks?db=hg19&amp;position=chr19%3A55251066%2D55251066", "chr19:55251066")</f>
        <v/>
      </c>
      <c r="C567" t="inlineStr">
        <is>
          <t>chr19</t>
        </is>
      </c>
      <c r="D567" t="n">
        <v>55251066</v>
      </c>
      <c r="E567" t="n">
        <v>55251066</v>
      </c>
      <c r="F567" t="inlineStr">
        <is>
          <t>G</t>
        </is>
      </c>
      <c r="G567" t="inlineStr">
        <is>
          <t>A</t>
        </is>
      </c>
      <c r="H567" t="inlineStr">
        <is>
          <t>315.64</t>
        </is>
      </c>
      <c r="I567" t="inlineStr">
        <is>
          <t>65</t>
        </is>
      </c>
      <c r="J567" t="inlineStr">
        <is>
          <t>52,13</t>
        </is>
      </c>
      <c r="K567" t="inlineStr">
        <is>
          <t>.</t>
        </is>
      </c>
      <c r="L567">
        <f>HYPERLINK("https://www.ncbi.nlm.nih.gov/snp/rs28579215", "rs28579215")</f>
        <v/>
      </c>
      <c r="M567">
        <f>HYPERLINK("https://www.genecards.org/Search/Keyword?queryString=%5Baliases%5D(%20KIR2DL1%20)%20OR%20%5Baliases%5D(%20KIR2DL3%20)&amp;keywords=KIR2DL1,KIR2DL3", "KIR2DL1;KIR2DL3")</f>
        <v/>
      </c>
      <c r="N567" t="inlineStr">
        <is>
          <t>intronic;ncRNA_intronic</t>
        </is>
      </c>
      <c r="O567" t="inlineStr">
        <is>
          <t>.</t>
        </is>
      </c>
      <c r="P567" t="inlineStr">
        <is>
          <t>.</t>
        </is>
      </c>
      <c r="Q567" t="n">
        <v>0.0159</v>
      </c>
      <c r="R567" t="n">
        <v>0.0108</v>
      </c>
      <c r="S567" t="n">
        <v>0.0138</v>
      </c>
      <c r="T567" t="n">
        <v>-1</v>
      </c>
      <c r="U567" t="n">
        <v>0.0145</v>
      </c>
      <c r="V567" t="inlineStr">
        <is>
          <t>.</t>
        </is>
      </c>
      <c r="W567" t="inlineStr">
        <is>
          <t>.</t>
        </is>
      </c>
      <c r="X567" t="inlineStr">
        <is>
          <t>D</t>
        </is>
      </c>
      <c r="Y567" t="inlineStr">
        <is>
          <t>off</t>
        </is>
      </c>
      <c r="Z567" t="inlineStr">
        <is>
          <t>.</t>
        </is>
      </c>
      <c r="AA567" t="inlineStr">
        <is>
          <t>.</t>
        </is>
      </c>
      <c r="AB567" t="inlineStr">
        <is>
          <t>.</t>
        </is>
      </c>
      <c r="AC567" t="inlineStr">
        <is>
          <t>.</t>
        </is>
      </c>
      <c r="AD567" t="inlineStr">
        <is>
          <t>5;6</t>
        </is>
      </c>
      <c r="AE567" t="inlineStr">
        <is>
          <t>0.0380264991528057;0.184502116558515</t>
        </is>
      </c>
      <c r="AF567" t="inlineStr">
        <is>
          <t>killer cell immunoglobulin like receptor, two Ig domains and long cytoplasmic tail 1;killer cell immunoglobulin like receptor, two Ig domains and long cytoplasmic tail 3</t>
        </is>
      </c>
      <c r="AG567" t="inlineStr">
        <is>
          <t xml:space="preserve">FUNCTION: Receptor on natural killer (NK) cells for HLA-C alleles (HLA-Cw1, HLA-Cw3 and HLA-Cw7). Inhibits the activity of NK cells thus preventing cell lysis.; ;FUNCTION: Receptor on natural killer (NK) cells for HLA-C alleles. Inhibits the activity of NK cells thus preventing cell lysis. {ECO:0000269|PubMed:18604210}.; </t>
        </is>
      </c>
      <c r="AH567" t="inlineStr">
        <is>
          <t>.</t>
        </is>
      </c>
      <c r="AI567" t="inlineStr">
        <is>
          <t>GenotypeConflict</t>
        </is>
      </c>
      <c r="AJ567" t="inlineStr">
        <is>
          <t>.</t>
        </is>
      </c>
      <c r="AK567" t="inlineStr">
        <is>
          <t>.</t>
        </is>
      </c>
      <c r="AL567" t="inlineStr">
        <is>
          <t>.</t>
        </is>
      </c>
    </row>
    <row r="568">
      <c r="A568" t="inlineStr"/>
      <c r="B568">
        <f>HYPERLINK("https://genome.ucsc.edu/cgi-bin/hgTracks?db=hg19&amp;position=chr19%3A55253465%2D55253465", "chr19:55253465")</f>
        <v/>
      </c>
      <c r="C568" t="inlineStr">
        <is>
          <t>chr19</t>
        </is>
      </c>
      <c r="D568" t="n">
        <v>55253465</v>
      </c>
      <c r="E568" t="n">
        <v>55253465</v>
      </c>
      <c r="F568" t="inlineStr">
        <is>
          <t>C</t>
        </is>
      </c>
      <c r="G568" t="inlineStr">
        <is>
          <t>G</t>
        </is>
      </c>
      <c r="H568" t="inlineStr">
        <is>
          <t>456.64</t>
        </is>
      </c>
      <c r="I568" t="inlineStr">
        <is>
          <t>112</t>
        </is>
      </c>
      <c r="J568" t="inlineStr">
        <is>
          <t>81,31</t>
        </is>
      </c>
      <c r="K568" t="inlineStr">
        <is>
          <t>.</t>
        </is>
      </c>
      <c r="L568" t="inlineStr">
        <is>
          <t>.</t>
        </is>
      </c>
      <c r="M568">
        <f>HYPERLINK("https://www.genecards.org/Search/Keyword?queryString=%5Baliases%5D(%20KIR2DL3%20)&amp;keywords=KIR2DL3", "KIR2DL3")</f>
        <v/>
      </c>
      <c r="N568" t="inlineStr">
        <is>
          <t>exonic</t>
        </is>
      </c>
      <c r="O568" t="inlineStr">
        <is>
          <t>nonsynonymous SNV</t>
        </is>
      </c>
      <c r="P568" t="inlineStr">
        <is>
          <t>KIR2DL3:NM_015868:exon3:c.C110G:p.P37R;KIR2DL3:uc002qgx.3:exon3:c.C110G:p.P37R,KIR2DL3:uc010erw.1:exon3:c.C110G:p.P37R;KIR2DL3:ENST00000342376.4_3:exon3:c.C110G:p.P37R</t>
        </is>
      </c>
      <c r="Q568" t="n">
        <v>0.0063453</v>
      </c>
      <c r="R568" t="n">
        <v>-1</v>
      </c>
      <c r="S568" t="n">
        <v>-1</v>
      </c>
      <c r="T568" t="n">
        <v>-1</v>
      </c>
      <c r="U568" t="n">
        <v>-1</v>
      </c>
      <c r="V568" t="inlineStr">
        <is>
          <t>3/11</t>
        </is>
      </c>
      <c r="W568" t="inlineStr">
        <is>
          <t>.</t>
        </is>
      </c>
      <c r="X568" t="inlineStr">
        <is>
          <t>.</t>
        </is>
      </c>
      <c r="Y568" t="inlineStr">
        <is>
          <t>.</t>
        </is>
      </c>
      <c r="Z568" t="inlineStr">
        <is>
          <t>0/7</t>
        </is>
      </c>
      <c r="AA568" t="inlineStr">
        <is>
          <t>Uncertain significance</t>
        </is>
      </c>
      <c r="AB568" t="inlineStr">
        <is>
          <t>.</t>
        </is>
      </c>
      <c r="AC568" t="inlineStr">
        <is>
          <t>0/1</t>
        </is>
      </c>
      <c r="AD568" t="inlineStr">
        <is>
          <t>6</t>
        </is>
      </c>
      <c r="AE568" t="inlineStr">
        <is>
          <t>0.0380264991528057</t>
        </is>
      </c>
      <c r="AF568" t="inlineStr">
        <is>
          <t>killer cell immunoglobulin like receptor, two Ig domains and long cytoplasmic tail 3</t>
        </is>
      </c>
      <c r="AG568" t="inlineStr">
        <is>
          <t xml:space="preserve">FUNCTION: Receptor on natural killer (NK) cells for HLA-C alleles (HLA-Cw1, HLA-Cw3 and HLA-Cw7). Inhibits the activity of NK cells thus preventing cell lysis.; </t>
        </is>
      </c>
      <c r="AH568" t="inlineStr">
        <is>
          <t>.</t>
        </is>
      </c>
      <c r="AI568" t="inlineStr">
        <is>
          <t>GenotypeConflict</t>
        </is>
      </c>
      <c r="AJ568" t="inlineStr">
        <is>
          <t>.</t>
        </is>
      </c>
      <c r="AK568" t="inlineStr">
        <is>
          <t>.</t>
        </is>
      </c>
      <c r="AL568" t="inlineStr">
        <is>
          <t>NGS_HighStringency</t>
        </is>
      </c>
    </row>
    <row r="569">
      <c r="A569" t="inlineStr"/>
      <c r="B569">
        <f>HYPERLINK("https://genome.ucsc.edu/cgi-bin/hgTracks?db=hg19&amp;position=chr19%3A55263886%2D55263886", "chr19:55263886")</f>
        <v/>
      </c>
      <c r="C569" t="inlineStr">
        <is>
          <t>chr19</t>
        </is>
      </c>
      <c r="D569" t="n">
        <v>55263886</v>
      </c>
      <c r="E569" t="n">
        <v>55263886</v>
      </c>
      <c r="F569" t="inlineStr">
        <is>
          <t>G</t>
        </is>
      </c>
      <c r="G569" t="inlineStr">
        <is>
          <t>C</t>
        </is>
      </c>
      <c r="H569" t="inlineStr">
        <is>
          <t>346.64</t>
        </is>
      </c>
      <c r="I569" t="inlineStr">
        <is>
          <t>158</t>
        </is>
      </c>
      <c r="J569" t="inlineStr">
        <is>
          <t>136,22</t>
        </is>
      </c>
      <c r="K569" t="inlineStr">
        <is>
          <t>.</t>
        </is>
      </c>
      <c r="L569">
        <f>HYPERLINK("https://www.ncbi.nlm.nih.gov/snp/rs369659451", "rs369659451")</f>
        <v/>
      </c>
      <c r="M569">
        <f>HYPERLINK("https://www.genecards.org/Search/Keyword?queryString=%5Baliases%5D(%20KIR2DL3%20)&amp;keywords=KIR2DL3", "KIR2DL3")</f>
        <v/>
      </c>
      <c r="N569" t="inlineStr">
        <is>
          <t>exonic</t>
        </is>
      </c>
      <c r="O569" t="inlineStr">
        <is>
          <t>nonsynonymous SNV</t>
        </is>
      </c>
      <c r="P569" t="inlineStr">
        <is>
          <t>KIR2DL3:NM_015868:exon8:c.G941C:p.R314T;KIR2DL3:uc002qgx.3:exon8:c.G941C:p.R314T;KIR2DL3:ENST00000342376.4_3:exon8:c.G941C:p.R314T</t>
        </is>
      </c>
      <c r="Q569" t="n">
        <v>0</v>
      </c>
      <c r="R569" t="n">
        <v>-1</v>
      </c>
      <c r="S569" t="n">
        <v>-1</v>
      </c>
      <c r="T569" t="n">
        <v>-1</v>
      </c>
      <c r="U569" t="n">
        <v>-1</v>
      </c>
      <c r="V569" t="inlineStr">
        <is>
          <t>3/11</t>
        </is>
      </c>
      <c r="W569" t="inlineStr">
        <is>
          <t>.</t>
        </is>
      </c>
      <c r="X569" t="inlineStr">
        <is>
          <t>.</t>
        </is>
      </c>
      <c r="Y569" t="inlineStr">
        <is>
          <t>.</t>
        </is>
      </c>
      <c r="Z569" t="inlineStr">
        <is>
          <t>0/7</t>
        </is>
      </c>
      <c r="AA569" t="inlineStr">
        <is>
          <t>Uncertain significance</t>
        </is>
      </c>
      <c r="AB569" t="inlineStr">
        <is>
          <t>.</t>
        </is>
      </c>
      <c r="AC569" t="inlineStr">
        <is>
          <t>0/1</t>
        </is>
      </c>
      <c r="AD569" t="inlineStr">
        <is>
          <t>6</t>
        </is>
      </c>
      <c r="AE569" t="inlineStr">
        <is>
          <t>0.0380264991528057</t>
        </is>
      </c>
      <c r="AF569" t="inlineStr">
        <is>
          <t>killer cell immunoglobulin like receptor, two Ig domains and long cytoplasmic tail 3</t>
        </is>
      </c>
      <c r="AG569" t="inlineStr">
        <is>
          <t xml:space="preserve">FUNCTION: Receptor on natural killer (NK) cells for HLA-C alleles (HLA-Cw1, HLA-Cw3 and HLA-Cw7). Inhibits the activity of NK cells thus preventing cell lysis.; </t>
        </is>
      </c>
      <c r="AH569" t="inlineStr">
        <is>
          <t>.</t>
        </is>
      </c>
      <c r="AI569" t="inlineStr">
        <is>
          <t>.</t>
        </is>
      </c>
      <c r="AJ569" t="inlineStr">
        <is>
          <t>.</t>
        </is>
      </c>
      <c r="AK569" t="inlineStr">
        <is>
          <t>.</t>
        </is>
      </c>
      <c r="AL569" t="inlineStr">
        <is>
          <t>NGS_HighStringency</t>
        </is>
      </c>
    </row>
    <row r="570">
      <c r="A570" t="inlineStr"/>
      <c r="B570">
        <f>HYPERLINK("https://genome.ucsc.edu/cgi-bin/hgTracks?db=hg19&amp;position=chr19%3A55282191%2D55282191", "chr19:55282191")</f>
        <v/>
      </c>
      <c r="C570" t="inlineStr">
        <is>
          <t>chr19</t>
        </is>
      </c>
      <c r="D570" t="n">
        <v>55282191</v>
      </c>
      <c r="E570" t="n">
        <v>55282191</v>
      </c>
      <c r="F570" t="inlineStr">
        <is>
          <t>A</t>
        </is>
      </c>
      <c r="G570" t="inlineStr">
        <is>
          <t>C</t>
        </is>
      </c>
      <c r="H570" t="inlineStr">
        <is>
          <t>126.64</t>
        </is>
      </c>
      <c r="I570" t="inlineStr">
        <is>
          <t>60</t>
        </is>
      </c>
      <c r="J570" t="inlineStr">
        <is>
          <t>53,7</t>
        </is>
      </c>
      <c r="K570" t="inlineStr">
        <is>
          <t>.</t>
        </is>
      </c>
      <c r="L570">
        <f>HYPERLINK("https://www.ncbi.nlm.nih.gov/snp/rs138903845", "rs138903845")</f>
        <v/>
      </c>
      <c r="M570">
        <f>HYPERLINK("https://www.genecards.org/Search/Keyword?queryString=%5Baliases%5D(%20GQ422373%20)%20OR%20%5Baliases%5D(%20LOC101928804%20)&amp;keywords=GQ422373,LOC101928804", "GQ422373;LOC101928804")</f>
        <v/>
      </c>
      <c r="N570" t="inlineStr">
        <is>
          <t>ncRNA_exonic;ncRNA_intronic;splicing</t>
        </is>
      </c>
      <c r="O570" t="inlineStr">
        <is>
          <t>.</t>
        </is>
      </c>
      <c r="P570" t="inlineStr">
        <is>
          <t>NR_110738:exon2:c.240+2T&gt;G</t>
        </is>
      </c>
      <c r="Q570" t="n">
        <v>0.0003074</v>
      </c>
      <c r="R570" t="n">
        <v>-1</v>
      </c>
      <c r="S570" t="n">
        <v>-1</v>
      </c>
      <c r="T570" t="n">
        <v>-1</v>
      </c>
      <c r="U570" t="n">
        <v>-1</v>
      </c>
      <c r="V570" t="inlineStr">
        <is>
          <t>.</t>
        </is>
      </c>
      <c r="W570" t="inlineStr">
        <is>
          <t>.</t>
        </is>
      </c>
      <c r="X570" t="inlineStr">
        <is>
          <t>B</t>
        </is>
      </c>
      <c r="Y570" t="inlineStr">
        <is>
          <t>off</t>
        </is>
      </c>
      <c r="Z570" t="inlineStr">
        <is>
          <t>.</t>
        </is>
      </c>
      <c r="AA570" t="inlineStr">
        <is>
          <t>.</t>
        </is>
      </c>
      <c r="AB570" t="inlineStr">
        <is>
          <t>.</t>
        </is>
      </c>
      <c r="AC570" t="inlineStr">
        <is>
          <t>.</t>
        </is>
      </c>
      <c r="AD570" t="inlineStr">
        <is>
          <t>1;1</t>
        </is>
      </c>
      <c r="AE570" t="inlineStr">
        <is>
          <t>.</t>
        </is>
      </c>
      <c r="AF570" t="inlineStr">
        <is>
          <t>.</t>
        </is>
      </c>
      <c r="AG570" t="inlineStr">
        <is>
          <t>.</t>
        </is>
      </c>
      <c r="AH570" t="inlineStr">
        <is>
          <t>.</t>
        </is>
      </c>
      <c r="AI570" t="inlineStr">
        <is>
          <t>.</t>
        </is>
      </c>
      <c r="AJ570" t="inlineStr">
        <is>
          <t>.</t>
        </is>
      </c>
      <c r="AK570" t="inlineStr">
        <is>
          <t>.</t>
        </is>
      </c>
      <c r="AL570" t="inlineStr">
        <is>
          <t>.</t>
        </is>
      </c>
    </row>
    <row r="571">
      <c r="A571" t="inlineStr"/>
      <c r="B571">
        <f>HYPERLINK("https://genome.ucsc.edu/cgi-bin/hgTracks?db=hg19&amp;position=chr19%3A55284943%2D55284943", "chr19:55284943")</f>
        <v/>
      </c>
      <c r="C571" t="inlineStr">
        <is>
          <t>chr19</t>
        </is>
      </c>
      <c r="D571" t="n">
        <v>55284943</v>
      </c>
      <c r="E571" t="n">
        <v>55284943</v>
      </c>
      <c r="F571" t="inlineStr">
        <is>
          <t>C</t>
        </is>
      </c>
      <c r="G571" t="inlineStr">
        <is>
          <t>A</t>
        </is>
      </c>
      <c r="H571" t="inlineStr">
        <is>
          <t>480.64</t>
        </is>
      </c>
      <c r="I571" t="inlineStr">
        <is>
          <t>257</t>
        </is>
      </c>
      <c r="J571" t="inlineStr">
        <is>
          <t>227,30</t>
        </is>
      </c>
      <c r="K571" t="inlineStr">
        <is>
          <t>.</t>
        </is>
      </c>
      <c r="L571">
        <f>HYPERLINK("https://www.ncbi.nlm.nih.gov/snp/rs200854975", "rs200854975")</f>
        <v/>
      </c>
      <c r="M571">
        <f>HYPERLINK("https://www.genecards.org/Search/Keyword?queryString=%5Baliases%5D(%20KIR2DL1%20)%20OR%20%5Baliases%5D(%20LOC112267881%20)&amp;keywords=KIR2DL1,LOC112267881", "KIR2DL1;LOC112267881")</f>
        <v/>
      </c>
      <c r="N571" t="inlineStr">
        <is>
          <t>exonic</t>
        </is>
      </c>
      <c r="O571" t="inlineStr">
        <is>
          <t>nonsynonymous SNV</t>
        </is>
      </c>
      <c r="P571" t="inlineStr">
        <is>
          <t>LOC112267881:NM_001368251:exon3:c.C229A:p.H77N,KIR2DL1:NM_014218:exon3:c.C229A:p.H77N;KIR2DL1:uc002qhb.1:exon3:c.C229A:p.H77N,KIR2DL1:uc010erz.1:exon3:c.C229A:p.H77N;KIR2DL1:ENST00000291633.7_3:exon3:c.C229A:p.H77N,KIR2DL1:ENST00000336077.11_6:exon3:c.C229A:p.H77N</t>
        </is>
      </c>
      <c r="Q571" t="n">
        <v>0.0001</v>
      </c>
      <c r="R571" t="n">
        <v>0.0001</v>
      </c>
      <c r="S571" t="n">
        <v>8.535e-05</v>
      </c>
      <c r="T571" t="n">
        <v>-1</v>
      </c>
      <c r="U571" t="n">
        <v>-1</v>
      </c>
      <c r="V571" t="inlineStr">
        <is>
          <t>4/11</t>
        </is>
      </c>
      <c r="W571" t="inlineStr">
        <is>
          <t>.</t>
        </is>
      </c>
      <c r="X571" t="inlineStr">
        <is>
          <t>.</t>
        </is>
      </c>
      <c r="Y571" t="inlineStr">
        <is>
          <t>.</t>
        </is>
      </c>
      <c r="Z571" t="inlineStr">
        <is>
          <t>0/7</t>
        </is>
      </c>
      <c r="AA571" t="inlineStr">
        <is>
          <t>Uncertain significance</t>
        </is>
      </c>
      <c r="AB571" t="inlineStr">
        <is>
          <t>.</t>
        </is>
      </c>
      <c r="AC571" t="inlineStr">
        <is>
          <t>.</t>
        </is>
      </c>
      <c r="AD571" t="inlineStr">
        <is>
          <t>5;4</t>
        </is>
      </c>
      <c r="AE571" t="inlineStr">
        <is>
          <t>0.184502116558515</t>
        </is>
      </c>
      <c r="AF571" t="inlineStr">
        <is>
          <t>killer cell immunoglobulin like receptor, two Ig domains and long cytoplasmic tail 1</t>
        </is>
      </c>
      <c r="AG571" t="inlineStr">
        <is>
          <t xml:space="preserve">FUNCTION: Receptor on natural killer (NK) cells for HLA-C alleles. Inhibits the activity of NK cells thus preventing cell lysis. {ECO:0000269|PubMed:18604210}.; </t>
        </is>
      </c>
      <c r="AH571" t="inlineStr">
        <is>
          <t>.</t>
        </is>
      </c>
      <c r="AI571" t="inlineStr">
        <is>
          <t>.</t>
        </is>
      </c>
      <c r="AJ571" t="inlineStr">
        <is>
          <t>.</t>
        </is>
      </c>
      <c r="AK571" t="inlineStr">
        <is>
          <t>.</t>
        </is>
      </c>
      <c r="AL571" t="inlineStr">
        <is>
          <t>NGS_HighStringency</t>
        </is>
      </c>
    </row>
    <row r="572">
      <c r="A572" t="inlineStr"/>
      <c r="B572">
        <f>HYPERLINK("https://genome.ucsc.edu/cgi-bin/hgTracks?db=hg19&amp;position=chr19%3A55284944%2D55284944", "chr19:55284944")</f>
        <v/>
      </c>
      <c r="C572" t="inlineStr">
        <is>
          <t>chr19</t>
        </is>
      </c>
      <c r="D572" t="n">
        <v>55284944</v>
      </c>
      <c r="E572" t="n">
        <v>55284944</v>
      </c>
      <c r="F572" t="inlineStr">
        <is>
          <t>A</t>
        </is>
      </c>
      <c r="G572" t="inlineStr">
        <is>
          <t>T</t>
        </is>
      </c>
      <c r="H572" t="inlineStr">
        <is>
          <t>483.64</t>
        </is>
      </c>
      <c r="I572" t="inlineStr">
        <is>
          <t>256</t>
        </is>
      </c>
      <c r="J572" t="inlineStr">
        <is>
          <t>226,30</t>
        </is>
      </c>
      <c r="K572" t="inlineStr">
        <is>
          <t>.</t>
        </is>
      </c>
      <c r="L572">
        <f>HYPERLINK("https://www.ncbi.nlm.nih.gov/snp/rs150190837", "rs150190837")</f>
        <v/>
      </c>
      <c r="M572">
        <f>HYPERLINK("https://www.genecards.org/Search/Keyword?queryString=%5Baliases%5D(%20KIR2DL1%20)%20OR%20%5Baliases%5D(%20LOC112267881%20)&amp;keywords=KIR2DL1,LOC112267881", "KIR2DL1;LOC112267881")</f>
        <v/>
      </c>
      <c r="N572" t="inlineStr">
        <is>
          <t>exonic</t>
        </is>
      </c>
      <c r="O572" t="inlineStr">
        <is>
          <t>nonsynonymous SNV</t>
        </is>
      </c>
      <c r="P572" t="inlineStr">
        <is>
          <t>LOC112267881:NM_001368251:exon3:c.A230T:p.H77L,KIR2DL1:NM_014218:exon3:c.A230T:p.H77L;KIR2DL1:uc002qhb.1:exon3:c.A230T:p.H77L,KIR2DL1:uc010erz.1:exon3:c.A230T:p.H77L;KIR2DL1:ENST00000291633.7_3:exon3:c.A230T:p.H77L,KIR2DL1:ENST00000336077.11_6:exon3:c.A230T:p.H77L</t>
        </is>
      </c>
      <c r="Q572" t="n">
        <v>0.0001</v>
      </c>
      <c r="R572" t="n">
        <v>0.0001</v>
      </c>
      <c r="S572" t="n">
        <v>8.509e-05</v>
      </c>
      <c r="T572" t="n">
        <v>-1</v>
      </c>
      <c r="U572" t="n">
        <v>-1</v>
      </c>
      <c r="V572" t="inlineStr">
        <is>
          <t>3/11</t>
        </is>
      </c>
      <c r="W572" t="inlineStr">
        <is>
          <t>.</t>
        </is>
      </c>
      <c r="X572" t="inlineStr">
        <is>
          <t>.</t>
        </is>
      </c>
      <c r="Y572" t="inlineStr">
        <is>
          <t>.</t>
        </is>
      </c>
      <c r="Z572" t="inlineStr">
        <is>
          <t>0/7</t>
        </is>
      </c>
      <c r="AA572" t="inlineStr">
        <is>
          <t>Uncertain significance</t>
        </is>
      </c>
      <c r="AB572" t="inlineStr">
        <is>
          <t>.</t>
        </is>
      </c>
      <c r="AC572" t="inlineStr">
        <is>
          <t>.</t>
        </is>
      </c>
      <c r="AD572" t="inlineStr">
        <is>
          <t>5;4</t>
        </is>
      </c>
      <c r="AE572" t="inlineStr">
        <is>
          <t>0.184502116558515</t>
        </is>
      </c>
      <c r="AF572" t="inlineStr">
        <is>
          <t>killer cell immunoglobulin like receptor, two Ig domains and long cytoplasmic tail 1</t>
        </is>
      </c>
      <c r="AG572" t="inlineStr">
        <is>
          <t xml:space="preserve">FUNCTION: Receptor on natural killer (NK) cells for HLA-C alleles. Inhibits the activity of NK cells thus preventing cell lysis. {ECO:0000269|PubMed:18604210}.; </t>
        </is>
      </c>
      <c r="AH572" t="inlineStr">
        <is>
          <t>.</t>
        </is>
      </c>
      <c r="AI572" t="inlineStr">
        <is>
          <t>.</t>
        </is>
      </c>
      <c r="AJ572" t="inlineStr">
        <is>
          <t>.</t>
        </is>
      </c>
      <c r="AK572" t="inlineStr">
        <is>
          <t>.</t>
        </is>
      </c>
      <c r="AL572" t="inlineStr">
        <is>
          <t>NGS_HighStringency</t>
        </is>
      </c>
    </row>
    <row r="573">
      <c r="A573" t="inlineStr"/>
      <c r="B573">
        <f>HYPERLINK("https://genome.ucsc.edu/cgi-bin/hgTracks?db=hg19&amp;position=chr19%3A55286781%2D55286781", "chr19:55286781")</f>
        <v/>
      </c>
      <c r="C573" t="inlineStr">
        <is>
          <t>chr19</t>
        </is>
      </c>
      <c r="D573" t="n">
        <v>55286781</v>
      </c>
      <c r="E573" t="n">
        <v>55286781</v>
      </c>
      <c r="F573" t="inlineStr">
        <is>
          <t>G</t>
        </is>
      </c>
      <c r="G573" t="inlineStr">
        <is>
          <t>A</t>
        </is>
      </c>
      <c r="H573" t="inlineStr">
        <is>
          <t>975.64</t>
        </is>
      </c>
      <c r="I573" t="inlineStr">
        <is>
          <t>251</t>
        </is>
      </c>
      <c r="J573" t="inlineStr">
        <is>
          <t>195,56</t>
        </is>
      </c>
      <c r="K573" t="inlineStr">
        <is>
          <t>.</t>
        </is>
      </c>
      <c r="L573">
        <f>HYPERLINK("https://www.ncbi.nlm.nih.gov/snp/rs62121640", "rs62121640")</f>
        <v/>
      </c>
      <c r="M573">
        <f>HYPERLINK("https://www.genecards.org/Search/Keyword?queryString=%5Baliases%5D(%20KIR2DL1%20)%20OR%20%5Baliases%5D(%20KIR2DL3%20)%20OR%20%5Baliases%5D(%20LOC112267881%20)&amp;keywords=KIR2DL1,KIR2DL3,LOC112267881", "KIR2DL1;KIR2DL3;LOC112267881")</f>
        <v/>
      </c>
      <c r="N573" t="inlineStr">
        <is>
          <t>exonic</t>
        </is>
      </c>
      <c r="O573" t="inlineStr">
        <is>
          <t>nonsynonymous SNV</t>
        </is>
      </c>
      <c r="P573" t="inlineStr">
        <is>
          <t>LOC112267881:NM_001368251:exon4:c.G535A:p.G179R,KIR2DL1:NM_014218:exon4:c.G535A:p.G179R;KIR2DL3:uc002qha.2:exon2:c.G265A:p.G89R,KIR2DL1:uc002qhb.1:exon4:c.G535A:p.G179R,KIR2DL1:uc010erz.1:exon4:c.G535A:p.G179R;KIR2DL1:ENST00000291633.7_3:exon4:c.G535A:p.G179R,KIR2DL1:ENST00000336077.11_6:exon4:c.G535A:p.G179R</t>
        </is>
      </c>
      <c r="Q573" t="n">
        <v>0.005319</v>
      </c>
      <c r="R573" t="n">
        <v>0.0001</v>
      </c>
      <c r="S573" t="n">
        <v>-1</v>
      </c>
      <c r="T573" t="n">
        <v>-1</v>
      </c>
      <c r="U573" t="n">
        <v>-1</v>
      </c>
      <c r="V573" t="inlineStr">
        <is>
          <t>3/10</t>
        </is>
      </c>
      <c r="W573" t="inlineStr">
        <is>
          <t>.</t>
        </is>
      </c>
      <c r="X573" t="inlineStr">
        <is>
          <t>.</t>
        </is>
      </c>
      <c r="Y573" t="inlineStr">
        <is>
          <t>.</t>
        </is>
      </c>
      <c r="Z573" t="inlineStr">
        <is>
          <t>0/7</t>
        </is>
      </c>
      <c r="AA573" t="inlineStr">
        <is>
          <t>Uncertain significance</t>
        </is>
      </c>
      <c r="AB573" t="inlineStr">
        <is>
          <t>.</t>
        </is>
      </c>
      <c r="AC573" t="inlineStr">
        <is>
          <t>0/1</t>
        </is>
      </c>
      <c r="AD573" t="inlineStr">
        <is>
          <t>5;6;4</t>
        </is>
      </c>
      <c r="AE573" t="inlineStr">
        <is>
          <t>0.0380264991528057;0.184502116558515</t>
        </is>
      </c>
      <c r="AF573" t="inlineStr">
        <is>
          <t>killer cell immunoglobulin like receptor, two Ig domains and long cytoplasmic tail 1;killer cell immunoglobulin like receptor, two Ig domains and long cytoplasmic tail 3</t>
        </is>
      </c>
      <c r="AG573" t="inlineStr">
        <is>
          <t xml:space="preserve">FUNCTION: Receptor on natural killer (NK) cells for HLA-C alleles (HLA-Cw1, HLA-Cw3 and HLA-Cw7). Inhibits the activity of NK cells thus preventing cell lysis.; ;FUNCTION: Receptor on natural killer (NK) cells for HLA-C alleles. Inhibits the activity of NK cells thus preventing cell lysis. {ECO:0000269|PubMed:18604210}.; </t>
        </is>
      </c>
      <c r="AH573" t="inlineStr">
        <is>
          <t>.</t>
        </is>
      </c>
      <c r="AI573" t="inlineStr">
        <is>
          <t>.</t>
        </is>
      </c>
      <c r="AJ573" t="inlineStr">
        <is>
          <t>.</t>
        </is>
      </c>
      <c r="AK573" t="inlineStr">
        <is>
          <t>.</t>
        </is>
      </c>
      <c r="AL573" t="inlineStr">
        <is>
          <t>NGS_HighStringency</t>
        </is>
      </c>
    </row>
    <row r="574">
      <c r="A574" t="inlineStr"/>
      <c r="B574">
        <f>HYPERLINK("https://genome.ucsc.edu/cgi-bin/hgTracks?db=hg19&amp;position=chr19%3A55286809%2D55286809", "chr19:55286809")</f>
        <v/>
      </c>
      <c r="C574" t="inlineStr">
        <is>
          <t>chr19</t>
        </is>
      </c>
      <c r="D574" t="n">
        <v>55286809</v>
      </c>
      <c r="E574" t="n">
        <v>55286809</v>
      </c>
      <c r="F574" t="inlineStr">
        <is>
          <t>G</t>
        </is>
      </c>
      <c r="G574" t="inlineStr">
        <is>
          <t>A</t>
        </is>
      </c>
      <c r="H574" t="inlineStr">
        <is>
          <t>1205.64</t>
        </is>
      </c>
      <c r="I574" t="inlineStr">
        <is>
          <t>269</t>
        </is>
      </c>
      <c r="J574" t="inlineStr">
        <is>
          <t>201,68</t>
        </is>
      </c>
      <c r="K574" t="inlineStr">
        <is>
          <t>.</t>
        </is>
      </c>
      <c r="L574">
        <f>HYPERLINK("https://www.ncbi.nlm.nih.gov/snp/rs2916003", "rs2916003")</f>
        <v/>
      </c>
      <c r="M574">
        <f>HYPERLINK("https://www.genecards.org/Search/Keyword?queryString=%5Baliases%5D(%20KIR2DL1%20)%20OR%20%5Baliases%5D(%20KIR2DL3%20)%20OR%20%5Baliases%5D(%20LOC112267881%20)&amp;keywords=KIR2DL1,KIR2DL3,LOC112267881", "KIR2DL1;KIR2DL3;LOC112267881")</f>
        <v/>
      </c>
      <c r="N574" t="inlineStr">
        <is>
          <t>exonic</t>
        </is>
      </c>
      <c r="O574" t="inlineStr">
        <is>
          <t>nonsynonymous SNV</t>
        </is>
      </c>
      <c r="P574" t="inlineStr">
        <is>
          <t>LOC112267881:NM_001368251:exon4:c.G563A:p.G188D,KIR2DL1:NM_014218:exon4:c.G563A:p.G188D;KIR2DL3:uc002qha.2:exon2:c.G293A:p.G98D,KIR2DL1:uc002qhb.1:exon4:c.G563A:p.G188D,KIR2DL1:uc010erz.1:exon4:c.G563A:p.G188D;KIR2DL1:ENST00000291633.7_3:exon4:c.G563A:p.G188D,KIR2DL1:ENST00000336077.11_6:exon4:c.G563A:p.G188D</t>
        </is>
      </c>
      <c r="Q574" t="n">
        <v>0.0182</v>
      </c>
      <c r="R574" t="n">
        <v>0.0001</v>
      </c>
      <c r="S574" t="n">
        <v>-1</v>
      </c>
      <c r="T574" t="n">
        <v>-1</v>
      </c>
      <c r="U574" t="n">
        <v>-1</v>
      </c>
      <c r="V574" t="inlineStr">
        <is>
          <t>3/9</t>
        </is>
      </c>
      <c r="W574" t="inlineStr">
        <is>
          <t>.</t>
        </is>
      </c>
      <c r="X574" t="inlineStr">
        <is>
          <t>.</t>
        </is>
      </c>
      <c r="Y574" t="inlineStr">
        <is>
          <t>.</t>
        </is>
      </c>
      <c r="Z574" t="inlineStr">
        <is>
          <t>0/7</t>
        </is>
      </c>
      <c r="AA574" t="inlineStr">
        <is>
          <t>Uncertain significance</t>
        </is>
      </c>
      <c r="AB574" t="inlineStr">
        <is>
          <t>.</t>
        </is>
      </c>
      <c r="AC574" t="inlineStr">
        <is>
          <t>0/1</t>
        </is>
      </c>
      <c r="AD574" t="inlineStr">
        <is>
          <t>5;6;4</t>
        </is>
      </c>
      <c r="AE574" t="inlineStr">
        <is>
          <t>0.0380264991528057;0.184502116558515</t>
        </is>
      </c>
      <c r="AF574" t="inlineStr">
        <is>
          <t>killer cell immunoglobulin like receptor, two Ig domains and long cytoplasmic tail 1;killer cell immunoglobulin like receptor, two Ig domains and long cytoplasmic tail 3</t>
        </is>
      </c>
      <c r="AG574" t="inlineStr">
        <is>
          <t xml:space="preserve">FUNCTION: Receptor on natural killer (NK) cells for HLA-C alleles (HLA-Cw1, HLA-Cw3 and HLA-Cw7). Inhibits the activity of NK cells thus preventing cell lysis.; ;FUNCTION: Receptor on natural killer (NK) cells for HLA-C alleles. Inhibits the activity of NK cells thus preventing cell lysis. {ECO:0000269|PubMed:18604210}.; </t>
        </is>
      </c>
      <c r="AH574" t="inlineStr">
        <is>
          <t>.</t>
        </is>
      </c>
      <c r="AI574" t="inlineStr">
        <is>
          <t>GenotypeConflict</t>
        </is>
      </c>
      <c r="AJ574" t="inlineStr">
        <is>
          <t>.</t>
        </is>
      </c>
      <c r="AK574" t="inlineStr">
        <is>
          <t>.</t>
        </is>
      </c>
      <c r="AL574" t="inlineStr">
        <is>
          <t>NGS_HighStringency</t>
        </is>
      </c>
    </row>
    <row r="575">
      <c r="A575" t="inlineStr"/>
      <c r="B575">
        <f>HYPERLINK("https://genome.ucsc.edu/cgi-bin/hgTracks?db=hg19&amp;position=chr19%3A55316688%2D55316688", "chr19:55316688")</f>
        <v/>
      </c>
      <c r="C575" t="inlineStr">
        <is>
          <t>chr19</t>
        </is>
      </c>
      <c r="D575" t="n">
        <v>55316688</v>
      </c>
      <c r="E575" t="n">
        <v>55316688</v>
      </c>
      <c r="F575" t="inlineStr">
        <is>
          <t>A</t>
        </is>
      </c>
      <c r="G575" t="inlineStr">
        <is>
          <t>G</t>
        </is>
      </c>
      <c r="H575" t="inlineStr">
        <is>
          <t>34.64</t>
        </is>
      </c>
      <c r="I575" t="inlineStr">
        <is>
          <t>16</t>
        </is>
      </c>
      <c r="J575" t="inlineStr">
        <is>
          <t>14,2</t>
        </is>
      </c>
      <c r="K575" t="inlineStr">
        <is>
          <t>.</t>
        </is>
      </c>
      <c r="L575">
        <f>HYPERLINK("https://www.ncbi.nlm.nih.gov/snp/rs796414085", "rs796414085")</f>
        <v/>
      </c>
      <c r="M575">
        <f>HYPERLINK("https://www.genecards.org/Search/Keyword?queryString=%5Baliases%5D(%20KIR2DL4%20)%20OR%20%5Baliases%5D(%20KIR2DS4%20)%20OR%20%5Baliases%5D(%20KIR3DL1%20)%20OR%20%5Baliases%5D(%20LOC100287534%20)%20OR%20%5Baliases%5D(%20LOC112268354%20)&amp;keywords=KIR2DL4,KIR2DS4,KIR3DL1,LOC100287534,LOC112268354", "KIR2DL4;KIR2DS4;KIR3DL1;LOC100287534;LOC112268354")</f>
        <v/>
      </c>
      <c r="N575" t="inlineStr">
        <is>
          <t>intronic</t>
        </is>
      </c>
      <c r="O575" t="inlineStr">
        <is>
          <t>.</t>
        </is>
      </c>
      <c r="P575" t="inlineStr">
        <is>
          <t>.</t>
        </is>
      </c>
      <c r="Q575" t="n">
        <v>0.0060704</v>
      </c>
      <c r="R575" t="n">
        <v>-1</v>
      </c>
      <c r="S575" t="n">
        <v>-1</v>
      </c>
      <c r="T575" t="n">
        <v>-1</v>
      </c>
      <c r="U575" t="n">
        <v>-1</v>
      </c>
      <c r="V575" t="inlineStr">
        <is>
          <t>.</t>
        </is>
      </c>
      <c r="W575" t="inlineStr">
        <is>
          <t>.</t>
        </is>
      </c>
      <c r="X575" t="inlineStr">
        <is>
          <t>D</t>
        </is>
      </c>
      <c r="Y575" t="inlineStr">
        <is>
          <t>off</t>
        </is>
      </c>
      <c r="Z575" t="inlineStr">
        <is>
          <t>.</t>
        </is>
      </c>
      <c r="AA575" t="inlineStr">
        <is>
          <t>.</t>
        </is>
      </c>
      <c r="AB575" t="inlineStr">
        <is>
          <t>.</t>
        </is>
      </c>
      <c r="AC575" t="inlineStr">
        <is>
          <t>.</t>
        </is>
      </c>
      <c r="AD575" t="inlineStr">
        <is>
          <t>4;3;5;4;4</t>
        </is>
      </c>
      <c r="AE575" t="inlineStr">
        <is>
          <t>0.875263421473205;9.78327262907819e-06</t>
        </is>
      </c>
      <c r="AF575" t="inlineStr">
        <is>
          <t>killer cell immunoglobulin like receptor, three Ig domains and long cytoplasmic tail 1;killer cell immunoglobulin like receptor, two Ig domains and long cytoplasmic tail 4;killer cell immunoglobulin like receptor, two Ig domains and short cytoplasmic tail 4</t>
        </is>
      </c>
      <c r="AG575" t="inlineStr">
        <is>
          <t xml:space="preserve">FUNCTION: Receptor on natural killer (NK) cells for HLA Bw4 allele. Inhibits the activity of NK cells thus preventing cell lysis. {ECO:0000269|PubMed:22020283}.; ;FUNCTION: Receptor on natural killer (NK) cells for HLA-C alleles. Does not inhibit the activity of NK cells. {ECO:0000269|PubMed:19858347}.; ;FUNCTION: Receptor on natural killer (NK) cells for HLA-C alleles. Inhibits the activity of NK cells thus preventing cell lysis.; </t>
        </is>
      </c>
      <c r="AH575" t="inlineStr">
        <is>
          <t>.</t>
        </is>
      </c>
      <c r="AI575" t="inlineStr">
        <is>
          <t>GenotypeConflict</t>
        </is>
      </c>
      <c r="AJ575" t="inlineStr">
        <is>
          <t>.</t>
        </is>
      </c>
      <c r="AK575" t="inlineStr">
        <is>
          <t>.</t>
        </is>
      </c>
      <c r="AL575" t="inlineStr">
        <is>
          <t>.</t>
        </is>
      </c>
    </row>
    <row r="576">
      <c r="A576" t="inlineStr"/>
      <c r="B576">
        <f>HYPERLINK("https://genome.ucsc.edu/cgi-bin/hgTracks?db=hg19&amp;position=chr19%3A55320306%2D55320307", "chr19:55320306")</f>
        <v/>
      </c>
      <c r="C576" t="inlineStr">
        <is>
          <t>chr19</t>
        </is>
      </c>
      <c r="D576" t="n">
        <v>55320306</v>
      </c>
      <c r="E576" t="n">
        <v>55320307</v>
      </c>
      <c r="F576" t="inlineStr">
        <is>
          <t>GG</t>
        </is>
      </c>
      <c r="G576" t="inlineStr">
        <is>
          <t>-</t>
        </is>
      </c>
      <c r="H576" t="inlineStr">
        <is>
          <t>233.60</t>
        </is>
      </c>
      <c r="I576" t="inlineStr">
        <is>
          <t>159</t>
        </is>
      </c>
      <c r="J576" t="inlineStr">
        <is>
          <t>143,16</t>
        </is>
      </c>
      <c r="K576" t="inlineStr">
        <is>
          <t>.</t>
        </is>
      </c>
      <c r="L576" t="inlineStr">
        <is>
          <t>.</t>
        </is>
      </c>
      <c r="M576">
        <f>HYPERLINK("https://www.genecards.org/Search/Keyword?queryString=%5Baliases%5D(%20KIR2DL4%20)%20OR%20%5Baliases%5D(%20LOC100287534%20)%20OR%20%5Baliases%5D(%20LOC112268354%20)&amp;keywords=KIR2DL4,LOC100287534,LOC112268354", "KIR2DL4;LOC100287534;LOC112268354")</f>
        <v/>
      </c>
      <c r="N576" t="inlineStr">
        <is>
          <t>exonic</t>
        </is>
      </c>
      <c r="O576" t="inlineStr">
        <is>
          <t>frameshift deletion</t>
        </is>
      </c>
      <c r="P576" t="inlineStr">
        <is>
          <t>KIR2DL4:NM_001080770:exon5:c.674_675del:p.W225Sfs*5,KIR2DL4:NM_001080772:exon5:c.674_675del:p.W225Sfs*5;LOC100287534:uc002qhh.4:exon4:c.506_507del:p.W169Sfs*5,LOC100287534:uc002qhg.4:exon5:c.674_675del:p.W225Sfs*5,KIR2DL4:uc010yfl.2:exon5:c.668_669del:p.W223Sfs*5,LOC100287534:uc021vbn.2:exon6:c.674_675del:p.W225Sfs*5;KIR2DL4:ENST00000346587.8_1:exon4:c.389_390del:p.W130Sfs*5,KIR2DL4:ENST00000345540.10_5:exon5:c.674_675del:p.W225Sfs*5,KIR2DL4:ENST00000359085.8_3:exon5:c.674_675del:p.W225Sfs*5</t>
        </is>
      </c>
      <c r="Q576" t="n">
        <v>-1</v>
      </c>
      <c r="R576" t="n">
        <v>-1</v>
      </c>
      <c r="S576" t="n">
        <v>-1</v>
      </c>
      <c r="T576" t="n">
        <v>-1</v>
      </c>
      <c r="U576" t="n">
        <v>-1</v>
      </c>
      <c r="V576" t="inlineStr">
        <is>
          <t>.</t>
        </is>
      </c>
      <c r="W576" t="inlineStr">
        <is>
          <t>.</t>
        </is>
      </c>
      <c r="X576" t="inlineStr">
        <is>
          <t>.</t>
        </is>
      </c>
      <c r="Y576" t="inlineStr">
        <is>
          <t>.</t>
        </is>
      </c>
      <c r="Z576" t="inlineStr">
        <is>
          <t>.</t>
        </is>
      </c>
      <c r="AA576" t="inlineStr">
        <is>
          <t>.</t>
        </is>
      </c>
      <c r="AB576" t="inlineStr">
        <is>
          <t>.</t>
        </is>
      </c>
      <c r="AC576" t="inlineStr">
        <is>
          <t>.</t>
        </is>
      </c>
      <c r="AD576" t="inlineStr">
        <is>
          <t>4;4;4</t>
        </is>
      </c>
      <c r="AE576" t="inlineStr">
        <is>
          <t>0.875263421473205</t>
        </is>
      </c>
      <c r="AF576" t="inlineStr">
        <is>
          <t>killer cell immunoglobulin like receptor, two Ig domains and long cytoplasmic tail 4</t>
        </is>
      </c>
      <c r="AG576" t="inlineStr">
        <is>
          <t xml:space="preserve">FUNCTION: Receptor on natural killer (NK) cells for HLA-C alleles. Inhibits the activity of NK cells thus preventing cell lysis.; </t>
        </is>
      </c>
      <c r="AH576" t="inlineStr">
        <is>
          <t>.</t>
        </is>
      </c>
      <c r="AI576" t="inlineStr">
        <is>
          <t>.</t>
        </is>
      </c>
      <c r="AJ576" t="inlineStr">
        <is>
          <t>.</t>
        </is>
      </c>
      <c r="AK576" t="inlineStr">
        <is>
          <t>.</t>
        </is>
      </c>
      <c r="AL576" t="inlineStr">
        <is>
          <t>NGS_HighStringency</t>
        </is>
      </c>
    </row>
    <row r="577">
      <c r="A577" t="inlineStr"/>
      <c r="B577">
        <f>HYPERLINK("https://genome.ucsc.edu/cgi-bin/hgTracks?db=hg19&amp;position=chr19%3A55320308%2D55320308", "chr19:55320308")</f>
        <v/>
      </c>
      <c r="C577" t="inlineStr">
        <is>
          <t>chr19</t>
        </is>
      </c>
      <c r="D577" t="n">
        <v>55320308</v>
      </c>
      <c r="E577" t="n">
        <v>55320308</v>
      </c>
      <c r="F577" t="inlineStr">
        <is>
          <t>-</t>
        </is>
      </c>
      <c r="G577" t="inlineStr">
        <is>
          <t>AT</t>
        </is>
      </c>
      <c r="H577" t="inlineStr">
        <is>
          <t>191.60</t>
        </is>
      </c>
      <c r="I577" t="inlineStr">
        <is>
          <t>158</t>
        </is>
      </c>
      <c r="J577" t="inlineStr">
        <is>
          <t>143,15</t>
        </is>
      </c>
      <c r="K577" t="inlineStr">
        <is>
          <t>.</t>
        </is>
      </c>
      <c r="L577" t="inlineStr">
        <is>
          <t>.</t>
        </is>
      </c>
      <c r="M577">
        <f>HYPERLINK("https://www.genecards.org/Search/Keyword?queryString=%5Baliases%5D(%20KIR2DL4%20)%20OR%20%5Baliases%5D(%20LOC100287534%20)%20OR%20%5Baliases%5D(%20LOC112268354%20)&amp;keywords=KIR2DL4,LOC100287534,LOC112268354", "KIR2DL4;LOC100287534;LOC112268354")</f>
        <v/>
      </c>
      <c r="N577" t="inlineStr">
        <is>
          <t>exonic</t>
        </is>
      </c>
      <c r="O577" t="inlineStr">
        <is>
          <t>frameshift insertion</t>
        </is>
      </c>
      <c r="P577" t="inlineStr">
        <is>
          <t>KIR2DL4:NM_001080770:exon5:c.676_677insAT:p.P226Hfs*15,KIR2DL4:NM_001080772:exon5:c.676_677insAT:p.P226Hfs*20;LOC100287534:uc002qhh.4:exon4:c.508_509insAT:p.P170Hfs*15,LOC100287534:uc002qhg.4:exon5:c.676_677insAT:p.P226Hfs*15,KIR2DL4:uc010yfl.2:exon5:c.670_671insAT:p.P224Hfs*20,LOC100287534:uc021vbn.2:exon6:c.676_677insAT:p.P226Hfs*20;KIR2DL4:ENST00000346587.8_1:exon4:c.391_392insAT:p.P131Hfs*15,KIR2DL4:ENST00000345540.10_5:exon5:c.676_677insAT:p.P226Hfs*15,KIR2DL4:ENST00000359085.8_3:exon5:c.676_677insAT:p.P226Hfs*20</t>
        </is>
      </c>
      <c r="Q577" t="n">
        <v>-1</v>
      </c>
      <c r="R577" t="n">
        <v>-1</v>
      </c>
      <c r="S577" t="n">
        <v>-1</v>
      </c>
      <c r="T577" t="n">
        <v>-1</v>
      </c>
      <c r="U577" t="n">
        <v>-1</v>
      </c>
      <c r="V577" t="inlineStr">
        <is>
          <t>.</t>
        </is>
      </c>
      <c r="W577" t="inlineStr">
        <is>
          <t>.</t>
        </is>
      </c>
      <c r="X577" t="inlineStr">
        <is>
          <t>.</t>
        </is>
      </c>
      <c r="Y577" t="inlineStr">
        <is>
          <t>.</t>
        </is>
      </c>
      <c r="Z577" t="inlineStr">
        <is>
          <t>.</t>
        </is>
      </c>
      <c r="AA577" t="inlineStr">
        <is>
          <t>.</t>
        </is>
      </c>
      <c r="AB577" t="inlineStr">
        <is>
          <t>.</t>
        </is>
      </c>
      <c r="AC577" t="inlineStr">
        <is>
          <t>.</t>
        </is>
      </c>
      <c r="AD577" t="inlineStr">
        <is>
          <t>4;4;4</t>
        </is>
      </c>
      <c r="AE577" t="inlineStr">
        <is>
          <t>0.875263421473205</t>
        </is>
      </c>
      <c r="AF577" t="inlineStr">
        <is>
          <t>killer cell immunoglobulin like receptor, two Ig domains and long cytoplasmic tail 4</t>
        </is>
      </c>
      <c r="AG577" t="inlineStr">
        <is>
          <t xml:space="preserve">FUNCTION: Receptor on natural killer (NK) cells for HLA-C alleles. Inhibits the activity of NK cells thus preventing cell lysis.; </t>
        </is>
      </c>
      <c r="AH577" t="inlineStr">
        <is>
          <t>.</t>
        </is>
      </c>
      <c r="AI577" t="inlineStr">
        <is>
          <t>.</t>
        </is>
      </c>
      <c r="AJ577" t="inlineStr">
        <is>
          <t>.</t>
        </is>
      </c>
      <c r="AK577" t="inlineStr">
        <is>
          <t>.</t>
        </is>
      </c>
      <c r="AL577" t="inlineStr">
        <is>
          <t>NGS_HighStringency</t>
        </is>
      </c>
    </row>
    <row r="578">
      <c r="A578" t="inlineStr"/>
      <c r="B578">
        <f>HYPERLINK("https://genome.ucsc.edu/cgi-bin/hgTracks?db=hg19&amp;position=chr19%3A55324674%2D55324674", "chr19:55324674")</f>
        <v/>
      </c>
      <c r="C578" t="inlineStr">
        <is>
          <t>chr19</t>
        </is>
      </c>
      <c r="D578" t="n">
        <v>55324674</v>
      </c>
      <c r="E578" t="n">
        <v>55324674</v>
      </c>
      <c r="F578" t="inlineStr">
        <is>
          <t>-</t>
        </is>
      </c>
      <c r="G578" t="inlineStr">
        <is>
          <t>A</t>
        </is>
      </c>
      <c r="H578" t="inlineStr">
        <is>
          <t>612.60</t>
        </is>
      </c>
      <c r="I578" t="inlineStr">
        <is>
          <t>95</t>
        </is>
      </c>
      <c r="J578" t="inlineStr">
        <is>
          <t>62,31</t>
        </is>
      </c>
      <c r="K578" t="inlineStr">
        <is>
          <t>.</t>
        </is>
      </c>
      <c r="L578">
        <f>HYPERLINK("https://www.ncbi.nlm.nih.gov/snp/rs11371265", "rs11371265")</f>
        <v/>
      </c>
      <c r="M578">
        <f>HYPERLINK("https://www.genecards.org/Search/Keyword?queryString=%5Baliases%5D(%20KIR2DL4%20)%20OR%20%5Baliases%5D(%20LOC100287534%20)%20OR%20%5Baliases%5D(%20LOC112268354%20)&amp;keywords=KIR2DL4,LOC100287534,LOC112268354", "KIR2DL4;LOC100287534;LOC112268354")</f>
        <v/>
      </c>
      <c r="N578" t="inlineStr">
        <is>
          <t>exonic</t>
        </is>
      </c>
      <c r="O578" t="inlineStr">
        <is>
          <t>frameshift insertion</t>
        </is>
      </c>
      <c r="P578" t="inlineStr">
        <is>
          <t>KIR2DL4:NM_001080772:exon6:c.802dupA:p.M271Nfs*108;LOC100287534:uc002qhi.4:exon5:c.868dupA:p.M293Nfs*108,KIR2DL4:uc010yfl.2:exon6:c.796dupA:p.V269Sfs*43,LOC100287534:uc021vbn.2:exon7:c.802dupA:p.M271Nfs*108;KIR2DL4:ENST00000359085.8_3:exon6:c.802dupA:p.M271Nfs*108</t>
        </is>
      </c>
      <c r="Q578" t="n">
        <v>0.0044825</v>
      </c>
      <c r="R578" t="n">
        <v>-1</v>
      </c>
      <c r="S578" t="n">
        <v>-1</v>
      </c>
      <c r="T578" t="n">
        <v>-1</v>
      </c>
      <c r="U578" t="n">
        <v>-1</v>
      </c>
      <c r="V578" t="inlineStr">
        <is>
          <t>.</t>
        </is>
      </c>
      <c r="W578" t="inlineStr">
        <is>
          <t>.</t>
        </is>
      </c>
      <c r="X578" t="inlineStr">
        <is>
          <t>.</t>
        </is>
      </c>
      <c r="Y578" t="inlineStr">
        <is>
          <t>.</t>
        </is>
      </c>
      <c r="Z578" t="inlineStr">
        <is>
          <t>.</t>
        </is>
      </c>
      <c r="AA578" t="inlineStr">
        <is>
          <t>.</t>
        </is>
      </c>
      <c r="AB578" t="inlineStr">
        <is>
          <t>.</t>
        </is>
      </c>
      <c r="AC578" t="inlineStr">
        <is>
          <t>0/1</t>
        </is>
      </c>
      <c r="AD578" t="inlineStr">
        <is>
          <t>4;4;4</t>
        </is>
      </c>
      <c r="AE578" t="inlineStr">
        <is>
          <t>0.875263421473205</t>
        </is>
      </c>
      <c r="AF578" t="inlineStr">
        <is>
          <t>killer cell immunoglobulin like receptor, two Ig domains and long cytoplasmic tail 4</t>
        </is>
      </c>
      <c r="AG578" t="inlineStr">
        <is>
          <t xml:space="preserve">FUNCTION: Receptor on natural killer (NK) cells for HLA-C alleles. Inhibits the activity of NK cells thus preventing cell lysis.; </t>
        </is>
      </c>
      <c r="AH578" t="inlineStr">
        <is>
          <t>.</t>
        </is>
      </c>
      <c r="AI578" t="inlineStr">
        <is>
          <t>.</t>
        </is>
      </c>
      <c r="AJ578" t="inlineStr">
        <is>
          <t>.</t>
        </is>
      </c>
      <c r="AK578" t="inlineStr">
        <is>
          <t>.</t>
        </is>
      </c>
      <c r="AL578" t="inlineStr">
        <is>
          <t>NGS_HighStringency</t>
        </is>
      </c>
    </row>
    <row r="579">
      <c r="A579" t="inlineStr"/>
      <c r="B579">
        <f>HYPERLINK("https://genome.ucsc.edu/cgi-bin/hgTracks?db=hg19&amp;position=chr19%3A55329934%2D55329934", "chr19:55329934")</f>
        <v/>
      </c>
      <c r="C579" t="inlineStr">
        <is>
          <t>chr19</t>
        </is>
      </c>
      <c r="D579" t="n">
        <v>55329934</v>
      </c>
      <c r="E579" t="n">
        <v>55329934</v>
      </c>
      <c r="F579" t="inlineStr">
        <is>
          <t>A</t>
        </is>
      </c>
      <c r="G579" t="inlineStr">
        <is>
          <t>G</t>
        </is>
      </c>
      <c r="H579" t="inlineStr">
        <is>
          <t>955.64</t>
        </is>
      </c>
      <c r="I579" t="inlineStr">
        <is>
          <t>152</t>
        </is>
      </c>
      <c r="J579" t="inlineStr">
        <is>
          <t>106,46</t>
        </is>
      </c>
      <c r="K579" t="inlineStr">
        <is>
          <t>.</t>
        </is>
      </c>
      <c r="L579" t="inlineStr">
        <is>
          <t>.</t>
        </is>
      </c>
      <c r="M579">
        <f>HYPERLINK("https://www.genecards.org/Search/Keyword?queryString=%5Baliases%5D(%20KIR3DL1%20)&amp;keywords=KIR3DL1", "KIR3DL1")</f>
        <v/>
      </c>
      <c r="N579" t="inlineStr">
        <is>
          <t>exonic</t>
        </is>
      </c>
      <c r="O579" t="inlineStr">
        <is>
          <t>nonsynonymous SNV</t>
        </is>
      </c>
      <c r="P579" t="inlineStr">
        <is>
          <t>KIR3DL1:NM_001322168:exon3:c.A235G:p.S79G,KIR3DL1:NM_013289:exon3:c.A235G:p.S79G;KIR3DL1:uc002qhk.4:exon3:c.A235G:p.S79G,KIR3DL1:uc002qhl.4:exon3:c.A235G:p.S79G,KIR3DL1:uc021vbm.1:exon3:c.A235G:p.S79G,KIR3DL1:uc021vbo.1:exon3:c.A235G:p.S79G;KIR3DL1:ENST00000326542.11_1:exon3:c.A235G:p.S79G,KIR3DL1:ENST00000391728.8_4:exon3:c.A235G:p.S79G</t>
        </is>
      </c>
      <c r="Q579" t="n">
        <v>0.0208406</v>
      </c>
      <c r="R579" t="n">
        <v>-1</v>
      </c>
      <c r="S579" t="n">
        <v>-1</v>
      </c>
      <c r="T579" t="n">
        <v>-1</v>
      </c>
      <c r="U579" t="n">
        <v>-1</v>
      </c>
      <c r="V579" t="inlineStr">
        <is>
          <t>3/11</t>
        </is>
      </c>
      <c r="W579" t="inlineStr">
        <is>
          <t>.</t>
        </is>
      </c>
      <c r="X579" t="inlineStr">
        <is>
          <t>.</t>
        </is>
      </c>
      <c r="Y579" t="inlineStr">
        <is>
          <t>.</t>
        </is>
      </c>
      <c r="Z579" t="inlineStr">
        <is>
          <t>0/7</t>
        </is>
      </c>
      <c r="AA579" t="inlineStr">
        <is>
          <t>Uncertain significance</t>
        </is>
      </c>
      <c r="AB579" t="inlineStr">
        <is>
          <t>.</t>
        </is>
      </c>
      <c r="AC579" t="inlineStr">
        <is>
          <t>0/1</t>
        </is>
      </c>
      <c r="AD579" t="inlineStr">
        <is>
          <t>5</t>
        </is>
      </c>
      <c r="AE579" t="inlineStr">
        <is>
          <t>9.78327262907819e-06</t>
        </is>
      </c>
      <c r="AF579" t="inlineStr">
        <is>
          <t>killer cell immunoglobulin like receptor, three Ig domains and long cytoplasmic tail 1</t>
        </is>
      </c>
      <c r="AG579" t="inlineStr">
        <is>
          <t xml:space="preserve">FUNCTION: Receptor on natural killer (NK) cells for HLA Bw4 allele. Inhibits the activity of NK cells thus preventing cell lysis. {ECO:0000269|PubMed:22020283}.; </t>
        </is>
      </c>
      <c r="AH579" t="inlineStr">
        <is>
          <t>.</t>
        </is>
      </c>
      <c r="AI579" t="inlineStr">
        <is>
          <t>GenotypeConflict</t>
        </is>
      </c>
      <c r="AJ579" t="inlineStr">
        <is>
          <t>.</t>
        </is>
      </c>
      <c r="AK579" t="inlineStr">
        <is>
          <t>.</t>
        </is>
      </c>
      <c r="AL579" t="inlineStr">
        <is>
          <t>NGS_HighStringency</t>
        </is>
      </c>
    </row>
    <row r="580">
      <c r="A580" t="inlineStr"/>
      <c r="B580">
        <f>HYPERLINK("https://genome.ucsc.edu/cgi-bin/hgTracks?db=hg19&amp;position=chr19%3A55331287%2D55331287", "chr19:55331287")</f>
        <v/>
      </c>
      <c r="C580" t="inlineStr">
        <is>
          <t>chr19</t>
        </is>
      </c>
      <c r="D580" t="n">
        <v>55331287</v>
      </c>
      <c r="E580" t="n">
        <v>55331287</v>
      </c>
      <c r="F580" t="inlineStr">
        <is>
          <t>G</t>
        </is>
      </c>
      <c r="G580" t="inlineStr">
        <is>
          <t>T</t>
        </is>
      </c>
      <c r="H580" t="inlineStr">
        <is>
          <t>1106.64</t>
        </is>
      </c>
      <c r="I580" t="inlineStr">
        <is>
          <t>163</t>
        </is>
      </c>
      <c r="J580" t="inlineStr">
        <is>
          <t>110,53</t>
        </is>
      </c>
      <c r="K580" t="inlineStr">
        <is>
          <t>.</t>
        </is>
      </c>
      <c r="L580">
        <f>HYPERLINK("https://www.ncbi.nlm.nih.gov/snp/rs652641", "rs652641")</f>
        <v/>
      </c>
      <c r="M580">
        <f>HYPERLINK("https://www.genecards.org/Search/Keyword?queryString=%5Baliases%5D(%20KIR3DL1%20)&amp;keywords=KIR3DL1", "KIR3DL1")</f>
        <v/>
      </c>
      <c r="N580" t="inlineStr">
        <is>
          <t>exonic</t>
        </is>
      </c>
      <c r="O580" t="inlineStr">
        <is>
          <t>nonsynonymous SNV</t>
        </is>
      </c>
      <c r="P580" t="inlineStr">
        <is>
          <t>KIR3DL1:NM_001322168:exon4:c.G475T:p.G159W,KIR3DL1:NM_013289:exon4:c.G475T:p.G159W;KIR3DL1:uc010esf.3:exon3:c.G190T:p.G64W,KIR3DL1:uc002qhk.4:exon4:c.G475T:p.G159W,KIR3DL1:uc002qhl.4:exon4:c.G475T:p.G159W,KIR3DL1:uc021vbm.1:exon4:c.G475T:p.G159W,KIR3DL1:uc021vbo.1:exon4:c.G475T:p.G159W;KIR3DL1:ENST00000358178.4_1:exon3:c.G190T:p.G64W,KIR3DL1:ENST00000326542.11_1:exon4:c.G475T:p.G159W,KIR3DL1:ENST00000391728.8_4:exon4:c.G475T:p.G159W</t>
        </is>
      </c>
      <c r="Q580" t="n">
        <v>0.0149028</v>
      </c>
      <c r="R580" t="n">
        <v>-1</v>
      </c>
      <c r="S580" t="n">
        <v>-1</v>
      </c>
      <c r="T580" t="n">
        <v>-1</v>
      </c>
      <c r="U580" t="n">
        <v>-1</v>
      </c>
      <c r="V580" t="inlineStr">
        <is>
          <t>4/11</t>
        </is>
      </c>
      <c r="W580" t="inlineStr">
        <is>
          <t>.</t>
        </is>
      </c>
      <c r="X580" t="inlineStr">
        <is>
          <t>.</t>
        </is>
      </c>
      <c r="Y580" t="inlineStr">
        <is>
          <t>.</t>
        </is>
      </c>
      <c r="Z580" t="inlineStr">
        <is>
          <t>0/7</t>
        </is>
      </c>
      <c r="AA580" t="inlineStr">
        <is>
          <t>Uncertain significance</t>
        </is>
      </c>
      <c r="AB580" t="inlineStr">
        <is>
          <t>.</t>
        </is>
      </c>
      <c r="AC580" t="inlineStr">
        <is>
          <t>0/1</t>
        </is>
      </c>
      <c r="AD580" t="inlineStr">
        <is>
          <t>5</t>
        </is>
      </c>
      <c r="AE580" t="inlineStr">
        <is>
          <t>9.78327262907819e-06</t>
        </is>
      </c>
      <c r="AF580" t="inlineStr">
        <is>
          <t>killer cell immunoglobulin like receptor, three Ig domains and long cytoplasmic tail 1</t>
        </is>
      </c>
      <c r="AG580" t="inlineStr">
        <is>
          <t xml:space="preserve">FUNCTION: Receptor on natural killer (NK) cells for HLA Bw4 allele. Inhibits the activity of NK cells thus preventing cell lysis. {ECO:0000269|PubMed:22020283}.; </t>
        </is>
      </c>
      <c r="AH580" t="inlineStr">
        <is>
          <t>.</t>
        </is>
      </c>
      <c r="AI580" t="inlineStr">
        <is>
          <t>GenotypeConflict</t>
        </is>
      </c>
      <c r="AJ580" t="inlineStr">
        <is>
          <t>.</t>
        </is>
      </c>
      <c r="AK580" t="inlineStr">
        <is>
          <t>.</t>
        </is>
      </c>
      <c r="AL580" t="inlineStr">
        <is>
          <t>NGS_HighStringency</t>
        </is>
      </c>
    </row>
    <row r="581">
      <c r="A581" t="inlineStr"/>
      <c r="B581">
        <f>HYPERLINK("https://genome.ucsc.edu/cgi-bin/hgTracks?db=hg19&amp;position=chr19%3A55332900%2D55332900", "chr19:55332900")</f>
        <v/>
      </c>
      <c r="C581" t="inlineStr">
        <is>
          <t>chr19</t>
        </is>
      </c>
      <c r="D581" t="n">
        <v>55332900</v>
      </c>
      <c r="E581" t="n">
        <v>55332900</v>
      </c>
      <c r="F581" t="inlineStr">
        <is>
          <t>G</t>
        </is>
      </c>
      <c r="G581" t="inlineStr">
        <is>
          <t>A</t>
        </is>
      </c>
      <c r="H581" t="inlineStr">
        <is>
          <t>77.64</t>
        </is>
      </c>
      <c r="I581" t="inlineStr">
        <is>
          <t>27</t>
        </is>
      </c>
      <c r="J581" t="inlineStr">
        <is>
          <t>22,5</t>
        </is>
      </c>
      <c r="K581" t="inlineStr">
        <is>
          <t>.</t>
        </is>
      </c>
      <c r="L581">
        <f>HYPERLINK("https://www.ncbi.nlm.nih.gov/snp/rs687844", "rs687844")</f>
        <v/>
      </c>
      <c r="M581">
        <f>HYPERLINK("https://www.genecards.org/Search/Keyword?queryString=%5Baliases%5D(%20KIR2DS4%20)%20OR%20%5Baliases%5D(%20KIR3DL1%20)&amp;keywords=KIR2DS4,KIR3DL1", "KIR2DS4;KIR3DL1")</f>
        <v/>
      </c>
      <c r="N581" t="inlineStr">
        <is>
          <t>intronic</t>
        </is>
      </c>
      <c r="O581" t="inlineStr">
        <is>
          <t>.</t>
        </is>
      </c>
      <c r="P581" t="inlineStr">
        <is>
          <t>.</t>
        </is>
      </c>
      <c r="Q581" t="n">
        <v>0.0199092</v>
      </c>
      <c r="R581" t="n">
        <v>-1</v>
      </c>
      <c r="S581" t="n">
        <v>-1</v>
      </c>
      <c r="T581" t="n">
        <v>-1</v>
      </c>
      <c r="U581" t="n">
        <v>-1</v>
      </c>
      <c r="V581" t="inlineStr">
        <is>
          <t>.</t>
        </is>
      </c>
      <c r="W581" t="inlineStr">
        <is>
          <t>.</t>
        </is>
      </c>
      <c r="X581" t="inlineStr">
        <is>
          <t>PD</t>
        </is>
      </c>
      <c r="Y581" t="inlineStr">
        <is>
          <t>off</t>
        </is>
      </c>
      <c r="Z581" t="inlineStr">
        <is>
          <t>.</t>
        </is>
      </c>
      <c r="AA581" t="inlineStr">
        <is>
          <t>.</t>
        </is>
      </c>
      <c r="AB581" t="inlineStr">
        <is>
          <t>.</t>
        </is>
      </c>
      <c r="AC581" t="inlineStr">
        <is>
          <t>0/1</t>
        </is>
      </c>
      <c r="AD581" t="inlineStr">
        <is>
          <t>3;5</t>
        </is>
      </c>
      <c r="AE581" t="inlineStr">
        <is>
          <t>9.78327262907819e-06</t>
        </is>
      </c>
      <c r="AF581" t="inlineStr">
        <is>
          <t>killer cell immunoglobulin like receptor, three Ig domains and long cytoplasmic tail 1;killer cell immunoglobulin like receptor, two Ig domains and short cytoplasmic tail 4</t>
        </is>
      </c>
      <c r="AG581" t="inlineStr">
        <is>
          <t xml:space="preserve">FUNCTION: Receptor on natural killer (NK) cells for HLA Bw4 allele. Inhibits the activity of NK cells thus preventing cell lysis. {ECO:0000269|PubMed:22020283}.; ;FUNCTION: Receptor on natural killer (NK) cells for HLA-C alleles. Does not inhibit the activity of NK cells. {ECO:0000269|PubMed:19858347}.; </t>
        </is>
      </c>
      <c r="AH581" t="inlineStr">
        <is>
          <t>.</t>
        </is>
      </c>
      <c r="AI581" t="inlineStr">
        <is>
          <t>GenotypeConflict</t>
        </is>
      </c>
      <c r="AJ581" t="inlineStr">
        <is>
          <t>.</t>
        </is>
      </c>
      <c r="AK581" t="inlineStr">
        <is>
          <t>.</t>
        </is>
      </c>
      <c r="AL581" t="inlineStr">
        <is>
          <t>.</t>
        </is>
      </c>
    </row>
    <row r="582">
      <c r="A582" t="inlineStr"/>
      <c r="B582">
        <f>HYPERLINK("https://genome.ucsc.edu/cgi-bin/hgTracks?db=hg19&amp;position=chr19%3A55367015%2D55367015", "chr19:55367015")</f>
        <v/>
      </c>
      <c r="C582" t="inlineStr">
        <is>
          <t>chr19</t>
        </is>
      </c>
      <c r="D582" t="n">
        <v>55367015</v>
      </c>
      <c r="E582" t="n">
        <v>55367015</v>
      </c>
      <c r="F582" t="inlineStr">
        <is>
          <t>A</t>
        </is>
      </c>
      <c r="G582" t="inlineStr">
        <is>
          <t>G</t>
        </is>
      </c>
      <c r="H582" t="inlineStr">
        <is>
          <t>134.64</t>
        </is>
      </c>
      <c r="I582" t="inlineStr">
        <is>
          <t>79</t>
        </is>
      </c>
      <c r="J582" t="inlineStr">
        <is>
          <t>64,15</t>
        </is>
      </c>
      <c r="K582" t="inlineStr">
        <is>
          <t>.</t>
        </is>
      </c>
      <c r="L582">
        <f>HYPERLINK("https://www.ncbi.nlm.nih.gov/snp/rs199827986", "rs199827986")</f>
        <v/>
      </c>
      <c r="M582">
        <f>HYPERLINK("https://www.genecards.org/Search/Keyword?queryString=%5Baliases%5D(%20KIR2DS4%20)%20OR%20%5Baliases%5D(%20KIR3DL1%20)%20OR%20%5Baliases%5D(%20KIR3DL2%20)&amp;keywords=KIR2DS4,KIR3DL1,KIR3DL2", "KIR2DS4;KIR3DL1;KIR3DL2")</f>
        <v/>
      </c>
      <c r="N582" t="inlineStr">
        <is>
          <t>intronic</t>
        </is>
      </c>
      <c r="O582" t="inlineStr">
        <is>
          <t>.</t>
        </is>
      </c>
      <c r="P582" t="inlineStr">
        <is>
          <t>.</t>
        </is>
      </c>
      <c r="Q582" t="n">
        <v>0.0026972</v>
      </c>
      <c r="R582" t="n">
        <v>-1</v>
      </c>
      <c r="S582" t="n">
        <v>-1</v>
      </c>
      <c r="T582" t="n">
        <v>-1</v>
      </c>
      <c r="U582" t="n">
        <v>-1</v>
      </c>
      <c r="V582" t="inlineStr">
        <is>
          <t>.</t>
        </is>
      </c>
      <c r="W582" t="inlineStr">
        <is>
          <t>.</t>
        </is>
      </c>
      <c r="X582" t="inlineStr">
        <is>
          <t>D</t>
        </is>
      </c>
      <c r="Y582" t="inlineStr">
        <is>
          <t>off</t>
        </is>
      </c>
      <c r="Z582" t="inlineStr">
        <is>
          <t>.</t>
        </is>
      </c>
      <c r="AA582" t="inlineStr">
        <is>
          <t>.</t>
        </is>
      </c>
      <c r="AB582" t="inlineStr">
        <is>
          <t>.</t>
        </is>
      </c>
      <c r="AC582" t="inlineStr">
        <is>
          <t>0/1</t>
        </is>
      </c>
      <c r="AD582" t="inlineStr">
        <is>
          <t>3;5;1</t>
        </is>
      </c>
      <c r="AE582" t="inlineStr">
        <is>
          <t>0.221236755494515;9.78327262907819e-06</t>
        </is>
      </c>
      <c r="AF582" t="inlineStr">
        <is>
          <t>killer cell immunoglobulin like receptor, three Ig domains and long cytoplasmic tail 1;killer cell immunoglobulin like receptor, three Ig domains and long cytoplasmic tail 2;killer cell immunoglobulin like receptor, two Ig domains and short cytoplasmic tail 4</t>
        </is>
      </c>
      <c r="AG582" t="inlineStr">
        <is>
          <t xml:space="preserve">FUNCTION: Receptor on natural killer (NK) cells for HLA Bw4 allele. Inhibits the activity of NK cells thus preventing cell lysis. {ECO:0000269|PubMed:22020283}.; ;FUNCTION: Receptor on natural killer (NK) cells for HLA-A alleles. Inhibits the activity of NK cells thus preventing cell lysis.; ;FUNCTION: Receptor on natural killer (NK) cells for HLA-C alleles. Does not inhibit the activity of NK cells. {ECO:0000269|PubMed:19858347}.; </t>
        </is>
      </c>
      <c r="AH582" t="inlineStr">
        <is>
          <t>.</t>
        </is>
      </c>
      <c r="AI582" t="inlineStr">
        <is>
          <t>GenotypeConflict</t>
        </is>
      </c>
      <c r="AJ582" t="inlineStr">
        <is>
          <t>.</t>
        </is>
      </c>
      <c r="AK582" t="inlineStr">
        <is>
          <t>.</t>
        </is>
      </c>
      <c r="AL582" t="inlineStr">
        <is>
          <t>NGS_HighStringency</t>
        </is>
      </c>
    </row>
    <row r="583">
      <c r="A583" t="inlineStr"/>
      <c r="B583">
        <f>HYPERLINK("https://genome.ucsc.edu/cgi-bin/hgTracks?db=hg19&amp;position=chr19%3A55527234%2D55527234", "chr19:55527234")</f>
        <v/>
      </c>
      <c r="C583" t="inlineStr">
        <is>
          <t>chr19</t>
        </is>
      </c>
      <c r="D583" t="n">
        <v>55527234</v>
      </c>
      <c r="E583" t="n">
        <v>55527234</v>
      </c>
      <c r="F583" t="inlineStr">
        <is>
          <t>G</t>
        </is>
      </c>
      <c r="G583" t="inlineStr">
        <is>
          <t>A</t>
        </is>
      </c>
      <c r="H583" t="inlineStr">
        <is>
          <t>39.64</t>
        </is>
      </c>
      <c r="I583" t="inlineStr">
        <is>
          <t>11</t>
        </is>
      </c>
      <c r="J583" t="inlineStr">
        <is>
          <t>9,2</t>
        </is>
      </c>
      <c r="K583" t="inlineStr">
        <is>
          <t>.</t>
        </is>
      </c>
      <c r="L583" t="inlineStr">
        <is>
          <t>.</t>
        </is>
      </c>
      <c r="M583">
        <f>HYPERLINK("https://www.genecards.org/Search/Keyword?queryString=%5Baliases%5D(%20GP6%20)&amp;keywords=GP6", "GP6")</f>
        <v/>
      </c>
      <c r="N583" t="inlineStr">
        <is>
          <t>intronic;ncRNA_intronic</t>
        </is>
      </c>
      <c r="O583" t="inlineStr">
        <is>
          <t>.</t>
        </is>
      </c>
      <c r="P583" t="inlineStr">
        <is>
          <t>.</t>
        </is>
      </c>
      <c r="Q583" t="n">
        <v>0.0001</v>
      </c>
      <c r="R583" t="n">
        <v>0.0001</v>
      </c>
      <c r="S583" t="n">
        <v>0.0003</v>
      </c>
      <c r="T583" t="n">
        <v>-1</v>
      </c>
      <c r="U583" t="n">
        <v>0.0004</v>
      </c>
      <c r="V583" t="inlineStr">
        <is>
          <t>.</t>
        </is>
      </c>
      <c r="W583" t="inlineStr">
        <is>
          <t>.</t>
        </is>
      </c>
      <c r="X583" t="inlineStr">
        <is>
          <t>B</t>
        </is>
      </c>
      <c r="Y583" t="inlineStr">
        <is>
          <t>off</t>
        </is>
      </c>
      <c r="Z583" t="inlineStr">
        <is>
          <t>.</t>
        </is>
      </c>
      <c r="AA583" t="inlineStr">
        <is>
          <t>.</t>
        </is>
      </c>
      <c r="AB583" t="inlineStr">
        <is>
          <t>.</t>
        </is>
      </c>
      <c r="AC583" t="inlineStr">
        <is>
          <t>0/1</t>
        </is>
      </c>
      <c r="AD583" t="inlineStr">
        <is>
          <t>1</t>
        </is>
      </c>
      <c r="AE583" t="inlineStr">
        <is>
          <t>1.19709008860195e-14</t>
        </is>
      </c>
      <c r="AF583" t="inlineStr">
        <is>
          <t>glycoprotein VI platelet</t>
        </is>
      </c>
      <c r="AG583" t="inlineStr">
        <is>
          <t xml:space="preserve">FUNCTION: Collagen receptor involved in collagen-induced platelet adhesion and activation. Plays a key role in platelet procoagulant activity and subsequent thrombin and fibrin formation. This procoagulant function may contribute to arterial and venous thrombus formation. The signaling pathway involves the FcR gamma- chain, the Src kinases (likely Fyn/Lyn), the adapter protein LAT and leads to the activation of phospholipase C gamma2. {ECO:0000269|PubMed:10961879}.; </t>
        </is>
      </c>
      <c r="AH583" t="inlineStr">
        <is>
          <t xml:space="preserve">DISEASE: Bleeding disorder, platelet-type 11 (BDPLT11) [MIM:614201]: A mild to moderate bleeding disorder caused by defective platelet activation and aggregation in response to collagen. {ECO:0000269|PubMed:19549989, ECO:0000269|PubMed:19552682}. Note=The disease is caused by mutations affecting the gene represented in this entry.; </t>
        </is>
      </c>
      <c r="AI583" t="inlineStr">
        <is>
          <t>.</t>
        </is>
      </c>
      <c r="AJ583" t="inlineStr">
        <is>
          <t>.</t>
        </is>
      </c>
      <c r="AK583" t="inlineStr">
        <is>
          <t>.</t>
        </is>
      </c>
      <c r="AL583" t="inlineStr">
        <is>
          <t>.</t>
        </is>
      </c>
    </row>
    <row r="584">
      <c r="A584" t="inlineStr"/>
      <c r="B584">
        <f>HYPERLINK("https://genome.ucsc.edu/cgi-bin/hgTracks?db=hg19&amp;position=chr19%3A55676628%2D55676628", "chr19:55676628")</f>
        <v/>
      </c>
      <c r="C584" t="inlineStr">
        <is>
          <t>chr19</t>
        </is>
      </c>
      <c r="D584" t="n">
        <v>55676628</v>
      </c>
      <c r="E584" t="n">
        <v>55676628</v>
      </c>
      <c r="F584" t="inlineStr">
        <is>
          <t>G</t>
        </is>
      </c>
      <c r="G584" t="inlineStr">
        <is>
          <t>-</t>
        </is>
      </c>
      <c r="H584" t="inlineStr">
        <is>
          <t>53.60</t>
        </is>
      </c>
      <c r="I584" t="inlineStr">
        <is>
          <t>6</t>
        </is>
      </c>
      <c r="J584" t="inlineStr">
        <is>
          <t>4,2</t>
        </is>
      </c>
      <c r="K584" t="inlineStr">
        <is>
          <t>.</t>
        </is>
      </c>
      <c r="L584" t="inlineStr">
        <is>
          <t>.</t>
        </is>
      </c>
      <c r="M584">
        <f>HYPERLINK("https://www.genecards.org/Search/Keyword?queryString=%5Baliases%5D(%20AK097618%20)%20OR%20%5Baliases%5D(%20DNAAF3%20)&amp;keywords=AK097618,DNAAF3", "AK097618;DNAAF3")</f>
        <v/>
      </c>
      <c r="N584" t="inlineStr">
        <is>
          <t>intronic;ncRNA_intronic</t>
        </is>
      </c>
      <c r="O584" t="inlineStr">
        <is>
          <t>.</t>
        </is>
      </c>
      <c r="P584" t="inlineStr">
        <is>
          <t>.</t>
        </is>
      </c>
      <c r="Q584" t="n">
        <v>-1</v>
      </c>
      <c r="R584" t="n">
        <v>-1</v>
      </c>
      <c r="S584" t="n">
        <v>-1</v>
      </c>
      <c r="T584" t="n">
        <v>-1</v>
      </c>
      <c r="U584" t="n">
        <v>-1</v>
      </c>
      <c r="V584" t="inlineStr">
        <is>
          <t>.</t>
        </is>
      </c>
      <c r="W584" t="inlineStr">
        <is>
          <t>.</t>
        </is>
      </c>
      <c r="X584" t="inlineStr">
        <is>
          <t>.</t>
        </is>
      </c>
      <c r="Y584" t="inlineStr">
        <is>
          <t>.</t>
        </is>
      </c>
      <c r="Z584" t="inlineStr">
        <is>
          <t>.</t>
        </is>
      </c>
      <c r="AA584" t="inlineStr">
        <is>
          <t>.</t>
        </is>
      </c>
      <c r="AB584" t="inlineStr">
        <is>
          <t>.</t>
        </is>
      </c>
      <c r="AC584" t="inlineStr">
        <is>
          <t>0/1</t>
        </is>
      </c>
      <c r="AD584" t="inlineStr">
        <is>
          <t>1;1</t>
        </is>
      </c>
      <c r="AE584" t="inlineStr">
        <is>
          <t>3.21577634646308e-06</t>
        </is>
      </c>
      <c r="AF584" t="inlineStr">
        <is>
          <t>dynein (axonemal) assembly factor 3</t>
        </is>
      </c>
      <c r="AG584" t="inlineStr">
        <is>
          <t xml:space="preserve">FUNCTION: Required for the assembly of axonemal inner and outer dynein arms. Involved in preassembly of dyneins into complexes before their transport into cilia. {ECO:0000269|PubMed:22387996}.; </t>
        </is>
      </c>
      <c r="AH584" t="inlineStr">
        <is>
          <t xml:space="preserve">DISEASE: Ciliary dyskinesia, primary, 2 (CILD2) [MIM:606763]: A disorder characterized by abnormalities of motile cilia. Respiratory infections leading to chronic inflammation and bronchiectasis are recurrent, due to defects in the respiratory cilia; reduced fertility is often observed in male patients due to abnormalities of sperm tails. Half of the patients exhibit randomization of left-right body asymmetry and situs inversus, due to dysfunction of monocilia at the embryonic node. Primary ciliary dyskinesia associated with situs inversus is referred to as Kartagener syndrome. {ECO:0000269|PubMed:22387996}. Note=The disease is caused by mutations affecting the gene represented in this entry.; </t>
        </is>
      </c>
      <c r="AI584" t="inlineStr">
        <is>
          <t>.</t>
        </is>
      </c>
      <c r="AJ584" t="inlineStr">
        <is>
          <t>.</t>
        </is>
      </c>
      <c r="AK584" t="inlineStr">
        <is>
          <t>.</t>
        </is>
      </c>
      <c r="AL584" t="inlineStr">
        <is>
          <t>.</t>
        </is>
      </c>
    </row>
    <row r="585">
      <c r="A585" t="inlineStr"/>
      <c r="B585">
        <f>HYPERLINK("https://genome.ucsc.edu/cgi-bin/hgTracks?db=hg19&amp;position=chr19%3A55870260%2D55870260", "chr19:55870260")</f>
        <v/>
      </c>
      <c r="C585" t="inlineStr">
        <is>
          <t>chr19</t>
        </is>
      </c>
      <c r="D585" t="n">
        <v>55870260</v>
      </c>
      <c r="E585" t="n">
        <v>55870260</v>
      </c>
      <c r="F585" t="inlineStr">
        <is>
          <t>G</t>
        </is>
      </c>
      <c r="G585" t="inlineStr">
        <is>
          <t>A</t>
        </is>
      </c>
      <c r="H585" t="inlineStr">
        <is>
          <t>1750.64</t>
        </is>
      </c>
      <c r="I585" t="inlineStr">
        <is>
          <t>93</t>
        </is>
      </c>
      <c r="J585" t="inlineStr">
        <is>
          <t>30,63</t>
        </is>
      </c>
      <c r="K585" t="inlineStr">
        <is>
          <t>.</t>
        </is>
      </c>
      <c r="L585">
        <f>HYPERLINK("https://www.ncbi.nlm.nih.gov/snp/rs73054941", "rs73054941")</f>
        <v/>
      </c>
      <c r="M585">
        <f>HYPERLINK("https://www.genecards.org/Search/Keyword?queryString=%5Baliases%5D(%20FAM71E2%20)&amp;keywords=FAM71E2", "FAM71E2")</f>
        <v/>
      </c>
      <c r="N585" t="inlineStr">
        <is>
          <t>exonic</t>
        </is>
      </c>
      <c r="O585" t="inlineStr">
        <is>
          <t>nonsynonymous SNV</t>
        </is>
      </c>
      <c r="P585" t="inlineStr">
        <is>
          <t>FAM71E2:NM_001145402:exon9:c.C1976T:p.P659L;FAM71E2:uc002qkr.2:exon9:c.C1976T:p.P659L;GARIN5B:ENST00000424985.3_5:exon9:c.C1976T:p.P659L</t>
        </is>
      </c>
      <c r="Q585" t="n">
        <v>0.0271</v>
      </c>
      <c r="R585" t="n">
        <v>0.0247</v>
      </c>
      <c r="S585" t="n">
        <v>0.0276</v>
      </c>
      <c r="T585" t="n">
        <v>-1</v>
      </c>
      <c r="U585" t="n">
        <v>0.0218</v>
      </c>
      <c r="V585" t="inlineStr">
        <is>
          <t>3/9</t>
        </is>
      </c>
      <c r="W585" t="inlineStr">
        <is>
          <t>.</t>
        </is>
      </c>
      <c r="X585" t="inlineStr">
        <is>
          <t>.</t>
        </is>
      </c>
      <c r="Y585" t="inlineStr">
        <is>
          <t>.</t>
        </is>
      </c>
      <c r="Z585" t="inlineStr">
        <is>
          <t>0/7</t>
        </is>
      </c>
      <c r="AA585" t="inlineStr">
        <is>
          <t>Likely benign</t>
        </is>
      </c>
      <c r="AB585" t="inlineStr">
        <is>
          <t>.</t>
        </is>
      </c>
      <c r="AC585" t="inlineStr">
        <is>
          <t>0/1</t>
        </is>
      </c>
      <c r="AD585" t="inlineStr">
        <is>
          <t>1</t>
        </is>
      </c>
      <c r="AE585" t="inlineStr">
        <is>
          <t>.</t>
        </is>
      </c>
      <c r="AF585" t="inlineStr">
        <is>
          <t>family with sequence similarity 71 member E2</t>
        </is>
      </c>
      <c r="AG585" t="inlineStr">
        <is>
          <t>.</t>
        </is>
      </c>
      <c r="AH585" t="inlineStr">
        <is>
          <t>.</t>
        </is>
      </c>
      <c r="AI585" t="inlineStr">
        <is>
          <t>.</t>
        </is>
      </c>
      <c r="AJ585" t="inlineStr">
        <is>
          <t>.</t>
        </is>
      </c>
      <c r="AK585" t="inlineStr">
        <is>
          <t>.</t>
        </is>
      </c>
      <c r="AL585" t="inlineStr">
        <is>
          <t>.</t>
        </is>
      </c>
    </row>
    <row r="586">
      <c r="A586" t="inlineStr"/>
      <c r="B586">
        <f>HYPERLINK("https://genome.ucsc.edu/cgi-bin/hgTracks?db=hg19&amp;position=chr19%3A56000828%2D56000828", "chr19:56000828")</f>
        <v/>
      </c>
      <c r="C586" t="inlineStr">
        <is>
          <t>chr19</t>
        </is>
      </c>
      <c r="D586" t="n">
        <v>56000828</v>
      </c>
      <c r="E586" t="n">
        <v>56000828</v>
      </c>
      <c r="F586" t="inlineStr">
        <is>
          <t>G</t>
        </is>
      </c>
      <c r="G586" t="inlineStr">
        <is>
          <t>A</t>
        </is>
      </c>
      <c r="H586" t="inlineStr">
        <is>
          <t>366.64</t>
        </is>
      </c>
      <c r="I586" t="inlineStr">
        <is>
          <t>133</t>
        </is>
      </c>
      <c r="J586" t="inlineStr">
        <is>
          <t>103,30</t>
        </is>
      </c>
      <c r="K586" t="inlineStr">
        <is>
          <t>.</t>
        </is>
      </c>
      <c r="L586">
        <f>HYPERLINK("https://www.ncbi.nlm.nih.gov/snp/rs1044893012", "rs1044893012")</f>
        <v/>
      </c>
      <c r="M586">
        <f>HYPERLINK("https://www.genecards.org/Search/Keyword?queryString=%5Baliases%5D(%20SSC5D%20)&amp;keywords=SSC5D", "SSC5D")</f>
        <v/>
      </c>
      <c r="N586" t="inlineStr">
        <is>
          <t>exonic</t>
        </is>
      </c>
      <c r="O586" t="inlineStr">
        <is>
          <t>nonsynonymous SNV</t>
        </is>
      </c>
      <c r="P586" t="inlineStr">
        <is>
          <t>SSC5D:NM_001144950:exon3:c.G160A:p.A54T,SSC5D:NM_001195267:exon3:c.G160A:p.A54T;SSC5D:uc002qlg.4:exon3:c.G160A:p.A54T,SSC5D:uc021vbw.1:exon3:c.G160A:p.A54T;SSC5D:ENST00000389623.11_6:exon3:c.G160A:p.A54T,SSC5D:ENST00000587166.5_1:exon3:c.G160A:p.A54T</t>
        </is>
      </c>
      <c r="Q586" t="n">
        <v>-1</v>
      </c>
      <c r="R586" t="n">
        <v>-1</v>
      </c>
      <c r="S586" t="n">
        <v>-1</v>
      </c>
      <c r="T586" t="n">
        <v>-1</v>
      </c>
      <c r="U586" t="n">
        <v>-1</v>
      </c>
      <c r="V586" t="inlineStr">
        <is>
          <t>8/11</t>
        </is>
      </c>
      <c r="W586" t="inlineStr">
        <is>
          <t>.</t>
        </is>
      </c>
      <c r="X586" t="inlineStr">
        <is>
          <t>.</t>
        </is>
      </c>
      <c r="Y586" t="inlineStr">
        <is>
          <t>.</t>
        </is>
      </c>
      <c r="Z586" t="inlineStr">
        <is>
          <t>0/7</t>
        </is>
      </c>
      <c r="AA586" t="inlineStr">
        <is>
          <t>Uncertain significance</t>
        </is>
      </c>
      <c r="AB586" t="inlineStr">
        <is>
          <t>.</t>
        </is>
      </c>
      <c r="AC586" t="inlineStr">
        <is>
          <t>0/1</t>
        </is>
      </c>
      <c r="AD586" t="inlineStr">
        <is>
          <t>1</t>
        </is>
      </c>
      <c r="AE586" t="inlineStr">
        <is>
          <t>0.34696871421864</t>
        </is>
      </c>
      <c r="AF586" t="inlineStr">
        <is>
          <t>scavenger receptor cysteine rich family, 5 domains</t>
        </is>
      </c>
      <c r="AG586" t="inlineStr">
        <is>
          <t xml:space="preserve">FUNCTION: Binds to extracellular matrix proteins. Binds to pathogen-associated molecular patterns (PAMPs) present on the cell walls of Gram-positive and Gram-negative bacteria and fungi, behaving as a pattern recognition receptor (PRR). Induces bacterial and fungal aggregation and subsequent inhibition of PAMP-induced cytokine release. Does not possess intrinsic bactericidal activity. May play a role in the innate defense and homeostasis of certain epithelial surfaces (By similarity). {ECO:0000250}.; </t>
        </is>
      </c>
      <c r="AH586" t="inlineStr">
        <is>
          <t>.</t>
        </is>
      </c>
      <c r="AI586" t="inlineStr">
        <is>
          <t>.</t>
        </is>
      </c>
      <c r="AJ586" t="inlineStr">
        <is>
          <t>.</t>
        </is>
      </c>
      <c r="AK586" t="inlineStr">
        <is>
          <t>.</t>
        </is>
      </c>
      <c r="AL586" t="inlineStr">
        <is>
          <t>.</t>
        </is>
      </c>
    </row>
    <row r="587">
      <c r="A587" t="inlineStr"/>
      <c r="B587">
        <f>HYPERLINK("https://genome.ucsc.edu/cgi-bin/hgTracks?db=hg19&amp;position=chr2%3A1418013%2D1418013", "chr2:1418013")</f>
        <v/>
      </c>
      <c r="C587" t="inlineStr">
        <is>
          <t>chr2</t>
        </is>
      </c>
      <c r="D587" t="n">
        <v>1418013</v>
      </c>
      <c r="E587" t="n">
        <v>1418013</v>
      </c>
      <c r="F587" t="inlineStr">
        <is>
          <t>C</t>
        </is>
      </c>
      <c r="G587" t="inlineStr">
        <is>
          <t>T</t>
        </is>
      </c>
      <c r="H587" t="inlineStr">
        <is>
          <t>97.64</t>
        </is>
      </c>
      <c r="I587" t="inlineStr">
        <is>
          <t>7</t>
        </is>
      </c>
      <c r="J587" t="inlineStr">
        <is>
          <t>4,3</t>
        </is>
      </c>
      <c r="K587" t="inlineStr">
        <is>
          <t>.</t>
        </is>
      </c>
      <c r="L587">
        <f>HYPERLINK("https://www.ncbi.nlm.nih.gov/snp/rs559592191", "rs559592191")</f>
        <v/>
      </c>
      <c r="M587">
        <f>HYPERLINK("https://www.genecards.org/Search/Keyword?queryString=%5Baliases%5D(%20TPO%20)&amp;keywords=TPO", "TPO")</f>
        <v/>
      </c>
      <c r="N587" t="inlineStr">
        <is>
          <t>intronic;ncRNA_intronic</t>
        </is>
      </c>
      <c r="O587" t="inlineStr">
        <is>
          <t>.</t>
        </is>
      </c>
      <c r="P587" t="inlineStr">
        <is>
          <t>.</t>
        </is>
      </c>
      <c r="Q587" t="n">
        <v>0.001</v>
      </c>
      <c r="R587" t="n">
        <v>0.0005</v>
      </c>
      <c r="S587" t="n">
        <v>0.001</v>
      </c>
      <c r="T587" t="n">
        <v>-1</v>
      </c>
      <c r="U587" t="n">
        <v>0.0004</v>
      </c>
      <c r="V587" t="inlineStr">
        <is>
          <t>.</t>
        </is>
      </c>
      <c r="W587" t="inlineStr">
        <is>
          <t>.</t>
        </is>
      </c>
      <c r="X587" t="inlineStr">
        <is>
          <t>B</t>
        </is>
      </c>
      <c r="Y587" t="inlineStr">
        <is>
          <t>off</t>
        </is>
      </c>
      <c r="Z587" t="inlineStr">
        <is>
          <t>.</t>
        </is>
      </c>
      <c r="AA587" t="inlineStr">
        <is>
          <t>.</t>
        </is>
      </c>
      <c r="AB587" t="inlineStr">
        <is>
          <t>.</t>
        </is>
      </c>
      <c r="AC587" t="inlineStr">
        <is>
          <t>0/1</t>
        </is>
      </c>
      <c r="AD587" t="inlineStr">
        <is>
          <t>1</t>
        </is>
      </c>
      <c r="AE587" t="inlineStr">
        <is>
          <t>1.35596875602643e-07</t>
        </is>
      </c>
      <c r="AF587" t="inlineStr">
        <is>
          <t>thyroid peroxidase</t>
        </is>
      </c>
      <c r="AG587" t="inlineStr">
        <is>
          <t xml:space="preserve">FUNCTION: Iodination and coupling of the hormonogenic tyrosines in thyroglobulin to yield the thyroid hormones T(3) and T(4).; </t>
        </is>
      </c>
      <c r="AH587" t="inlineStr">
        <is>
          <t xml:space="preserve">DISEASE: Note=An alternative splicing in the thyroperoxidase mRNA can cause Graves' disease.; DISEASE: Thyroid dyshormonogenesis 2A (TDH2A) [MIM:274500]: A disorder due to defective conversion of accumulated iodide to organically bound iodine. The iodide organification defect can be partial or complete. {ECO:0000269|PubMed:10084596, ECO:0000269|PubMed:10468986, ECO:0000269|PubMed:11061528, ECO:0000269|PubMed:11415848, ECO:0000269|PubMed:11874711, ECO:0000269|PubMed:11916616, ECO:0000269|PubMed:12213873, ECO:0000269|PubMed:12490071, ECO:0000269|PubMed:12843174, ECO:0000269|PubMed:12864797, ECO:0000269|PubMed:12938097, ECO:0000269|PubMed:16284446, ECO:0000269|PubMed:16684826, ECO:0000269|PubMed:7550241, ECO:0000269|PubMed:9024270, ECO:0000269|PubMed:9924196}. Note=The disease is caused by mutations affecting the gene represented in this entry.; </t>
        </is>
      </c>
      <c r="AI587" t="inlineStr">
        <is>
          <t>.</t>
        </is>
      </c>
      <c r="AJ587" t="inlineStr">
        <is>
          <t>.</t>
        </is>
      </c>
      <c r="AK587" t="inlineStr">
        <is>
          <t>.</t>
        </is>
      </c>
      <c r="AL587" t="inlineStr">
        <is>
          <t>.</t>
        </is>
      </c>
    </row>
    <row r="588">
      <c r="A588" t="inlineStr"/>
      <c r="B588">
        <f>HYPERLINK("https://genome.ucsc.edu/cgi-bin/hgTracks?db=hg19&amp;position=chr2%3A25472394%2D25472394", "chr2:25472394")</f>
        <v/>
      </c>
      <c r="C588" t="inlineStr">
        <is>
          <t>chr2</t>
        </is>
      </c>
      <c r="D588" t="n">
        <v>25472394</v>
      </c>
      <c r="E588" t="n">
        <v>25472394</v>
      </c>
      <c r="F588" t="inlineStr">
        <is>
          <t>A</t>
        </is>
      </c>
      <c r="G588" t="inlineStr">
        <is>
          <t>C</t>
        </is>
      </c>
      <c r="H588" t="inlineStr">
        <is>
          <t>32.64</t>
        </is>
      </c>
      <c r="I588" t="inlineStr">
        <is>
          <t>12</t>
        </is>
      </c>
      <c r="J588" t="inlineStr">
        <is>
          <t>10,2</t>
        </is>
      </c>
      <c r="K588" t="inlineStr">
        <is>
          <t>.</t>
        </is>
      </c>
      <c r="L588" t="inlineStr">
        <is>
          <t>.</t>
        </is>
      </c>
      <c r="M588">
        <f>HYPERLINK("https://www.genecards.org/Search/Keyword?queryString=%5Baliases%5D(%20DNMT3A%20)&amp;keywords=DNMT3A", "DNMT3A")</f>
        <v/>
      </c>
      <c r="N588" t="inlineStr">
        <is>
          <t>intronic</t>
        </is>
      </c>
      <c r="O588" t="inlineStr">
        <is>
          <t>.</t>
        </is>
      </c>
      <c r="P588" t="inlineStr">
        <is>
          <t>.</t>
        </is>
      </c>
      <c r="Q588" t="n">
        <v>-1</v>
      </c>
      <c r="R588" t="n">
        <v>-1</v>
      </c>
      <c r="S588" t="n">
        <v>-1</v>
      </c>
      <c r="T588" t="n">
        <v>-1</v>
      </c>
      <c r="U588" t="n">
        <v>-1</v>
      </c>
      <c r="V588" t="inlineStr">
        <is>
          <t>.</t>
        </is>
      </c>
      <c r="W588" t="inlineStr">
        <is>
          <t>.</t>
        </is>
      </c>
      <c r="X588" t="inlineStr">
        <is>
          <t>D</t>
        </is>
      </c>
      <c r="Y588" t="inlineStr">
        <is>
          <t>off</t>
        </is>
      </c>
      <c r="Z588" t="inlineStr">
        <is>
          <t>.</t>
        </is>
      </c>
      <c r="AA588" t="inlineStr">
        <is>
          <t>.</t>
        </is>
      </c>
      <c r="AB588" t="inlineStr">
        <is>
          <t>.</t>
        </is>
      </c>
      <c r="AC588" t="inlineStr">
        <is>
          <t>0/1</t>
        </is>
      </c>
      <c r="AD588" t="inlineStr">
        <is>
          <t>1</t>
        </is>
      </c>
      <c r="AE588" t="inlineStr">
        <is>
          <t>7.7278751608327e-45</t>
        </is>
      </c>
      <c r="AF588" t="inlineStr">
        <is>
          <t>DNA (cytosine-5-)-methyltransferase 3 alpha</t>
        </is>
      </c>
      <c r="AG588" t="inlineStr">
        <is>
          <t xml:space="preserve">FUNCTION: Required for genome-wide de novo methylation and is essential for the establishment of DNA methylation patterns during development. DNA methylation is coordinated with methylation of histones. It modifies DNA in a non-processive manner and also methylates non-CpG sites. May preferentially methylate DNA linker between 2 nucleosomal cores and is inhibited by histone H1. Plays a role in paternal and maternal imprinting. Required for methylation of most imprinted loci in germ cells. Acts as a transcriptional corepressor for ZBTB18. Recruited to trimethylated 'Lys-36' of histone H3 (H3K36me3) sites. Can actively repress transcription through the recruitment of HDAC activity. {ECO:0000269|PubMed:16357870}.; </t>
        </is>
      </c>
      <c r="AH588" t="inlineStr">
        <is>
          <t xml:space="preserve">DISEASE: Tatton-Brown-Rahman syndrome (TBRS) [MIM:615879]: An overgrowth syndrome characterized by a distinctive facial appearance, tall stature and intellectual disability. Facial gestalt is characterized by a round face, heavy horizontal eyebrows and narrow palpebral fissures. Less common features include atrial septal defects, seizures, umbilical hernia, and scoliosis. {ECO:0000269|PubMed:24614070}. Note=The disease is caused by mutations affecting the gene represented in this entry.; </t>
        </is>
      </c>
      <c r="AI588" t="inlineStr">
        <is>
          <t>.</t>
        </is>
      </c>
      <c r="AJ588" t="inlineStr">
        <is>
          <t>.</t>
        </is>
      </c>
      <c r="AK588" t="inlineStr">
        <is>
          <t>.</t>
        </is>
      </c>
      <c r="AL588" t="inlineStr">
        <is>
          <t>.</t>
        </is>
      </c>
    </row>
    <row r="589">
      <c r="A589" t="inlineStr"/>
      <c r="B589">
        <f>HYPERLINK("https://genome.ucsc.edu/cgi-bin/hgTracks?db=hg19&amp;position=chr2%3A26332963%2D26332963", "chr2:26332963")</f>
        <v/>
      </c>
      <c r="C589" t="inlineStr">
        <is>
          <t>chr2</t>
        </is>
      </c>
      <c r="D589" t="n">
        <v>26332963</v>
      </c>
      <c r="E589" t="n">
        <v>26332963</v>
      </c>
      <c r="F589" t="inlineStr">
        <is>
          <t>T</t>
        </is>
      </c>
      <c r="G589" t="inlineStr">
        <is>
          <t>A</t>
        </is>
      </c>
      <c r="H589" t="inlineStr">
        <is>
          <t>120.14</t>
        </is>
      </c>
      <c r="I589" t="inlineStr">
        <is>
          <t>4</t>
        </is>
      </c>
      <c r="J589" t="inlineStr">
        <is>
          <t>0,4</t>
        </is>
      </c>
      <c r="K589" t="inlineStr">
        <is>
          <t>.</t>
        </is>
      </c>
      <c r="L589">
        <f>HYPERLINK("https://www.ncbi.nlm.nih.gov/snp/rs183701756", "rs183701756")</f>
        <v/>
      </c>
      <c r="M589">
        <f>HYPERLINK("https://www.genecards.org/Search/Keyword?queryString=%5Baliases%5D(%20RAB10%20)&amp;keywords=RAB10", "RAB10")</f>
        <v/>
      </c>
      <c r="N589" t="inlineStr">
        <is>
          <t>intronic</t>
        </is>
      </c>
      <c r="O589" t="inlineStr">
        <is>
          <t>.</t>
        </is>
      </c>
      <c r="P589" t="inlineStr">
        <is>
          <t>.</t>
        </is>
      </c>
      <c r="Q589" t="n">
        <v>0.0069</v>
      </c>
      <c r="R589" t="n">
        <v>0.007</v>
      </c>
      <c r="S589" t="n">
        <v>0.0063</v>
      </c>
      <c r="T589" t="n">
        <v>-1</v>
      </c>
      <c r="U589" t="n">
        <v>0.0081</v>
      </c>
      <c r="V589" t="inlineStr">
        <is>
          <t>.</t>
        </is>
      </c>
      <c r="W589" t="inlineStr">
        <is>
          <t>.</t>
        </is>
      </c>
      <c r="X589" t="inlineStr">
        <is>
          <t>PD</t>
        </is>
      </c>
      <c r="Y589" t="inlineStr">
        <is>
          <t>off</t>
        </is>
      </c>
      <c r="Z589" t="inlineStr">
        <is>
          <t>.</t>
        </is>
      </c>
      <c r="AA589" t="inlineStr">
        <is>
          <t>.</t>
        </is>
      </c>
      <c r="AB589" t="inlineStr">
        <is>
          <t>.</t>
        </is>
      </c>
      <c r="AC589" t="inlineStr">
        <is>
          <t>HOMO</t>
        </is>
      </c>
      <c r="AD589" t="inlineStr">
        <is>
          <t>1</t>
        </is>
      </c>
      <c r="AE589" t="inlineStr">
        <is>
          <t>0.944404791408518</t>
        </is>
      </c>
      <c r="AF589" t="inlineStr">
        <is>
          <t>RAB10, member RAS oncogene family</t>
        </is>
      </c>
      <c r="AG589" t="inlineStr">
        <is>
          <t xml:space="preserve">FUNCTION: The small GTPases Rab are key regulators of intracellular membrane trafficking, from the formation of transport vesicles to their fusion with membranes. Rabs cycle between an inactive GDP-bound form and an active GTP-bound form that is able to recruit to membranes different set of downstream effectors directly responsible for vesicle formation, movement, tethering and fusion (By similarity). That Rab is mainly involved in the biosynthetic transport of proteins from the Golgi to the plasma membrane. Regulates, for instance, SLC2A4/GLUT4 glucose transporter-enriched vesicles delivery to the plasma membrane. In parallel, it regulates the transport of TLR4, a toll-like receptor to the plasma membrane and therefore may be important for innate immune response. Plays also a specific role in asymmetric protein transport to the plasma membrane within the polarized neuron and epithelial cells. In neurons, it is involved in axonogenesis through regulation of vesicular membrane trafficking toward the axonal plasma membrane while in epithelial cells, it regulates transport from the Golgi to the basolateral membrane. Moreover, may play a role in the basolateral recycling pathway and in phagosome maturation. According to PubMed:23263280, may play a role in endoplasmic reticulum dynamics and morphology controlling tubulation along microtubules and tubules fusion. {ECO:0000250, ECO:0000269|PubMed:16641372, ECO:0000269|PubMed:21248164, ECO:0000269|PubMed:23263280}.; </t>
        </is>
      </c>
      <c r="AH589" t="inlineStr">
        <is>
          <t>.</t>
        </is>
      </c>
      <c r="AI589" t="inlineStr">
        <is>
          <t>.</t>
        </is>
      </c>
      <c r="AJ589" t="inlineStr">
        <is>
          <t>.</t>
        </is>
      </c>
      <c r="AK589" t="inlineStr">
        <is>
          <t>.</t>
        </is>
      </c>
      <c r="AL589" t="inlineStr">
        <is>
          <t>.</t>
        </is>
      </c>
    </row>
    <row r="590">
      <c r="A590" t="inlineStr"/>
      <c r="B590">
        <f>HYPERLINK("https://genome.ucsc.edu/cgi-bin/hgTracks?db=hg19&amp;position=chr2%3A26703817%2D26703817", "chr2:26703817")</f>
        <v/>
      </c>
      <c r="C590" t="inlineStr">
        <is>
          <t>chr2</t>
        </is>
      </c>
      <c r="D590" t="n">
        <v>26703817</v>
      </c>
      <c r="E590" t="n">
        <v>26703817</v>
      </c>
      <c r="F590" t="inlineStr">
        <is>
          <t>G</t>
        </is>
      </c>
      <c r="G590" t="inlineStr">
        <is>
          <t>A</t>
        </is>
      </c>
      <c r="H590" t="inlineStr">
        <is>
          <t>971.64</t>
        </is>
      </c>
      <c r="I590" t="inlineStr">
        <is>
          <t>128</t>
        </is>
      </c>
      <c r="J590" t="inlineStr">
        <is>
          <t>86,42</t>
        </is>
      </c>
      <c r="K590" t="inlineStr">
        <is>
          <t>.</t>
        </is>
      </c>
      <c r="L590">
        <f>HYPERLINK("https://www.ncbi.nlm.nih.gov/snp/rs200191563", "rs200191563")</f>
        <v/>
      </c>
      <c r="M590">
        <f>HYPERLINK("https://www.genecards.org/Search/Keyword?queryString=%5Baliases%5D(%20OTOF%20)&amp;keywords=OTOF", "OTOF")</f>
        <v/>
      </c>
      <c r="N590" t="inlineStr">
        <is>
          <t>exonic</t>
        </is>
      </c>
      <c r="O590" t="inlineStr">
        <is>
          <t>nonsynonymous SNV</t>
        </is>
      </c>
      <c r="P590" t="inlineStr">
        <is>
          <t>OTOF:NM_001287489:exon15:c.C1640T:p.T547M,OTOF:NM_194248:exon15:c.C1640T:p.T547M;OTOF:uc002rhk.3:exon15:c.C1640T:p.T547M;OTOF:ENST00000272371.7_9:exon15:c.C1640T:p.T547M,OTOF:ENST00000403946.7_7:exon15:c.C1640T:p.T547M</t>
        </is>
      </c>
      <c r="Q590" t="n">
        <v>0.0043</v>
      </c>
      <c r="R590" t="n">
        <v>0.0025</v>
      </c>
      <c r="S590" t="n">
        <v>0.0018</v>
      </c>
      <c r="T590" t="n">
        <v>-1</v>
      </c>
      <c r="U590" t="n">
        <v>0.0041</v>
      </c>
      <c r="V590" t="inlineStr">
        <is>
          <t>10/11</t>
        </is>
      </c>
      <c r="W590" t="inlineStr">
        <is>
          <t>.</t>
        </is>
      </c>
      <c r="X590" t="inlineStr">
        <is>
          <t>.</t>
        </is>
      </c>
      <c r="Y590" t="inlineStr">
        <is>
          <t>.</t>
        </is>
      </c>
      <c r="Z590" t="inlineStr">
        <is>
          <t>5/7</t>
        </is>
      </c>
      <c r="AA590" t="inlineStr">
        <is>
          <t>Uncertain significance</t>
        </is>
      </c>
      <c r="AB590" t="inlineStr">
        <is>
          <t>Conflicting_interpretations_of_pathogenicity</t>
        </is>
      </c>
      <c r="AC590" t="inlineStr">
        <is>
          <t>0/1</t>
        </is>
      </c>
      <c r="AD590" t="inlineStr">
        <is>
          <t>1</t>
        </is>
      </c>
      <c r="AE590" t="inlineStr">
        <is>
          <t>4.32599885952291e-25</t>
        </is>
      </c>
      <c r="AF590" t="inlineStr">
        <is>
          <t>otoferlin</t>
        </is>
      </c>
      <c r="AG590" t="inlineStr">
        <is>
          <t xml:space="preserve">FUNCTION: Key calcium ion sensor involved in the Ca(2+)-triggered synaptic vesicle-plasma membrane fusion and in the control of neurotransmitter release at these output synapses. Interacts in a calcium-dependent manner to the presynaptic SNARE proteins at ribbon synapses of cochlear inner hair cells (IHCs) to trigger exocytosis of neurotransmitter. Also essential to synaptic exocytosis in immature outer hair cells (OHCs). May also play a role within the recycling of endosomes (By similarity). {ECO:0000250}.; </t>
        </is>
      </c>
      <c r="AH590" t="inlineStr">
        <is>
          <t xml:space="preserve">DISEASE: Deafness, autosomal recessive, 9 (DFNB9) [MIM:601071]: A form of non-syndromic sensorineural hearing loss. Sensorineural deafness results from damage to the neural receptors of the inner ear, the nerve pathways to the brain, or the area of the brain that receives sound information. {ECO:0000269|PubMed:10192385, ECO:0000269|PubMed:12127154, ECO:0000269|PubMed:16097006, ECO:0000269|PubMed:16283880, ECO:0000269|PubMed:16371502}. Note=The disease is caused by mutations affecting the gene represented in this entry.; DISEASE: Auditory neuropathy, autosomal recessive, 1 (AUNB1) [MIM:601071]: A form of sensorineural hearing loss with absent or severely abnormal auditory brainstem response, in the presence of normal cochlear outer hair cell function and normal otoacoustic emissions. Auditory neuropathies result from a lesion in the area including the inner hair cells, connections between the inner hair cells and the cochlear branch of the auditory nerve, the auditory nerve itself and auditory pathways of the brainstem. In some cases AUNB1 phenotype can be temperature sensitive. {ECO:0000269|PubMed:16371502, ECO:0000269|PubMed:18381613}. Note=The disease is caused by mutations affecting the gene represented in this entry.; </t>
        </is>
      </c>
      <c r="AI590" t="inlineStr">
        <is>
          <t>.</t>
        </is>
      </c>
      <c r="AJ590" t="inlineStr">
        <is>
          <t>.</t>
        </is>
      </c>
      <c r="AK590" t="inlineStr">
        <is>
          <t>.</t>
        </is>
      </c>
      <c r="AL590" t="inlineStr">
        <is>
          <t>.</t>
        </is>
      </c>
    </row>
    <row r="591">
      <c r="A591" t="inlineStr"/>
      <c r="B591">
        <f>HYPERLINK("https://genome.ucsc.edu/cgi-bin/hgTracks?db=hg19&amp;position=chr2%3A27499454%2D27499454", "chr2:27499454")</f>
        <v/>
      </c>
      <c r="C591" t="inlineStr">
        <is>
          <t>chr2</t>
        </is>
      </c>
      <c r="D591" t="n">
        <v>27499454</v>
      </c>
      <c r="E591" t="n">
        <v>27499454</v>
      </c>
      <c r="F591" t="inlineStr">
        <is>
          <t>C</t>
        </is>
      </c>
      <c r="G591" t="inlineStr">
        <is>
          <t>G</t>
        </is>
      </c>
      <c r="H591" t="inlineStr">
        <is>
          <t>49.64</t>
        </is>
      </c>
      <c r="I591" t="inlineStr">
        <is>
          <t>8</t>
        </is>
      </c>
      <c r="J591" t="inlineStr">
        <is>
          <t>6,2</t>
        </is>
      </c>
      <c r="K591" t="inlineStr">
        <is>
          <t>.</t>
        </is>
      </c>
      <c r="L591" t="inlineStr">
        <is>
          <t>.</t>
        </is>
      </c>
      <c r="M591">
        <f>HYPERLINK("https://www.genecards.org/Search/Keyword?queryString=%5Baliases%5D(%20DNAJC5G%20)&amp;keywords=DNAJC5G", "DNAJC5G")</f>
        <v/>
      </c>
      <c r="N591" t="inlineStr">
        <is>
          <t>intronic</t>
        </is>
      </c>
      <c r="O591" t="inlineStr">
        <is>
          <t>.</t>
        </is>
      </c>
      <c r="P591" t="inlineStr">
        <is>
          <t>.</t>
        </is>
      </c>
      <c r="Q591" t="n">
        <v>-1</v>
      </c>
      <c r="R591" t="n">
        <v>-1</v>
      </c>
      <c r="S591" t="n">
        <v>-1</v>
      </c>
      <c r="T591" t="n">
        <v>-1</v>
      </c>
      <c r="U591" t="n">
        <v>-1</v>
      </c>
      <c r="V591" t="inlineStr">
        <is>
          <t>.</t>
        </is>
      </c>
      <c r="W591" t="inlineStr">
        <is>
          <t>.</t>
        </is>
      </c>
      <c r="X591" t="inlineStr">
        <is>
          <t>D</t>
        </is>
      </c>
      <c r="Y591" t="inlineStr">
        <is>
          <t>off</t>
        </is>
      </c>
      <c r="Z591" t="inlineStr">
        <is>
          <t>.</t>
        </is>
      </c>
      <c r="AA591" t="inlineStr">
        <is>
          <t>.</t>
        </is>
      </c>
      <c r="AB591" t="inlineStr">
        <is>
          <t>.</t>
        </is>
      </c>
      <c r="AC591" t="inlineStr">
        <is>
          <t>0/1</t>
        </is>
      </c>
      <c r="AD591" t="inlineStr">
        <is>
          <t>2</t>
        </is>
      </c>
      <c r="AE591" t="inlineStr">
        <is>
          <t>0.00397478941010456</t>
        </is>
      </c>
      <c r="AF591" t="inlineStr">
        <is>
          <t>DnaJ heat shock protein family (Hsp40) member C5 gamma</t>
        </is>
      </c>
      <c r="AG591" t="inlineStr">
        <is>
          <t>.</t>
        </is>
      </c>
      <c r="AH591" t="inlineStr">
        <is>
          <t>.</t>
        </is>
      </c>
      <c r="AI591" t="inlineStr">
        <is>
          <t>.</t>
        </is>
      </c>
      <c r="AJ591" t="inlineStr">
        <is>
          <t>.</t>
        </is>
      </c>
      <c r="AK591" t="inlineStr">
        <is>
          <t>.</t>
        </is>
      </c>
      <c r="AL591" t="inlineStr">
        <is>
          <t>.</t>
        </is>
      </c>
    </row>
    <row r="592">
      <c r="A592" t="inlineStr"/>
      <c r="B592">
        <f>HYPERLINK("https://genome.ucsc.edu/cgi-bin/hgTracks?db=hg19&amp;position=chr2%3A27499675%2D27499675", "chr2:27499675")</f>
        <v/>
      </c>
      <c r="C592" t="inlineStr">
        <is>
          <t>chr2</t>
        </is>
      </c>
      <c r="D592" t="n">
        <v>27499675</v>
      </c>
      <c r="E592" t="n">
        <v>27499675</v>
      </c>
      <c r="F592" t="inlineStr">
        <is>
          <t>G</t>
        </is>
      </c>
      <c r="G592" t="inlineStr">
        <is>
          <t>A</t>
        </is>
      </c>
      <c r="H592" t="inlineStr">
        <is>
          <t>1943.64</t>
        </is>
      </c>
      <c r="I592" t="inlineStr">
        <is>
          <t>140</t>
        </is>
      </c>
      <c r="J592" t="inlineStr">
        <is>
          <t>58,82</t>
        </is>
      </c>
      <c r="K592" t="inlineStr">
        <is>
          <t>.</t>
        </is>
      </c>
      <c r="L592">
        <f>HYPERLINK("https://www.ncbi.nlm.nih.gov/snp/rs61754191", "rs61754191")</f>
        <v/>
      </c>
      <c r="M592">
        <f>HYPERLINK("https://www.genecards.org/Search/Keyword?queryString=%5Baliases%5D(%20DNAJC5G%20)&amp;keywords=DNAJC5G", "DNAJC5G")</f>
        <v/>
      </c>
      <c r="N592" t="inlineStr">
        <is>
          <t>exonic</t>
        </is>
      </c>
      <c r="O592" t="inlineStr">
        <is>
          <t>nonsynonymous SNV</t>
        </is>
      </c>
      <c r="P592" t="inlineStr">
        <is>
          <t>DNAJC5G:NM_001303127:exon3:c.G79A:p.G27S,DNAJC5G:NM_001303128:exon3:c.G79A:p.G27S,DNAJC5G:NM_173650:exon3:c.G79A:p.G27S;DNAJC5G:uc002rjl.1:exon3:c.G79A:p.G27S,DNAJC5G:uc002rjm.1:exon3:c.G79A:p.G27S,DNAJC5G:uc010yli.1:exon3:c.G79A:p.G27S;DNAJC5G:ENST00000404433.5_1:exon2:c.G79A:p.G27S,DNAJC5G:ENST00000406962.1_1:exon2:c.G79A:p.G27S,DNAJC5G:ENST00000296097.8_3:exon3:c.G79A:p.G27S,DNAJC5G:ENST00000402462.5_1:exon3:c.G79A:p.G27S</t>
        </is>
      </c>
      <c r="Q592" t="n">
        <v>0.009900000000000001</v>
      </c>
      <c r="R592" t="n">
        <v>0.0081</v>
      </c>
      <c r="S592" t="n">
        <v>0.0078</v>
      </c>
      <c r="T592" t="n">
        <v>-1</v>
      </c>
      <c r="U592" t="n">
        <v>0.0081</v>
      </c>
      <c r="V592" t="inlineStr">
        <is>
          <t>5/11</t>
        </is>
      </c>
      <c r="W592" t="inlineStr">
        <is>
          <t>.</t>
        </is>
      </c>
      <c r="X592" t="inlineStr">
        <is>
          <t>.</t>
        </is>
      </c>
      <c r="Y592" t="inlineStr">
        <is>
          <t>.</t>
        </is>
      </c>
      <c r="Z592" t="inlineStr">
        <is>
          <t>1/7</t>
        </is>
      </c>
      <c r="AA592" t="inlineStr">
        <is>
          <t>Uncertain significance</t>
        </is>
      </c>
      <c r="AB592" t="inlineStr">
        <is>
          <t>.</t>
        </is>
      </c>
      <c r="AC592" t="inlineStr">
        <is>
          <t>0/1</t>
        </is>
      </c>
      <c r="AD592" t="inlineStr">
        <is>
          <t>2</t>
        </is>
      </c>
      <c r="AE592" t="inlineStr">
        <is>
          <t>0.00397478941010456</t>
        </is>
      </c>
      <c r="AF592" t="inlineStr">
        <is>
          <t>DnaJ heat shock protein family (Hsp40) member C5 gamma</t>
        </is>
      </c>
      <c r="AG592" t="inlineStr">
        <is>
          <t>.</t>
        </is>
      </c>
      <c r="AH592" t="inlineStr">
        <is>
          <t>.</t>
        </is>
      </c>
      <c r="AI592" t="inlineStr">
        <is>
          <t>.</t>
        </is>
      </c>
      <c r="AJ592" t="inlineStr">
        <is>
          <t>.</t>
        </is>
      </c>
      <c r="AK592" t="inlineStr">
        <is>
          <t>.</t>
        </is>
      </c>
      <c r="AL592" t="inlineStr">
        <is>
          <t>.</t>
        </is>
      </c>
    </row>
    <row r="593">
      <c r="A593" t="inlineStr"/>
      <c r="B593">
        <f>HYPERLINK("https://genome.ucsc.edu/cgi-bin/hgTracks?db=hg19&amp;position=chr2%3A32631465%2D32631465", "chr2:32631465")</f>
        <v/>
      </c>
      <c r="C593" t="inlineStr">
        <is>
          <t>chr2</t>
        </is>
      </c>
      <c r="D593" t="n">
        <v>32631465</v>
      </c>
      <c r="E593" t="n">
        <v>32631465</v>
      </c>
      <c r="F593" t="inlineStr">
        <is>
          <t>T</t>
        </is>
      </c>
      <c r="G593" t="inlineStr">
        <is>
          <t>G</t>
        </is>
      </c>
      <c r="H593" t="inlineStr">
        <is>
          <t>212.64</t>
        </is>
      </c>
      <c r="I593" t="inlineStr">
        <is>
          <t>26</t>
        </is>
      </c>
      <c r="J593" t="inlineStr">
        <is>
          <t>14,12</t>
        </is>
      </c>
      <c r="K593" t="inlineStr">
        <is>
          <t>.</t>
        </is>
      </c>
      <c r="L593">
        <f>HYPERLINK("https://www.ncbi.nlm.nih.gov/snp/rs114477611", "rs114477611")</f>
        <v/>
      </c>
      <c r="M593">
        <f>HYPERLINK("https://www.genecards.org/Search/Keyword?queryString=%5Baliases%5D(%20BIRC6%20)&amp;keywords=BIRC6", "BIRC6")</f>
        <v/>
      </c>
      <c r="N593" t="inlineStr">
        <is>
          <t>intronic</t>
        </is>
      </c>
      <c r="O593" t="inlineStr">
        <is>
          <t>.</t>
        </is>
      </c>
      <c r="P593" t="inlineStr">
        <is>
          <t>.</t>
        </is>
      </c>
      <c r="Q593" t="n">
        <v>0.014026</v>
      </c>
      <c r="R593" t="n">
        <v>0.0104</v>
      </c>
      <c r="S593" t="n">
        <v>0.0115</v>
      </c>
      <c r="T593" t="n">
        <v>-1</v>
      </c>
      <c r="U593" t="n">
        <v>0.0073</v>
      </c>
      <c r="V593" t="inlineStr">
        <is>
          <t>.</t>
        </is>
      </c>
      <c r="W593" t="inlineStr">
        <is>
          <t>.</t>
        </is>
      </c>
      <c r="X593" t="inlineStr">
        <is>
          <t>PD</t>
        </is>
      </c>
      <c r="Y593" t="inlineStr">
        <is>
          <t>off</t>
        </is>
      </c>
      <c r="Z593" t="inlineStr">
        <is>
          <t>.</t>
        </is>
      </c>
      <c r="AA593" t="inlineStr">
        <is>
          <t>.</t>
        </is>
      </c>
      <c r="AB593" t="inlineStr">
        <is>
          <t>.</t>
        </is>
      </c>
      <c r="AC593" t="inlineStr">
        <is>
          <t>0/1</t>
        </is>
      </c>
      <c r="AD593" t="inlineStr">
        <is>
          <t>4</t>
        </is>
      </c>
      <c r="AE593" t="inlineStr">
        <is>
          <t>0.999999999999996</t>
        </is>
      </c>
      <c r="AF593" t="inlineStr">
        <is>
          <t>baculoviral IAP repeat containing 6</t>
        </is>
      </c>
      <c r="AG593" t="inlineStr">
        <is>
          <t xml:space="preserve">FUNCTION: Anti-apoptotic protein which can regulate cell death by controlling caspases and by acting as an E3 ubiquitin-protein ligase. Has an unusual ubiquitin conjugation system in that it could combine in a single polypeptide, ubiquitin conjugating (E2) with ubiquitin ligase (E3) activity, forming a chimeric E2/E3 ubiquitin ligase. Its tragets include CASP9 and DIABLO/SMAC. Acts as an inhibitor of CASP3, CASP7 and CASP9. Important regulator for the final stages of cytokinesis. Crucial for normal vesicle targeting to the site of abscission, but also for the integrity of the midbody and the midbody ring, and its striking ubiquitin modification. {ECO:0000269|PubMed:14765125, ECO:0000269|PubMed:15200957, ECO:0000269|PubMed:18329369}.; </t>
        </is>
      </c>
      <c r="AH593" t="inlineStr">
        <is>
          <t>.</t>
        </is>
      </c>
      <c r="AI593" t="inlineStr">
        <is>
          <t>.</t>
        </is>
      </c>
      <c r="AJ593" t="inlineStr">
        <is>
          <t>.</t>
        </is>
      </c>
      <c r="AK593" t="inlineStr">
        <is>
          <t>.</t>
        </is>
      </c>
      <c r="AL593" t="inlineStr">
        <is>
          <t>.</t>
        </is>
      </c>
    </row>
    <row r="594">
      <c r="A594" t="inlineStr"/>
      <c r="B594">
        <f>HYPERLINK("https://genome.ucsc.edu/cgi-bin/hgTracks?db=hg19&amp;position=chr2%3A32716452%2D32716452", "chr2:32716452")</f>
        <v/>
      </c>
      <c r="C594" t="inlineStr">
        <is>
          <t>chr2</t>
        </is>
      </c>
      <c r="D594" t="n">
        <v>32716452</v>
      </c>
      <c r="E594" t="n">
        <v>32716452</v>
      </c>
      <c r="F594" t="inlineStr">
        <is>
          <t>T</t>
        </is>
      </c>
      <c r="G594" t="inlineStr">
        <is>
          <t>A</t>
        </is>
      </c>
      <c r="H594" t="inlineStr">
        <is>
          <t>504.64</t>
        </is>
      </c>
      <c r="I594" t="inlineStr">
        <is>
          <t>36</t>
        </is>
      </c>
      <c r="J594" t="inlineStr">
        <is>
          <t>18,18</t>
        </is>
      </c>
      <c r="K594" t="inlineStr">
        <is>
          <t>.</t>
        </is>
      </c>
      <c r="L594">
        <f>HYPERLINK("https://www.ncbi.nlm.nih.gov/snp/rs116077025", "rs116077025")</f>
        <v/>
      </c>
      <c r="M594">
        <f>HYPERLINK("https://www.genecards.org/Search/Keyword?queryString=%5Baliases%5D(%20BIRC6%20)&amp;keywords=BIRC6", "BIRC6")</f>
        <v/>
      </c>
      <c r="N594" t="inlineStr">
        <is>
          <t>intronic</t>
        </is>
      </c>
      <c r="O594" t="inlineStr">
        <is>
          <t>.</t>
        </is>
      </c>
      <c r="P594" t="inlineStr">
        <is>
          <t>.</t>
        </is>
      </c>
      <c r="Q594" t="n">
        <v>0.0146201</v>
      </c>
      <c r="R594" t="n">
        <v>0.0128</v>
      </c>
      <c r="S594" t="n">
        <v>0.014</v>
      </c>
      <c r="T594" t="n">
        <v>-1</v>
      </c>
      <c r="U594" t="n">
        <v>0.0101</v>
      </c>
      <c r="V594" t="inlineStr">
        <is>
          <t>.</t>
        </is>
      </c>
      <c r="W594" t="inlineStr">
        <is>
          <t>.</t>
        </is>
      </c>
      <c r="X594" t="inlineStr">
        <is>
          <t>D</t>
        </is>
      </c>
      <c r="Y594" t="inlineStr">
        <is>
          <t>off</t>
        </is>
      </c>
      <c r="Z594" t="inlineStr">
        <is>
          <t>.</t>
        </is>
      </c>
      <c r="AA594" t="inlineStr">
        <is>
          <t>.</t>
        </is>
      </c>
      <c r="AB594" t="inlineStr">
        <is>
          <t>.</t>
        </is>
      </c>
      <c r="AC594" t="inlineStr">
        <is>
          <t>0/1</t>
        </is>
      </c>
      <c r="AD594" t="inlineStr">
        <is>
          <t>4</t>
        </is>
      </c>
      <c r="AE594" t="inlineStr">
        <is>
          <t>0.999999999999996</t>
        </is>
      </c>
      <c r="AF594" t="inlineStr">
        <is>
          <t>baculoviral IAP repeat containing 6</t>
        </is>
      </c>
      <c r="AG594" t="inlineStr">
        <is>
          <t xml:space="preserve">FUNCTION: Anti-apoptotic protein which can regulate cell death by controlling caspases and by acting as an E3 ubiquitin-protein ligase. Has an unusual ubiquitin conjugation system in that it could combine in a single polypeptide, ubiquitin conjugating (E2) with ubiquitin ligase (E3) activity, forming a chimeric E2/E3 ubiquitin ligase. Its tragets include CASP9 and DIABLO/SMAC. Acts as an inhibitor of CASP3, CASP7 and CASP9. Important regulator for the final stages of cytokinesis. Crucial for normal vesicle targeting to the site of abscission, but also for the integrity of the midbody and the midbody ring, and its striking ubiquitin modification. {ECO:0000269|PubMed:14765125, ECO:0000269|PubMed:15200957, ECO:0000269|PubMed:18329369}.; </t>
        </is>
      </c>
      <c r="AH594" t="inlineStr">
        <is>
          <t>.</t>
        </is>
      </c>
      <c r="AI594" t="inlineStr">
        <is>
          <t>.</t>
        </is>
      </c>
      <c r="AJ594" t="inlineStr">
        <is>
          <t>.</t>
        </is>
      </c>
      <c r="AK594" t="inlineStr">
        <is>
          <t>.</t>
        </is>
      </c>
      <c r="AL594" t="inlineStr">
        <is>
          <t>.</t>
        </is>
      </c>
    </row>
    <row r="595">
      <c r="A595" t="inlineStr"/>
      <c r="B595">
        <f>HYPERLINK("https://genome.ucsc.edu/cgi-bin/hgTracks?db=hg19&amp;position=chr2%3A32740353%2D32740353", "chr2:32740353")</f>
        <v/>
      </c>
      <c r="C595" t="inlineStr">
        <is>
          <t>chr2</t>
        </is>
      </c>
      <c r="D595" t="n">
        <v>32740353</v>
      </c>
      <c r="E595" t="n">
        <v>32740353</v>
      </c>
      <c r="F595" t="inlineStr">
        <is>
          <t>C</t>
        </is>
      </c>
      <c r="G595" t="inlineStr">
        <is>
          <t>T</t>
        </is>
      </c>
      <c r="H595" t="inlineStr">
        <is>
          <t>2379.64</t>
        </is>
      </c>
      <c r="I595" t="inlineStr">
        <is>
          <t>157</t>
        </is>
      </c>
      <c r="J595" t="inlineStr">
        <is>
          <t>66,91</t>
        </is>
      </c>
      <c r="K595" t="inlineStr">
        <is>
          <t>.</t>
        </is>
      </c>
      <c r="L595">
        <f>HYPERLINK("https://www.ncbi.nlm.nih.gov/snp/rs61757638", "rs61757638")</f>
        <v/>
      </c>
      <c r="M595">
        <f>HYPERLINK("https://www.genecards.org/Search/Keyword?queryString=%5Baliases%5D(%20BIRC6%20)&amp;keywords=BIRC6", "BIRC6")</f>
        <v/>
      </c>
      <c r="N595" t="inlineStr">
        <is>
          <t>exonic</t>
        </is>
      </c>
      <c r="O595" t="inlineStr">
        <is>
          <t>nonsynonymous SNV</t>
        </is>
      </c>
      <c r="P595" t="inlineStr">
        <is>
          <t>BIRC6:NM_001378125:exon55:c.C10862T:p.A3621V,BIRC6:NM_016252:exon55:c.C10865T:p.A3622V;BIRC6:uc010ezu.3:exon55:c.C10865T:p.A3622V;BIRC6:ENST00000700518.1_1:exon54:c.C10814T:p.A3605V,BIRC6:ENST00000421745.7_3:exon55:c.C10865T:p.A3622V,BIRC6:ENST00000700519.1_1:exon55:c.C10805T:p.A3602V</t>
        </is>
      </c>
      <c r="Q595" t="n">
        <v>0.003284</v>
      </c>
      <c r="R595" t="n">
        <v>0.0027</v>
      </c>
      <c r="S595" t="n">
        <v>0.0031</v>
      </c>
      <c r="T595" t="n">
        <v>-1</v>
      </c>
      <c r="U595" t="n">
        <v>0.0033</v>
      </c>
      <c r="V595" t="inlineStr">
        <is>
          <t>10/11</t>
        </is>
      </c>
      <c r="W595" t="inlineStr">
        <is>
          <t>.</t>
        </is>
      </c>
      <c r="X595" t="inlineStr">
        <is>
          <t>.</t>
        </is>
      </c>
      <c r="Y595" t="inlineStr">
        <is>
          <t>.</t>
        </is>
      </c>
      <c r="Z595" t="inlineStr">
        <is>
          <t>6/7</t>
        </is>
      </c>
      <c r="AA595" t="inlineStr">
        <is>
          <t>Uncertain significance</t>
        </is>
      </c>
      <c r="AB595" t="inlineStr">
        <is>
          <t>Likely_benign</t>
        </is>
      </c>
      <c r="AC595" t="inlineStr">
        <is>
          <t>0/1</t>
        </is>
      </c>
      <c r="AD595" t="inlineStr">
        <is>
          <t>4</t>
        </is>
      </c>
      <c r="AE595" t="inlineStr">
        <is>
          <t>0.999999999999996</t>
        </is>
      </c>
      <c r="AF595" t="inlineStr">
        <is>
          <t>baculoviral IAP repeat containing 6</t>
        </is>
      </c>
      <c r="AG595" t="inlineStr">
        <is>
          <t xml:space="preserve">FUNCTION: Anti-apoptotic protein which can regulate cell death by controlling caspases and by acting as an E3 ubiquitin-protein ligase. Has an unusual ubiquitin conjugation system in that it could combine in a single polypeptide, ubiquitin conjugating (E2) with ubiquitin ligase (E3) activity, forming a chimeric E2/E3 ubiquitin ligase. Its tragets include CASP9 and DIABLO/SMAC. Acts as an inhibitor of CASP3, CASP7 and CASP9. Important regulator for the final stages of cytokinesis. Crucial for normal vesicle targeting to the site of abscission, but also for the integrity of the midbody and the midbody ring, and its striking ubiquitin modification. {ECO:0000269|PubMed:14765125, ECO:0000269|PubMed:15200957, ECO:0000269|PubMed:18329369}.; </t>
        </is>
      </c>
      <c r="AH595" t="inlineStr">
        <is>
          <t>.</t>
        </is>
      </c>
      <c r="AI595" t="inlineStr">
        <is>
          <t>.</t>
        </is>
      </c>
      <c r="AJ595" t="inlineStr">
        <is>
          <t>.</t>
        </is>
      </c>
      <c r="AK595" t="inlineStr">
        <is>
          <t>.</t>
        </is>
      </c>
      <c r="AL595" t="inlineStr">
        <is>
          <t>.</t>
        </is>
      </c>
    </row>
    <row r="596">
      <c r="A596" t="inlineStr"/>
      <c r="B596">
        <f>HYPERLINK("https://genome.ucsc.edu/cgi-bin/hgTracks?db=hg19&amp;position=chr2%3A32768881%2D32768881", "chr2:32768881")</f>
        <v/>
      </c>
      <c r="C596" t="inlineStr">
        <is>
          <t>chr2</t>
        </is>
      </c>
      <c r="D596" t="n">
        <v>32768881</v>
      </c>
      <c r="E596" t="n">
        <v>32768881</v>
      </c>
      <c r="F596" t="inlineStr">
        <is>
          <t>C</t>
        </is>
      </c>
      <c r="G596" t="inlineStr">
        <is>
          <t>G</t>
        </is>
      </c>
      <c r="H596" t="inlineStr">
        <is>
          <t>105.14</t>
        </is>
      </c>
      <c r="I596" t="inlineStr">
        <is>
          <t>4</t>
        </is>
      </c>
      <c r="J596" t="inlineStr">
        <is>
          <t>0,4</t>
        </is>
      </c>
      <c r="K596" t="inlineStr">
        <is>
          <t>.</t>
        </is>
      </c>
      <c r="L596">
        <f>HYPERLINK("https://www.ncbi.nlm.nih.gov/snp/rs114056690", "rs114056690")</f>
        <v/>
      </c>
      <c r="M596">
        <f>HYPERLINK("https://www.genecards.org/Search/Keyword?queryString=%5Baliases%5D(%20BIRC6%20)&amp;keywords=BIRC6", "BIRC6")</f>
        <v/>
      </c>
      <c r="N596" t="inlineStr">
        <is>
          <t>intronic</t>
        </is>
      </c>
      <c r="O596" t="inlineStr">
        <is>
          <t>.</t>
        </is>
      </c>
      <c r="P596" t="inlineStr">
        <is>
          <t>.</t>
        </is>
      </c>
      <c r="Q596" t="n">
        <v>0.023128</v>
      </c>
      <c r="R596" t="n">
        <v>0.0127</v>
      </c>
      <c r="S596" t="n">
        <v>0.014</v>
      </c>
      <c r="T596" t="n">
        <v>-1</v>
      </c>
      <c r="U596" t="n">
        <v>0.01</v>
      </c>
      <c r="V596" t="inlineStr">
        <is>
          <t>.</t>
        </is>
      </c>
      <c r="W596" t="inlineStr">
        <is>
          <t>.</t>
        </is>
      </c>
      <c r="X596" t="inlineStr">
        <is>
          <t>D</t>
        </is>
      </c>
      <c r="Y596" t="inlineStr">
        <is>
          <t>off</t>
        </is>
      </c>
      <c r="Z596" t="inlineStr">
        <is>
          <t>.</t>
        </is>
      </c>
      <c r="AA596" t="inlineStr">
        <is>
          <t>.</t>
        </is>
      </c>
      <c r="AB596" t="inlineStr">
        <is>
          <t>.</t>
        </is>
      </c>
      <c r="AC596" t="inlineStr">
        <is>
          <t>HOMO</t>
        </is>
      </c>
      <c r="AD596" t="inlineStr">
        <is>
          <t>4</t>
        </is>
      </c>
      <c r="AE596" t="inlineStr">
        <is>
          <t>0.999999999999996</t>
        </is>
      </c>
      <c r="AF596" t="inlineStr">
        <is>
          <t>baculoviral IAP repeat containing 6</t>
        </is>
      </c>
      <c r="AG596" t="inlineStr">
        <is>
          <t xml:space="preserve">FUNCTION: Anti-apoptotic protein which can regulate cell death by controlling caspases and by acting as an E3 ubiquitin-protein ligase. Has an unusual ubiquitin conjugation system in that it could combine in a single polypeptide, ubiquitin conjugating (E2) with ubiquitin ligase (E3) activity, forming a chimeric E2/E3 ubiquitin ligase. Its tragets include CASP9 and DIABLO/SMAC. Acts as an inhibitor of CASP3, CASP7 and CASP9. Important regulator for the final stages of cytokinesis. Crucial for normal vesicle targeting to the site of abscission, but also for the integrity of the midbody and the midbody ring, and its striking ubiquitin modification. {ECO:0000269|PubMed:14765125, ECO:0000269|PubMed:15200957, ECO:0000269|PubMed:18329369}.; </t>
        </is>
      </c>
      <c r="AH596" t="inlineStr">
        <is>
          <t>.</t>
        </is>
      </c>
      <c r="AI596" t="inlineStr">
        <is>
          <t>.</t>
        </is>
      </c>
      <c r="AJ596" t="inlineStr">
        <is>
          <t>.</t>
        </is>
      </c>
      <c r="AK596" t="inlineStr">
        <is>
          <t>.</t>
        </is>
      </c>
      <c r="AL596" t="inlineStr">
        <is>
          <t>.</t>
        </is>
      </c>
    </row>
    <row r="597">
      <c r="A597" t="inlineStr"/>
      <c r="B597">
        <f>HYPERLINK("https://genome.ucsc.edu/cgi-bin/hgTracks?db=hg19&amp;position=chr2%3A38916911%2D38916911", "chr2:38916911")</f>
        <v/>
      </c>
      <c r="C597" t="inlineStr">
        <is>
          <t>chr2</t>
        </is>
      </c>
      <c r="D597" t="n">
        <v>38916911</v>
      </c>
      <c r="E597" t="n">
        <v>38916911</v>
      </c>
      <c r="F597" t="inlineStr">
        <is>
          <t>A</t>
        </is>
      </c>
      <c r="G597" t="inlineStr">
        <is>
          <t>C</t>
        </is>
      </c>
      <c r="H597" t="inlineStr">
        <is>
          <t>204.64</t>
        </is>
      </c>
      <c r="I597" t="inlineStr">
        <is>
          <t>34</t>
        </is>
      </c>
      <c r="J597" t="inlineStr">
        <is>
          <t>25,9</t>
        </is>
      </c>
      <c r="K597" t="inlineStr">
        <is>
          <t>.</t>
        </is>
      </c>
      <c r="L597" t="inlineStr">
        <is>
          <t>.</t>
        </is>
      </c>
      <c r="M597">
        <f>HYPERLINK("https://www.genecards.org/Search/Keyword?queryString=%5Baliases%5D(%20GALM%20)&amp;keywords=GALM", "GALM")</f>
        <v/>
      </c>
      <c r="N597" t="inlineStr">
        <is>
          <t>intronic</t>
        </is>
      </c>
      <c r="O597" t="inlineStr">
        <is>
          <t>.</t>
        </is>
      </c>
      <c r="P597" t="inlineStr">
        <is>
          <t>.</t>
        </is>
      </c>
      <c r="Q597" t="n">
        <v>-1</v>
      </c>
      <c r="R597" t="n">
        <v>-1</v>
      </c>
      <c r="S597" t="n">
        <v>-1</v>
      </c>
      <c r="T597" t="n">
        <v>-1</v>
      </c>
      <c r="U597" t="n">
        <v>-1</v>
      </c>
      <c r="V597" t="inlineStr">
        <is>
          <t>.</t>
        </is>
      </c>
      <c r="W597" t="inlineStr">
        <is>
          <t>.</t>
        </is>
      </c>
      <c r="X597" t="inlineStr">
        <is>
          <t>PD</t>
        </is>
      </c>
      <c r="Y597" t="inlineStr">
        <is>
          <t>off</t>
        </is>
      </c>
      <c r="Z597" t="inlineStr">
        <is>
          <t>.</t>
        </is>
      </c>
      <c r="AA597" t="inlineStr">
        <is>
          <t>.</t>
        </is>
      </c>
      <c r="AB597" t="inlineStr">
        <is>
          <t>.</t>
        </is>
      </c>
      <c r="AC597" t="inlineStr">
        <is>
          <t>0/1</t>
        </is>
      </c>
      <c r="AD597" t="inlineStr">
        <is>
          <t>1</t>
        </is>
      </c>
      <c r="AE597" t="inlineStr">
        <is>
          <t>8.92598000417204e-09</t>
        </is>
      </c>
      <c r="AF597" t="inlineStr">
        <is>
          <t>galactose mutarotase (aldose 1-epimerase)</t>
        </is>
      </c>
      <c r="AG597" t="inlineStr">
        <is>
          <t xml:space="preserve">FUNCTION: Mutarotase converts alpha-aldose to the beta-anomer. It is active on D-glucose, L-arabinose, D-xylose, D-galactose, maltose and lactose (By similarity). {ECO:0000250, ECO:0000269|PubMed:12753898, ECO:0000269|PubMed:15026423}.; </t>
        </is>
      </c>
      <c r="AH597" t="inlineStr">
        <is>
          <t>.</t>
        </is>
      </c>
      <c r="AI597" t="inlineStr">
        <is>
          <t>.</t>
        </is>
      </c>
      <c r="AJ597" t="inlineStr">
        <is>
          <t>.</t>
        </is>
      </c>
      <c r="AK597" t="inlineStr">
        <is>
          <t>.</t>
        </is>
      </c>
      <c r="AL597" t="inlineStr">
        <is>
          <t>.</t>
        </is>
      </c>
    </row>
    <row r="598">
      <c r="A598" t="inlineStr"/>
      <c r="B598">
        <f>HYPERLINK("https://genome.ucsc.edu/cgi-bin/hgTracks?db=hg19&amp;position=chr2%3A43937040%2D43937040", "chr2:43937040")</f>
        <v/>
      </c>
      <c r="C598" t="inlineStr">
        <is>
          <t>chr2</t>
        </is>
      </c>
      <c r="D598" t="n">
        <v>43937040</v>
      </c>
      <c r="E598" t="n">
        <v>43937040</v>
      </c>
      <c r="F598" t="inlineStr">
        <is>
          <t>A</t>
        </is>
      </c>
      <c r="G598" t="inlineStr">
        <is>
          <t>G</t>
        </is>
      </c>
      <c r="H598" t="inlineStr">
        <is>
          <t>409.64</t>
        </is>
      </c>
      <c r="I598" t="inlineStr">
        <is>
          <t>26</t>
        </is>
      </c>
      <c r="J598" t="inlineStr">
        <is>
          <t>10,16</t>
        </is>
      </c>
      <c r="K598" t="inlineStr">
        <is>
          <t>.</t>
        </is>
      </c>
      <c r="L598">
        <f>HYPERLINK("https://www.ncbi.nlm.nih.gov/snp/rs148425082", "rs148425082")</f>
        <v/>
      </c>
      <c r="M598">
        <f>HYPERLINK("https://www.genecards.org/Search/Keyword?queryString=%5Baliases%5D(%20PLEKHH2%20)&amp;keywords=PLEKHH2", "PLEKHH2")</f>
        <v/>
      </c>
      <c r="N598" t="inlineStr">
        <is>
          <t>intronic</t>
        </is>
      </c>
      <c r="O598" t="inlineStr">
        <is>
          <t>.</t>
        </is>
      </c>
      <c r="P598" t="inlineStr">
        <is>
          <t>.</t>
        </is>
      </c>
      <c r="Q598" t="n">
        <v>0.0178</v>
      </c>
      <c r="R598" t="n">
        <v>0.006</v>
      </c>
      <c r="S598" t="n">
        <v>0.0045</v>
      </c>
      <c r="T598" t="n">
        <v>-1</v>
      </c>
      <c r="U598" t="n">
        <v>0.0071</v>
      </c>
      <c r="V598" t="inlineStr">
        <is>
          <t>.</t>
        </is>
      </c>
      <c r="W598" t="inlineStr">
        <is>
          <t>.</t>
        </is>
      </c>
      <c r="X598" t="inlineStr">
        <is>
          <t>D</t>
        </is>
      </c>
      <c r="Y598" t="inlineStr">
        <is>
          <t>off</t>
        </is>
      </c>
      <c r="Z598" t="inlineStr">
        <is>
          <t>.</t>
        </is>
      </c>
      <c r="AA598" t="inlineStr">
        <is>
          <t>.</t>
        </is>
      </c>
      <c r="AB598" t="inlineStr">
        <is>
          <t>.</t>
        </is>
      </c>
      <c r="AC598" t="inlineStr">
        <is>
          <t>0/1</t>
        </is>
      </c>
      <c r="AD598" t="inlineStr">
        <is>
          <t>2</t>
        </is>
      </c>
      <c r="AE598" t="inlineStr">
        <is>
          <t>1.78874098604568e-26</t>
        </is>
      </c>
      <c r="AF598" t="inlineStr">
        <is>
          <t>pleckstrin homology, MyTH4 and FERM domain containing H2</t>
        </is>
      </c>
      <c r="AG598" t="inlineStr">
        <is>
          <t xml:space="preserve">FUNCTION: In the kidney glomerulus may play a role in linking podocyte foot processes to the glomerular basement membrane. May be involved in stabilization of F-actin by attenuating its depolymerization. Can recruit TGFB1I1 from focal adhesions to podocyte lamellipodia.; </t>
        </is>
      </c>
      <c r="AH598" t="inlineStr">
        <is>
          <t>.</t>
        </is>
      </c>
      <c r="AI598" t="inlineStr">
        <is>
          <t>.</t>
        </is>
      </c>
      <c r="AJ598" t="inlineStr">
        <is>
          <t>.</t>
        </is>
      </c>
      <c r="AK598" t="inlineStr">
        <is>
          <t>.</t>
        </is>
      </c>
      <c r="AL598" t="inlineStr">
        <is>
          <t>.</t>
        </is>
      </c>
    </row>
    <row r="599">
      <c r="A599" t="inlineStr"/>
      <c r="B599">
        <f>HYPERLINK("https://genome.ucsc.edu/cgi-bin/hgTracks?db=hg19&amp;position=chr2%3A43937723%2D43937723", "chr2:43937723")</f>
        <v/>
      </c>
      <c r="C599" t="inlineStr">
        <is>
          <t>chr2</t>
        </is>
      </c>
      <c r="D599" t="n">
        <v>43937723</v>
      </c>
      <c r="E599" t="n">
        <v>43937723</v>
      </c>
      <c r="F599" t="inlineStr">
        <is>
          <t>-</t>
        </is>
      </c>
      <c r="G599" t="inlineStr">
        <is>
          <t>T</t>
        </is>
      </c>
      <c r="H599" t="inlineStr">
        <is>
          <t>211.60</t>
        </is>
      </c>
      <c r="I599" t="inlineStr">
        <is>
          <t>31</t>
        </is>
      </c>
      <c r="J599" t="inlineStr">
        <is>
          <t>9,13</t>
        </is>
      </c>
      <c r="K599" t="inlineStr">
        <is>
          <t>.</t>
        </is>
      </c>
      <c r="L599">
        <f>HYPERLINK("https://www.ncbi.nlm.nih.gov/snp/rs376851824", "rs376851824")</f>
        <v/>
      </c>
      <c r="M599">
        <f>HYPERLINK("https://www.genecards.org/Search/Keyword?queryString=%5Baliases%5D(%20PLEKHH2%20)&amp;keywords=PLEKHH2", "PLEKHH2")</f>
        <v/>
      </c>
      <c r="N599" t="inlineStr">
        <is>
          <t>exonic;intronic</t>
        </is>
      </c>
      <c r="O599" t="inlineStr">
        <is>
          <t>frameshift insertion</t>
        </is>
      </c>
      <c r="P599" t="inlineStr">
        <is>
          <t>PLEKHH2:uc002rte.3:exon14:c.2311dupT:p.V779Cfs*13</t>
        </is>
      </c>
      <c r="Q599" t="n">
        <v>0.0004528</v>
      </c>
      <c r="R599" t="n">
        <v>-1</v>
      </c>
      <c r="S599" t="n">
        <v>-1</v>
      </c>
      <c r="T599" t="n">
        <v>-1</v>
      </c>
      <c r="U599" t="n">
        <v>-1</v>
      </c>
      <c r="V599" t="inlineStr">
        <is>
          <t>.</t>
        </is>
      </c>
      <c r="W599" t="inlineStr">
        <is>
          <t>.</t>
        </is>
      </c>
      <c r="X599" t="inlineStr">
        <is>
          <t>.</t>
        </is>
      </c>
      <c r="Y599" t="inlineStr">
        <is>
          <t>.</t>
        </is>
      </c>
      <c r="Z599" t="inlineStr">
        <is>
          <t>.</t>
        </is>
      </c>
      <c r="AA599" t="inlineStr">
        <is>
          <t>.</t>
        </is>
      </c>
      <c r="AB599" t="inlineStr">
        <is>
          <t>.</t>
        </is>
      </c>
      <c r="AC599" t="inlineStr">
        <is>
          <t>0/1</t>
        </is>
      </c>
      <c r="AD599" t="inlineStr">
        <is>
          <t>2</t>
        </is>
      </c>
      <c r="AE599" t="inlineStr">
        <is>
          <t>1.78874098604568e-26</t>
        </is>
      </c>
      <c r="AF599" t="inlineStr">
        <is>
          <t>pleckstrin homology, MyTH4 and FERM domain containing H2</t>
        </is>
      </c>
      <c r="AG599" t="inlineStr">
        <is>
          <t xml:space="preserve">FUNCTION: In the kidney glomerulus may play a role in linking podocyte foot processes to the glomerular basement membrane. May be involved in stabilization of F-actin by attenuating its depolymerization. Can recruit TGFB1I1 from focal adhesions to podocyte lamellipodia.; </t>
        </is>
      </c>
      <c r="AH599" t="inlineStr">
        <is>
          <t>.</t>
        </is>
      </c>
      <c r="AI599" t="inlineStr">
        <is>
          <t>.</t>
        </is>
      </c>
      <c r="AJ599" t="inlineStr">
        <is>
          <t>.</t>
        </is>
      </c>
      <c r="AK599" t="inlineStr">
        <is>
          <t>.</t>
        </is>
      </c>
      <c r="AL599" t="inlineStr">
        <is>
          <t>.</t>
        </is>
      </c>
    </row>
    <row r="600">
      <c r="A600" t="inlineStr"/>
      <c r="B600">
        <f>HYPERLINK("https://genome.ucsc.edu/cgi-bin/hgTracks?db=hg19&amp;position=chr2%3A44981436%2D44981436", "chr2:44981436")</f>
        <v/>
      </c>
      <c r="C600" t="inlineStr">
        <is>
          <t>chr2</t>
        </is>
      </c>
      <c r="D600" t="n">
        <v>44981436</v>
      </c>
      <c r="E600" t="n">
        <v>44981436</v>
      </c>
      <c r="F600" t="inlineStr">
        <is>
          <t>C</t>
        </is>
      </c>
      <c r="G600" t="inlineStr">
        <is>
          <t>G</t>
        </is>
      </c>
      <c r="H600" t="inlineStr">
        <is>
          <t>135.64</t>
        </is>
      </c>
      <c r="I600" t="inlineStr">
        <is>
          <t>6</t>
        </is>
      </c>
      <c r="J600" t="inlineStr">
        <is>
          <t>2,4</t>
        </is>
      </c>
      <c r="K600" t="inlineStr">
        <is>
          <t>.</t>
        </is>
      </c>
      <c r="L600">
        <f>HYPERLINK("https://www.ncbi.nlm.nih.gov/snp/rs115342608", "rs115342608")</f>
        <v/>
      </c>
      <c r="M600">
        <f>HYPERLINK("https://www.genecards.org/Search/Keyword?queryString=%5Baliases%5D(%20CAMKMT%20)&amp;keywords=CAMKMT", "CAMKMT")</f>
        <v/>
      </c>
      <c r="N600" t="inlineStr">
        <is>
          <t>intronic</t>
        </is>
      </c>
      <c r="O600" t="inlineStr">
        <is>
          <t>.</t>
        </is>
      </c>
      <c r="P600" t="inlineStr">
        <is>
          <t>.</t>
        </is>
      </c>
      <c r="Q600" t="n">
        <v>0.0209</v>
      </c>
      <c r="R600" t="n">
        <v>0.0137</v>
      </c>
      <c r="S600" t="n">
        <v>0.0143</v>
      </c>
      <c r="T600" t="n">
        <v>-1</v>
      </c>
      <c r="U600" t="n">
        <v>0.0164</v>
      </c>
      <c r="V600" t="inlineStr">
        <is>
          <t>.</t>
        </is>
      </c>
      <c r="W600" t="inlineStr">
        <is>
          <t>.</t>
        </is>
      </c>
      <c r="X600" t="inlineStr">
        <is>
          <t>D</t>
        </is>
      </c>
      <c r="Y600" t="inlineStr">
        <is>
          <t>off</t>
        </is>
      </c>
      <c r="Z600" t="inlineStr">
        <is>
          <t>.</t>
        </is>
      </c>
      <c r="AA600" t="inlineStr">
        <is>
          <t>.</t>
        </is>
      </c>
      <c r="AB600" t="inlineStr">
        <is>
          <t>.</t>
        </is>
      </c>
      <c r="AC600" t="inlineStr">
        <is>
          <t>0/1</t>
        </is>
      </c>
      <c r="AD600" t="inlineStr">
        <is>
          <t>1</t>
        </is>
      </c>
      <c r="AE600" t="inlineStr">
        <is>
          <t>5.14965805552299e-13</t>
        </is>
      </c>
      <c r="AF600" t="inlineStr">
        <is>
          <t>calmodulin-lysine N-methyltransferase</t>
        </is>
      </c>
      <c r="AG600" t="inlineStr">
        <is>
          <t xml:space="preserve">FUNCTION: Catalyzes the trimethylation of 'Lys-116' in calmodulin. {ECO:0000269|PubMed:20975703}.; </t>
        </is>
      </c>
      <c r="AH600" t="inlineStr">
        <is>
          <t>.</t>
        </is>
      </c>
      <c r="AI600" t="inlineStr">
        <is>
          <t>.</t>
        </is>
      </c>
      <c r="AJ600" t="inlineStr">
        <is>
          <t>.</t>
        </is>
      </c>
      <c r="AK600" t="inlineStr">
        <is>
          <t>.</t>
        </is>
      </c>
      <c r="AL600" t="inlineStr">
        <is>
          <t>.</t>
        </is>
      </c>
    </row>
    <row r="601">
      <c r="A601" t="inlineStr"/>
      <c r="B601">
        <f>HYPERLINK("https://genome.ucsc.edu/cgi-bin/hgTracks?db=hg19&amp;position=chr2%3A46602945%2D46602945", "chr2:46602945")</f>
        <v/>
      </c>
      <c r="C601" t="inlineStr">
        <is>
          <t>chr2</t>
        </is>
      </c>
      <c r="D601" t="n">
        <v>46602945</v>
      </c>
      <c r="E601" t="n">
        <v>46602945</v>
      </c>
      <c r="F601" t="inlineStr">
        <is>
          <t>C</t>
        </is>
      </c>
      <c r="G601" t="inlineStr">
        <is>
          <t>T</t>
        </is>
      </c>
      <c r="H601" t="inlineStr">
        <is>
          <t>702.64</t>
        </is>
      </c>
      <c r="I601" t="inlineStr">
        <is>
          <t>144</t>
        </is>
      </c>
      <c r="J601" t="inlineStr">
        <is>
          <t>106,38</t>
        </is>
      </c>
      <c r="K601" t="inlineStr">
        <is>
          <t>.</t>
        </is>
      </c>
      <c r="L601" t="inlineStr">
        <is>
          <t>.</t>
        </is>
      </c>
      <c r="M601">
        <f>HYPERLINK("https://www.genecards.org/Search/Keyword?queryString=%5Baliases%5D(%20EPAS1%20)&amp;keywords=EPAS1", "EPAS1")</f>
        <v/>
      </c>
      <c r="N601" t="inlineStr">
        <is>
          <t>exonic</t>
        </is>
      </c>
      <c r="O601" t="inlineStr">
        <is>
          <t>stopgain</t>
        </is>
      </c>
      <c r="P601" t="inlineStr">
        <is>
          <t>EPAS1:NM_001430:exon8:c.C1003T:p.Q335X;EPAS1:uc002ruv.3:exon8:c.C1003T:p.Q335X;EPAS1:ENST00000263734.5_3:exon8:c.C1003T:p.Q335X</t>
        </is>
      </c>
      <c r="Q601" t="n">
        <v>-1</v>
      </c>
      <c r="R601" t="n">
        <v>-1</v>
      </c>
      <c r="S601" t="n">
        <v>-1</v>
      </c>
      <c r="T601" t="n">
        <v>-1</v>
      </c>
      <c r="U601" t="n">
        <v>-1</v>
      </c>
      <c r="V601" t="inlineStr">
        <is>
          <t>3/3</t>
        </is>
      </c>
      <c r="W601" t="inlineStr">
        <is>
          <t>.</t>
        </is>
      </c>
      <c r="X601" t="inlineStr">
        <is>
          <t>.</t>
        </is>
      </c>
      <c r="Y601" t="inlineStr">
        <is>
          <t>.</t>
        </is>
      </c>
      <c r="Z601" t="inlineStr">
        <is>
          <t>5/7</t>
        </is>
      </c>
      <c r="AA601" t="inlineStr">
        <is>
          <t>Pathogenic</t>
        </is>
      </c>
      <c r="AB601" t="inlineStr">
        <is>
          <t>.</t>
        </is>
      </c>
      <c r="AC601" t="inlineStr">
        <is>
          <t>0/1</t>
        </is>
      </c>
      <c r="AD601" t="inlineStr">
        <is>
          <t>1</t>
        </is>
      </c>
      <c r="AE601" t="inlineStr">
        <is>
          <t>0.997628292931524</t>
        </is>
      </c>
      <c r="AF601" t="inlineStr">
        <is>
          <t>endothelial PAS domain protein 1</t>
        </is>
      </c>
      <c r="AG601" t="inlineStr">
        <is>
          <t xml:space="preserve">FUNCTION: Transcription factor involved in the induction of oxygen regulated genes. Binds to core DNA sequence 5'-[AG]CGTG-3' within the hypoxia response element (HRE) of target gene promoters. Regulates the vascular endothelial growth factor (VEGF) expression and seems to be implicated in the development of blood vessels and the tubular system of lung. May also play a role in the formation of the endothelium that gives rise to the blood brain barrier. Potent activator of the Tie-2 tyrosine kinase expression. Activation seems to require recruitment of transcriptional coactivators such as CREBPB and probably EP300. Interaction with redox regulatory protein APEX seems to activate CTAD.; </t>
        </is>
      </c>
      <c r="AH601" t="inlineStr">
        <is>
          <t xml:space="preserve">DISEASE: Erythrocytosis, familial, 4 (ECYT4) [MIM:611783]: An autosomal dominant disorder characterized by increased serum red blood cell mass, elevated serum hemoglobin and hematocrit, and normal platelet and leukocyte counts. {ECO:0000269|PubMed:18184961, ECO:0000269|PubMed:18378852, ECO:0000269|PubMed:19208626, ECO:0000269|PubMed:22367913}. Note=The disease is caused by mutations affecting the gene represented in this entry.; </t>
        </is>
      </c>
      <c r="AI601" t="inlineStr">
        <is>
          <t>.</t>
        </is>
      </c>
      <c r="AJ601" t="inlineStr">
        <is>
          <t>.</t>
        </is>
      </c>
      <c r="AK601" t="inlineStr">
        <is>
          <t>.</t>
        </is>
      </c>
      <c r="AL601" t="inlineStr">
        <is>
          <t>.</t>
        </is>
      </c>
    </row>
    <row r="602">
      <c r="A602" t="inlineStr"/>
      <c r="B602">
        <f>HYPERLINK("https://genome.ucsc.edu/cgi-bin/hgTracks?db=hg19&amp;position=chr2%3A63084782%2D63084782", "chr2:63084782")</f>
        <v/>
      </c>
      <c r="C602" t="inlineStr">
        <is>
          <t>chr2</t>
        </is>
      </c>
      <c r="D602" t="n">
        <v>63084782</v>
      </c>
      <c r="E602" t="n">
        <v>63084782</v>
      </c>
      <c r="F602" t="inlineStr">
        <is>
          <t>G</t>
        </is>
      </c>
      <c r="G602" t="inlineStr">
        <is>
          <t>A</t>
        </is>
      </c>
      <c r="H602" t="inlineStr">
        <is>
          <t>121.14</t>
        </is>
      </c>
      <c r="I602" t="inlineStr">
        <is>
          <t>4</t>
        </is>
      </c>
      <c r="J602" t="inlineStr">
        <is>
          <t>0,4</t>
        </is>
      </c>
      <c r="K602" t="inlineStr">
        <is>
          <t>.</t>
        </is>
      </c>
      <c r="L602">
        <f>HYPERLINK("https://www.ncbi.nlm.nih.gov/snp/rs753928796", "rs753928796")</f>
        <v/>
      </c>
      <c r="M602">
        <f>HYPERLINK("https://www.genecards.org/Search/Keyword?queryString=%5Baliases%5D(%20EHBP1%20)&amp;keywords=EHBP1", "EHBP1")</f>
        <v/>
      </c>
      <c r="N602" t="inlineStr">
        <is>
          <t>intronic;ncRNA_intronic</t>
        </is>
      </c>
      <c r="O602" t="inlineStr">
        <is>
          <t>.</t>
        </is>
      </c>
      <c r="P602" t="inlineStr">
        <is>
          <t>.</t>
        </is>
      </c>
      <c r="Q602" t="n">
        <v>0.0024</v>
      </c>
      <c r="R602" t="n">
        <v>0.0025</v>
      </c>
      <c r="S602" t="n">
        <v>0.0036</v>
      </c>
      <c r="T602" t="n">
        <v>-1</v>
      </c>
      <c r="U602" t="n">
        <v>0.0041</v>
      </c>
      <c r="V602" t="inlineStr">
        <is>
          <t>.</t>
        </is>
      </c>
      <c r="W602" t="inlineStr">
        <is>
          <t>.</t>
        </is>
      </c>
      <c r="X602" t="inlineStr">
        <is>
          <t>.</t>
        </is>
      </c>
      <c r="Y602" t="inlineStr">
        <is>
          <t>.</t>
        </is>
      </c>
      <c r="Z602" t="inlineStr">
        <is>
          <t>.</t>
        </is>
      </c>
      <c r="AA602" t="inlineStr">
        <is>
          <t>.</t>
        </is>
      </c>
      <c r="AB602" t="inlineStr">
        <is>
          <t>.</t>
        </is>
      </c>
      <c r="AC602" t="inlineStr">
        <is>
          <t>HOMO</t>
        </is>
      </c>
      <c r="AD602" t="inlineStr">
        <is>
          <t>1</t>
        </is>
      </c>
      <c r="AE602" t="inlineStr">
        <is>
          <t>0.999748961950681</t>
        </is>
      </c>
      <c r="AF602" t="inlineStr">
        <is>
          <t>EH domain binding protein 1</t>
        </is>
      </c>
      <c r="AG602" t="inlineStr">
        <is>
          <t xml:space="preserve">FUNCTION: May play a role in actin reorganization. Links clathrin- mediated endocytosis to the actin cytoskeleton. {ECO:0000269|PubMed:14676205}.; </t>
        </is>
      </c>
      <c r="AH602" t="inlineStr">
        <is>
          <t xml:space="preserve">DISEASE: Prostate cancer, hereditary, 12 (HPC12) [MIM:611868]: A condition associated with familial predisposition to cancer of the prostate. Most prostate cancers are adenocarcinomas that develop in the acini of the prostatic ducts. Other rare histopathologic types of prostate cancer that occur in approximately 5% of patients include small cell carcinoma, mucinous carcinoma, prostatic ductal carcinoma, transitional cell carcinoma, squamous cell carcinoma, basal cell carcinoma, adenoid cystic carcinoma (basaloid), signet-ring cell carcinoma and neuroendocrine carcinoma. {ECO:0000269|PubMed:18264098}. Note=Disease susceptibility is associated with variations affecting the gene represented in this entry.; </t>
        </is>
      </c>
      <c r="AI602" t="inlineStr">
        <is>
          <t>.</t>
        </is>
      </c>
      <c r="AJ602" t="inlineStr">
        <is>
          <t>.</t>
        </is>
      </c>
      <c r="AK602" t="inlineStr">
        <is>
          <t>.</t>
        </is>
      </c>
      <c r="AL602" t="inlineStr">
        <is>
          <t>.</t>
        </is>
      </c>
    </row>
    <row r="603">
      <c r="A603" t="inlineStr"/>
      <c r="B603">
        <f>HYPERLINK("https://genome.ucsc.edu/cgi-bin/hgTracks?db=hg19&amp;position=chr2%3A63380515%2D63380515", "chr2:63380515")</f>
        <v/>
      </c>
      <c r="C603" t="inlineStr">
        <is>
          <t>chr2</t>
        </is>
      </c>
      <c r="D603" t="n">
        <v>63380515</v>
      </c>
      <c r="E603" t="n">
        <v>63380515</v>
      </c>
      <c r="F603" t="inlineStr">
        <is>
          <t>C</t>
        </is>
      </c>
      <c r="G603" t="inlineStr">
        <is>
          <t>A</t>
        </is>
      </c>
      <c r="H603" t="inlineStr">
        <is>
          <t>36.64</t>
        </is>
      </c>
      <c r="I603" t="inlineStr">
        <is>
          <t>11</t>
        </is>
      </c>
      <c r="J603" t="inlineStr">
        <is>
          <t>9,2</t>
        </is>
      </c>
      <c r="K603" t="inlineStr">
        <is>
          <t>.</t>
        </is>
      </c>
      <c r="L603" t="inlineStr">
        <is>
          <t>.</t>
        </is>
      </c>
      <c r="M603">
        <f>HYPERLINK("https://www.genecards.org/Search/Keyword?queryString=%5Baliases%5D(%20WDPCP%20)&amp;keywords=WDPCP", "WDPCP")</f>
        <v/>
      </c>
      <c r="N603" t="inlineStr">
        <is>
          <t>intronic;ncRNA_intronic</t>
        </is>
      </c>
      <c r="O603" t="inlineStr">
        <is>
          <t>.</t>
        </is>
      </c>
      <c r="P603" t="inlineStr">
        <is>
          <t>.</t>
        </is>
      </c>
      <c r="Q603" t="n">
        <v>-1</v>
      </c>
      <c r="R603" t="n">
        <v>-1</v>
      </c>
      <c r="S603" t="n">
        <v>-1</v>
      </c>
      <c r="T603" t="n">
        <v>-1</v>
      </c>
      <c r="U603" t="n">
        <v>-1</v>
      </c>
      <c r="V603" t="inlineStr">
        <is>
          <t>.</t>
        </is>
      </c>
      <c r="W603" t="inlineStr">
        <is>
          <t>.</t>
        </is>
      </c>
      <c r="X603" t="inlineStr">
        <is>
          <t>B</t>
        </is>
      </c>
      <c r="Y603" t="inlineStr">
        <is>
          <t>off</t>
        </is>
      </c>
      <c r="Z603" t="inlineStr">
        <is>
          <t>.</t>
        </is>
      </c>
      <c r="AA603" t="inlineStr">
        <is>
          <t>.</t>
        </is>
      </c>
      <c r="AB603" t="inlineStr">
        <is>
          <t>.</t>
        </is>
      </c>
      <c r="AC603" t="inlineStr">
        <is>
          <t>0/1</t>
        </is>
      </c>
      <c r="AD603" t="inlineStr">
        <is>
          <t>2</t>
        </is>
      </c>
      <c r="AE603" t="inlineStr">
        <is>
          <t>2.32411054871015e-09</t>
        </is>
      </c>
      <c r="AF603" t="inlineStr">
        <is>
          <t>WD repeat containing planar cell polarity effector</t>
        </is>
      </c>
      <c r="AG603" t="inlineStr">
        <is>
          <t xml:space="preserve">FUNCTION: Probable effector of the planar cell polarity signaling pathway which regulates the septin cytoskeleton in both ciliogenesis and collective cell movements. {ECO:0000250}.; </t>
        </is>
      </c>
      <c r="AH603" t="inlineStr">
        <is>
          <t xml:space="preserve">DISEASE: Bardet-Biedl syndrome 15 (BBS15) [MIM:615992]: A syndrome characterized by usually severe pigmentary retinopathy, early- onset obesity, polydactyly, hypogenitalism, renal malformation and mental retardation. Secondary features include diabetes mellitus, hypertension and congenital heart disease. Bardet-Biedl syndrome inheritance is autosomal recessive, but three mutated alleles (two at one locus, and a third at a second locus) may be required for clinical manifestation of some forms of the disease. {ECO:0000269|PubMed:20671153}. Note=The disease is caused by mutations affecting the gene represented in this entry.; DISEASE: Congenital heart defects, hamartomas of tongue, and polysyndactyly (CHDTHP) [MIM:217085]: A disease characterized by a constellation of anomalies including tongue hamartomas, polysyndactyly, and congenital heart defects such as atrioventricular canal and coarctation of the aorta. {ECO:0000269|PubMed:25427950}. Note=The disease is caused by mutations affecting the gene represented in this entry.; DISEASE: Note=Mutations in WDPCP may act as modifiers of the phenotypic expression of Bardet-Biedl syndrome and Meckel syndrome by interacting in trans with primary BBS and MKS loci. {ECO:0000269|PubMed:20671153}.; </t>
        </is>
      </c>
      <c r="AI603" t="inlineStr">
        <is>
          <t>.</t>
        </is>
      </c>
      <c r="AJ603" t="inlineStr">
        <is>
          <t>.</t>
        </is>
      </c>
      <c r="AK603" t="inlineStr">
        <is>
          <t>.</t>
        </is>
      </c>
      <c r="AL603" t="inlineStr">
        <is>
          <t>.</t>
        </is>
      </c>
    </row>
    <row r="604">
      <c r="A604" t="inlineStr"/>
      <c r="B604">
        <f>HYPERLINK("https://genome.ucsc.edu/cgi-bin/hgTracks?db=hg19&amp;position=chr2%3A63486571%2D63486571", "chr2:63486571")</f>
        <v/>
      </c>
      <c r="C604" t="inlineStr">
        <is>
          <t>chr2</t>
        </is>
      </c>
      <c r="D604" t="n">
        <v>63486571</v>
      </c>
      <c r="E604" t="n">
        <v>63486571</v>
      </c>
      <c r="F604" t="inlineStr">
        <is>
          <t>T</t>
        </is>
      </c>
      <c r="G604" t="inlineStr">
        <is>
          <t>C</t>
        </is>
      </c>
      <c r="H604" t="inlineStr">
        <is>
          <t>1581.64</t>
        </is>
      </c>
      <c r="I604" t="inlineStr">
        <is>
          <t>107</t>
        </is>
      </c>
      <c r="J604" t="inlineStr">
        <is>
          <t>39,68</t>
        </is>
      </c>
      <c r="K604" t="inlineStr">
        <is>
          <t>.</t>
        </is>
      </c>
      <c r="L604">
        <f>HYPERLINK("https://www.ncbi.nlm.nih.gov/snp/rs537344300", "rs537344300")</f>
        <v/>
      </c>
      <c r="M604">
        <f>HYPERLINK("https://www.genecards.org/Search/Keyword?queryString=%5Baliases%5D(%20WDPCP%20)&amp;keywords=WDPCP", "WDPCP")</f>
        <v/>
      </c>
      <c r="N604" t="inlineStr">
        <is>
          <t>intronic</t>
        </is>
      </c>
      <c r="O604" t="inlineStr">
        <is>
          <t>.</t>
        </is>
      </c>
      <c r="P604" t="inlineStr">
        <is>
          <t>.</t>
        </is>
      </c>
      <c r="Q604" t="n">
        <v>0.0035</v>
      </c>
      <c r="R604" t="n">
        <v>0.0025</v>
      </c>
      <c r="S604" t="n">
        <v>0.0054</v>
      </c>
      <c r="T604" t="n">
        <v>-1</v>
      </c>
      <c r="U604" t="n">
        <v>0.008200000000000001</v>
      </c>
      <c r="V604" t="inlineStr">
        <is>
          <t>.</t>
        </is>
      </c>
      <c r="W604" t="inlineStr">
        <is>
          <t>.</t>
        </is>
      </c>
      <c r="X604" t="inlineStr">
        <is>
          <t>D</t>
        </is>
      </c>
      <c r="Y604" t="inlineStr">
        <is>
          <t>off</t>
        </is>
      </c>
      <c r="Z604" t="inlineStr">
        <is>
          <t>.</t>
        </is>
      </c>
      <c r="AA604" t="inlineStr">
        <is>
          <t>.</t>
        </is>
      </c>
      <c r="AB604" t="inlineStr">
        <is>
          <t>Uncertain_significance</t>
        </is>
      </c>
      <c r="AC604" t="inlineStr">
        <is>
          <t>0/1</t>
        </is>
      </c>
      <c r="AD604" t="inlineStr">
        <is>
          <t>2</t>
        </is>
      </c>
      <c r="AE604" t="inlineStr">
        <is>
          <t>2.32411054871015e-09</t>
        </is>
      </c>
      <c r="AF604" t="inlineStr">
        <is>
          <t>WD repeat containing planar cell polarity effector</t>
        </is>
      </c>
      <c r="AG604" t="inlineStr">
        <is>
          <t xml:space="preserve">FUNCTION: Probable effector of the planar cell polarity signaling pathway which regulates the septin cytoskeleton in both ciliogenesis and collective cell movements. {ECO:0000250}.; </t>
        </is>
      </c>
      <c r="AH604" t="inlineStr">
        <is>
          <t xml:space="preserve">DISEASE: Bardet-Biedl syndrome 15 (BBS15) [MIM:615992]: A syndrome characterized by usually severe pigmentary retinopathy, early- onset obesity, polydactyly, hypogenitalism, renal malformation and mental retardation. Secondary features include diabetes mellitus, hypertension and congenital heart disease. Bardet-Biedl syndrome inheritance is autosomal recessive, but three mutated alleles (two at one locus, and a third at a second locus) may be required for clinical manifestation of some forms of the disease. {ECO:0000269|PubMed:20671153}. Note=The disease is caused by mutations affecting the gene represented in this entry.; DISEASE: Congenital heart defects, hamartomas of tongue, and polysyndactyly (CHDTHP) [MIM:217085]: A disease characterized by a constellation of anomalies including tongue hamartomas, polysyndactyly, and congenital heart defects such as atrioventricular canal and coarctation of the aorta. {ECO:0000269|PubMed:25427950}. Note=The disease is caused by mutations affecting the gene represented in this entry.; DISEASE: Note=Mutations in WDPCP may act as modifiers of the phenotypic expression of Bardet-Biedl syndrome and Meckel syndrome by interacting in trans with primary BBS and MKS loci. {ECO:0000269|PubMed:20671153}.; </t>
        </is>
      </c>
      <c r="AI604" t="inlineStr">
        <is>
          <t>.</t>
        </is>
      </c>
      <c r="AJ604" t="inlineStr">
        <is>
          <t>.</t>
        </is>
      </c>
      <c r="AK604" t="inlineStr">
        <is>
          <t>.</t>
        </is>
      </c>
      <c r="AL604" t="inlineStr">
        <is>
          <t>.</t>
        </is>
      </c>
    </row>
    <row r="605">
      <c r="A605" t="inlineStr"/>
      <c r="B605">
        <f>HYPERLINK("https://genome.ucsc.edu/cgi-bin/hgTracks?db=hg19&amp;position=chr2%3A74071342%2D74071342", "chr2:74071342")</f>
        <v/>
      </c>
      <c r="C605" t="inlineStr">
        <is>
          <t>chr2</t>
        </is>
      </c>
      <c r="D605" t="n">
        <v>74071342</v>
      </c>
      <c r="E605" t="n">
        <v>74071342</v>
      </c>
      <c r="F605" t="inlineStr">
        <is>
          <t>T</t>
        </is>
      </c>
      <c r="G605" t="inlineStr">
        <is>
          <t>C</t>
        </is>
      </c>
      <c r="H605" t="inlineStr">
        <is>
          <t>49.64</t>
        </is>
      </c>
      <c r="I605" t="inlineStr">
        <is>
          <t>7</t>
        </is>
      </c>
      <c r="J605" t="inlineStr">
        <is>
          <t>5,2</t>
        </is>
      </c>
      <c r="K605" t="inlineStr">
        <is>
          <t>.</t>
        </is>
      </c>
      <c r="L605" t="inlineStr">
        <is>
          <t>.</t>
        </is>
      </c>
      <c r="M605">
        <f>HYPERLINK("https://www.genecards.org/Search/Keyword?queryString=%5Baliases%5D(%20STAMBP%20)&amp;keywords=STAMBP", "STAMBP")</f>
        <v/>
      </c>
      <c r="N605" t="inlineStr">
        <is>
          <t>intronic;ncRNA_intronic</t>
        </is>
      </c>
      <c r="O605" t="inlineStr">
        <is>
          <t>.</t>
        </is>
      </c>
      <c r="P605" t="inlineStr">
        <is>
          <t>.</t>
        </is>
      </c>
      <c r="Q605" t="n">
        <v>-1</v>
      </c>
      <c r="R605" t="n">
        <v>-1</v>
      </c>
      <c r="S605" t="n">
        <v>-1</v>
      </c>
      <c r="T605" t="n">
        <v>-1</v>
      </c>
      <c r="U605" t="n">
        <v>-1</v>
      </c>
      <c r="V605" t="inlineStr">
        <is>
          <t>.</t>
        </is>
      </c>
      <c r="W605" t="inlineStr">
        <is>
          <t>.</t>
        </is>
      </c>
      <c r="X605" t="inlineStr">
        <is>
          <t>.</t>
        </is>
      </c>
      <c r="Y605" t="inlineStr">
        <is>
          <t>.</t>
        </is>
      </c>
      <c r="Z605" t="inlineStr">
        <is>
          <t>.</t>
        </is>
      </c>
      <c r="AA605" t="inlineStr">
        <is>
          <t>.</t>
        </is>
      </c>
      <c r="AB605" t="inlineStr">
        <is>
          <t>.</t>
        </is>
      </c>
      <c r="AC605" t="inlineStr">
        <is>
          <t>0/1</t>
        </is>
      </c>
      <c r="AD605" t="inlineStr">
        <is>
          <t>1</t>
        </is>
      </c>
      <c r="AE605" t="inlineStr">
        <is>
          <t>0.00143027314024062</t>
        </is>
      </c>
      <c r="AF605" t="inlineStr">
        <is>
          <t>STAM binding protein</t>
        </is>
      </c>
      <c r="AG605" t="inlineStr">
        <is>
          <t xml:space="preserve">FUNCTION: Zinc metalloprotease that specifically cleaves 'Lys-63'- linked polyubiquitin chains. Does not cleave 'Lys-48'-linked polyubiquitin chains (By similarity). Plays a role in signal transduction for cell growth and MYC induction mediated by IL-2 and GM-CSF. Potentiates BMP (bone morphogenetic protein) signaling by antagonizing the inhibitory action of SMAD6 and SMAD7. Has a key role in regulation of cell surface receptor-mediated endocytosis and ubiquitin-dependent sorting of receptors to lysosomes. Endosomal localization of STAMBP is required for efficient EGFR degradation but not for its internalization (By similarity). Involved in the negative regulation of PI3K-AKT-mTOR and RAS-MAP signaling pathways. {ECO:0000250, ECO:0000269|PubMed:10383417, ECO:0000269|PubMed:11483516, ECO:0000269|PubMed:15314065, ECO:0000269|PubMed:17261583, ECO:0000269|PubMed:23542699}.; </t>
        </is>
      </c>
      <c r="AH605" t="inlineStr">
        <is>
          <t xml:space="preserve">DISEASE: Microcephaly-capillary malformation syndrome (MICCAP) [MIM:614261]: A congenital disorder characterized by severe progressive microcephaly, early-onset refractory epilepsy, profound developmental delay, and multiple small capillary malformations spread diffusely on the body. Additional more variable features include dysmorphic facial features, distal limb abnormalities, and mild heart defects. {ECO:0000269|PubMed:23542699}. Note=The disease is caused by mutations affecting the gene represented in this entry.; </t>
        </is>
      </c>
      <c r="AI605" t="inlineStr">
        <is>
          <t>.</t>
        </is>
      </c>
      <c r="AJ605" t="inlineStr">
        <is>
          <t>.</t>
        </is>
      </c>
      <c r="AK605" t="inlineStr">
        <is>
          <t>.</t>
        </is>
      </c>
      <c r="AL605" t="inlineStr">
        <is>
          <t>.</t>
        </is>
      </c>
    </row>
    <row r="606">
      <c r="A606" t="inlineStr"/>
      <c r="B606">
        <f>HYPERLINK("https://genome.ucsc.edu/cgi-bin/hgTracks?db=hg19&amp;position=chr2%3A80096984%2D80096984", "chr2:80096984")</f>
        <v/>
      </c>
      <c r="C606" t="inlineStr">
        <is>
          <t>chr2</t>
        </is>
      </c>
      <c r="D606" t="n">
        <v>80096984</v>
      </c>
      <c r="E606" t="n">
        <v>80096984</v>
      </c>
      <c r="F606" t="inlineStr">
        <is>
          <t>C</t>
        </is>
      </c>
      <c r="G606" t="inlineStr">
        <is>
          <t>T</t>
        </is>
      </c>
      <c r="H606" t="inlineStr">
        <is>
          <t>304.64</t>
        </is>
      </c>
      <c r="I606" t="inlineStr">
        <is>
          <t>48</t>
        </is>
      </c>
      <c r="J606" t="inlineStr">
        <is>
          <t>32,16</t>
        </is>
      </c>
      <c r="K606" t="inlineStr">
        <is>
          <t>.</t>
        </is>
      </c>
      <c r="L606" t="inlineStr">
        <is>
          <t>.</t>
        </is>
      </c>
      <c r="M606">
        <f>HYPERLINK("https://www.genecards.org/Search/Keyword?queryString=%5Baliases%5D(%20CTNNA2%20)&amp;keywords=CTNNA2", "CTNNA2")</f>
        <v/>
      </c>
      <c r="N606" t="inlineStr">
        <is>
          <t>exonic</t>
        </is>
      </c>
      <c r="O606" t="inlineStr">
        <is>
          <t>stopgain</t>
        </is>
      </c>
      <c r="P606" t="inlineStr">
        <is>
          <t>CTNNA2:NM_001164883:exon5:c.C508T:p.Q170X,CTNNA2:NM_001282597:exon5:c.C508T:p.Q170X,CTNNA2:NM_001282598:exon5:c.C610T:p.Q204X,CTNNA2:NM_004389:exon5:c.C508T:p.Q170X;CTNNA2:uc010ysh.2:exon4:c.C508T:p.Q170X,CTNNA2:uc010ysf.2:exon5:c.C508T:p.Q170X,CTNNA2:uc010ysg.2:exon5:c.C508T:p.Q170X,CTNNA2:uc010yse.2:exon9:c.C508T:p.Q170X;CTNNA2:ENST00000402739.9_5:exon5:c.C508T:p.Q170X,CTNNA2:ENST00000496558.5_3:exon5:c.C508T:p.Q170X,CTNNA2:ENST00000629316.2_1:exon5:c.C508T:p.Q170X,CTNNA2:ENST00000466387.5_3:exon9:c.C508T:p.Q170X</t>
        </is>
      </c>
      <c r="Q606" t="n">
        <v>-1</v>
      </c>
      <c r="R606" t="n">
        <v>-1</v>
      </c>
      <c r="S606" t="n">
        <v>-1</v>
      </c>
      <c r="T606" t="n">
        <v>-1</v>
      </c>
      <c r="U606" t="n">
        <v>-1</v>
      </c>
      <c r="V606" t="inlineStr">
        <is>
          <t>3/3</t>
        </is>
      </c>
      <c r="W606" t="inlineStr">
        <is>
          <t>.</t>
        </is>
      </c>
      <c r="X606" t="inlineStr">
        <is>
          <t>.</t>
        </is>
      </c>
      <c r="Y606" t="inlineStr">
        <is>
          <t>.</t>
        </is>
      </c>
      <c r="Z606" t="inlineStr">
        <is>
          <t>5/7</t>
        </is>
      </c>
      <c r="AA606" t="inlineStr">
        <is>
          <t>Pathogenic</t>
        </is>
      </c>
      <c r="AB606" t="inlineStr">
        <is>
          <t>.</t>
        </is>
      </c>
      <c r="AC606" t="inlineStr">
        <is>
          <t>0/1</t>
        </is>
      </c>
      <c r="AD606" t="inlineStr">
        <is>
          <t>1</t>
        </is>
      </c>
      <c r="AE606" t="inlineStr">
        <is>
          <t>0.999717952847311</t>
        </is>
      </c>
      <c r="AF606" t="inlineStr">
        <is>
          <t>catenin alpha 2</t>
        </is>
      </c>
      <c r="AG606" t="inlineStr">
        <is>
          <t xml:space="preserve">FUNCTION: May function as a linker between cadherin adhesion receptors and the cytoskeleton to regulate cell-cell adhesion and differentiation in the nervous system. Regulates morphological plasticity of synapses and cerebellar and hippocampal lamination during development. Functions in the control of startle modulation. {ECO:0000250|UniProtKB:Q61301}.; </t>
        </is>
      </c>
      <c r="AH606" t="inlineStr">
        <is>
          <t>.</t>
        </is>
      </c>
      <c r="AI606" t="inlineStr">
        <is>
          <t>.</t>
        </is>
      </c>
      <c r="AJ606" t="inlineStr">
        <is>
          <t>.</t>
        </is>
      </c>
      <c r="AK606" t="inlineStr">
        <is>
          <t>.</t>
        </is>
      </c>
      <c r="AL606" t="inlineStr">
        <is>
          <t>.</t>
        </is>
      </c>
    </row>
    <row r="607">
      <c r="A607" t="inlineStr"/>
      <c r="B607">
        <f>HYPERLINK("https://genome.ucsc.edu/cgi-bin/hgTracks?db=hg19&amp;position=chr2%3A80530530%2D80530530", "chr2:80530530")</f>
        <v/>
      </c>
      <c r="C607" t="inlineStr">
        <is>
          <t>chr2</t>
        </is>
      </c>
      <c r="D607" t="n">
        <v>80530530</v>
      </c>
      <c r="E607" t="n">
        <v>80530530</v>
      </c>
      <c r="F607" t="inlineStr">
        <is>
          <t>G</t>
        </is>
      </c>
      <c r="G607" t="inlineStr">
        <is>
          <t>T</t>
        </is>
      </c>
      <c r="H607" t="inlineStr">
        <is>
          <t>770.64</t>
        </is>
      </c>
      <c r="I607" t="inlineStr">
        <is>
          <t>58</t>
        </is>
      </c>
      <c r="J607" t="inlineStr">
        <is>
          <t>32,26</t>
        </is>
      </c>
      <c r="K607" t="inlineStr">
        <is>
          <t>.</t>
        </is>
      </c>
      <c r="L607" t="inlineStr">
        <is>
          <t>.</t>
        </is>
      </c>
      <c r="M607">
        <f>HYPERLINK("https://www.genecards.org/Search/Keyword?queryString=%5Baliases%5D(%20LRRTM1%20)&amp;keywords=LRRTM1", "LRRTM1")</f>
        <v/>
      </c>
      <c r="N607" t="inlineStr">
        <is>
          <t>exonic</t>
        </is>
      </c>
      <c r="O607" t="inlineStr">
        <is>
          <t>nonsynonymous SNV</t>
        </is>
      </c>
      <c r="P607" t="inlineStr">
        <is>
          <t>LRRTM1:NM_178839:exon2:c.C415A:p.L139M;LRRTM1:uc021vjt.1:exon1:c.C415A:p.L139M,LRRTM1:uc002sok.1:exon2:c.C415A:p.L139M;LRRTM1:ENST00000295057.4_5:exon2:c.C415A:p.L139M,LRRTM1:ENST00000409148.1_4:exon2:c.C415A:p.L139M</t>
        </is>
      </c>
      <c r="Q607" t="n">
        <v>-1</v>
      </c>
      <c r="R607" t="n">
        <v>-1</v>
      </c>
      <c r="S607" t="n">
        <v>-1</v>
      </c>
      <c r="T607" t="n">
        <v>-1</v>
      </c>
      <c r="U607" t="n">
        <v>-1</v>
      </c>
      <c r="V607" t="inlineStr">
        <is>
          <t>9/11</t>
        </is>
      </c>
      <c r="W607" t="inlineStr">
        <is>
          <t>.</t>
        </is>
      </c>
      <c r="X607" t="inlineStr">
        <is>
          <t>.</t>
        </is>
      </c>
      <c r="Y607" t="inlineStr">
        <is>
          <t>.</t>
        </is>
      </c>
      <c r="Z607" t="inlineStr">
        <is>
          <t>2/7</t>
        </is>
      </c>
      <c r="AA607" t="inlineStr">
        <is>
          <t>Uncertain significance</t>
        </is>
      </c>
      <c r="AB607" t="inlineStr">
        <is>
          <t>.</t>
        </is>
      </c>
      <c r="AC607" t="inlineStr">
        <is>
          <t>0/1</t>
        </is>
      </c>
      <c r="AD607" t="inlineStr">
        <is>
          <t>1</t>
        </is>
      </c>
      <c r="AE607" t="inlineStr">
        <is>
          <t>0.951075572630596</t>
        </is>
      </c>
      <c r="AF607" t="inlineStr">
        <is>
          <t>leucine rich repeat transmembrane neuronal 1</t>
        </is>
      </c>
      <c r="AG607" t="inlineStr">
        <is>
          <t xml:space="preserve">FUNCTION: Exhibits strong synaptogenic activity, restricted to excitatory presynaptic differentiation, acting at both pre- and postsynaptic level. {ECO:0000250}.; </t>
        </is>
      </c>
      <c r="AH607" t="inlineStr">
        <is>
          <t>.</t>
        </is>
      </c>
      <c r="AI607" t="inlineStr">
        <is>
          <t>.</t>
        </is>
      </c>
      <c r="AJ607" t="inlineStr">
        <is>
          <t>.</t>
        </is>
      </c>
      <c r="AK607" t="inlineStr">
        <is>
          <t>.</t>
        </is>
      </c>
      <c r="AL607" t="inlineStr">
        <is>
          <t>.</t>
        </is>
      </c>
    </row>
    <row r="608">
      <c r="A608" t="inlineStr"/>
      <c r="B608">
        <f>HYPERLINK("https://genome.ucsc.edu/cgi-bin/hgTracks?db=hg19&amp;position=chr2%3A89104896%2D89104896", "chr2:89104896")</f>
        <v/>
      </c>
      <c r="C608" t="inlineStr">
        <is>
          <t>chr2</t>
        </is>
      </c>
      <c r="D608" t="n">
        <v>89104896</v>
      </c>
      <c r="E608" t="n">
        <v>89104896</v>
      </c>
      <c r="F608" t="inlineStr">
        <is>
          <t>-</t>
        </is>
      </c>
      <c r="G608" t="inlineStr">
        <is>
          <t>TG</t>
        </is>
      </c>
      <c r="H608" t="inlineStr">
        <is>
          <t>96.60</t>
        </is>
      </c>
      <c r="I608" t="inlineStr">
        <is>
          <t>67</t>
        </is>
      </c>
      <c r="J608" t="inlineStr">
        <is>
          <t>60,7</t>
        </is>
      </c>
      <c r="K608" t="inlineStr">
        <is>
          <t>.</t>
        </is>
      </c>
      <c r="L608" t="inlineStr">
        <is>
          <t>.</t>
        </is>
      </c>
      <c r="M608">
        <f>HYPERLINK("https://www.genecards.org/Search/Keyword?queryString=%5Baliases%5D(%20ANKRD36BP2%20)&amp;keywords=ANKRD36BP2", "ANKRD36BP2")</f>
        <v/>
      </c>
      <c r="N608" t="inlineStr">
        <is>
          <t>exonic;intergenic;ncRNA_exonic</t>
        </is>
      </c>
      <c r="O608" t="inlineStr">
        <is>
          <t>frameshift insertion</t>
        </is>
      </c>
      <c r="P608" t="inlineStr">
        <is>
          <t>ANKRD36BP2:uc010fhg.4:exon16:c.655_656insTG:p.P219Lfs*9;dist=37966;dist=5804</t>
        </is>
      </c>
      <c r="Q608" t="n">
        <v>3.84e-05</v>
      </c>
      <c r="R608" t="n">
        <v>-1</v>
      </c>
      <c r="S608" t="n">
        <v>-1</v>
      </c>
      <c r="T608" t="n">
        <v>-1</v>
      </c>
      <c r="U608" t="n">
        <v>-1</v>
      </c>
      <c r="V608" t="inlineStr">
        <is>
          <t>.</t>
        </is>
      </c>
      <c r="W608" t="inlineStr">
        <is>
          <t>.</t>
        </is>
      </c>
      <c r="X608" t="inlineStr">
        <is>
          <t>.</t>
        </is>
      </c>
      <c r="Y608" t="inlineStr">
        <is>
          <t>.</t>
        </is>
      </c>
      <c r="Z608" t="inlineStr">
        <is>
          <t>.</t>
        </is>
      </c>
      <c r="AA608" t="inlineStr">
        <is>
          <t>.</t>
        </is>
      </c>
      <c r="AB608" t="inlineStr">
        <is>
          <t>.</t>
        </is>
      </c>
      <c r="AC608" t="inlineStr">
        <is>
          <t>.</t>
        </is>
      </c>
      <c r="AD608" t="inlineStr">
        <is>
          <t>2</t>
        </is>
      </c>
      <c r="AE608" t="inlineStr">
        <is>
          <t>.</t>
        </is>
      </c>
      <c r="AF608" t="inlineStr">
        <is>
          <t>ankyrin repeat domain 36B pseudogene 2</t>
        </is>
      </c>
      <c r="AG608" t="inlineStr">
        <is>
          <t>.</t>
        </is>
      </c>
      <c r="AH608" t="inlineStr">
        <is>
          <t>.</t>
        </is>
      </c>
      <c r="AI608" t="inlineStr">
        <is>
          <t>.</t>
        </is>
      </c>
      <c r="AJ608" t="inlineStr">
        <is>
          <t>.</t>
        </is>
      </c>
      <c r="AK608" t="inlineStr">
        <is>
          <t>.</t>
        </is>
      </c>
      <c r="AL608" t="inlineStr">
        <is>
          <t>.</t>
        </is>
      </c>
    </row>
    <row r="609">
      <c r="A609" t="inlineStr"/>
      <c r="B609">
        <f>HYPERLINK("https://genome.ucsc.edu/cgi-bin/hgTracks?db=hg19&amp;position=chr2%3A89104898%2D89104898", "chr2:89104898")</f>
        <v/>
      </c>
      <c r="C609" t="inlineStr">
        <is>
          <t>chr2</t>
        </is>
      </c>
      <c r="D609" t="n">
        <v>89104898</v>
      </c>
      <c r="E609" t="n">
        <v>89104898</v>
      </c>
      <c r="F609" t="inlineStr">
        <is>
          <t>A</t>
        </is>
      </c>
      <c r="G609" t="inlineStr">
        <is>
          <t>-</t>
        </is>
      </c>
      <c r="H609" t="inlineStr">
        <is>
          <t>96.60</t>
        </is>
      </c>
      <c r="I609" t="inlineStr">
        <is>
          <t>67</t>
        </is>
      </c>
      <c r="J609" t="inlineStr">
        <is>
          <t>60,7</t>
        </is>
      </c>
      <c r="K609" t="inlineStr">
        <is>
          <t>.</t>
        </is>
      </c>
      <c r="L609">
        <f>HYPERLINK("https://www.ncbi.nlm.nih.gov/snp/rs62996860", "rs62996860")</f>
        <v/>
      </c>
      <c r="M609">
        <f>HYPERLINK("https://www.genecards.org/Search/Keyword?queryString=%5Baliases%5D(%20ANKRD36BP2%20)&amp;keywords=ANKRD36BP2", "ANKRD36BP2")</f>
        <v/>
      </c>
      <c r="N609" t="inlineStr">
        <is>
          <t>exonic;intergenic;ncRNA_exonic</t>
        </is>
      </c>
      <c r="O609" t="inlineStr">
        <is>
          <t>frameshift deletion</t>
        </is>
      </c>
      <c r="P609" t="inlineStr">
        <is>
          <t>ANKRD36BP2:uc010fhg.4:exon16:c.657delA:p.Q220Rfs*7;dist=37968;dist=5802</t>
        </is>
      </c>
      <c r="Q609" t="n">
        <v>-1</v>
      </c>
      <c r="R609" t="n">
        <v>-1</v>
      </c>
      <c r="S609" t="n">
        <v>-1</v>
      </c>
      <c r="T609" t="n">
        <v>-1</v>
      </c>
      <c r="U609" t="n">
        <v>-1</v>
      </c>
      <c r="V609" t="inlineStr">
        <is>
          <t>.</t>
        </is>
      </c>
      <c r="W609" t="inlineStr">
        <is>
          <t>.</t>
        </is>
      </c>
      <c r="X609" t="inlineStr">
        <is>
          <t>.</t>
        </is>
      </c>
      <c r="Y609" t="inlineStr">
        <is>
          <t>.</t>
        </is>
      </c>
      <c r="Z609" t="inlineStr">
        <is>
          <t>.</t>
        </is>
      </c>
      <c r="AA609" t="inlineStr">
        <is>
          <t>.</t>
        </is>
      </c>
      <c r="AB609" t="inlineStr">
        <is>
          <t>.</t>
        </is>
      </c>
      <c r="AC609" t="inlineStr">
        <is>
          <t>.</t>
        </is>
      </c>
      <c r="AD609" t="inlineStr">
        <is>
          <t>2</t>
        </is>
      </c>
      <c r="AE609" t="inlineStr">
        <is>
          <t>.</t>
        </is>
      </c>
      <c r="AF609" t="inlineStr">
        <is>
          <t>ankyrin repeat domain 36B pseudogene 2</t>
        </is>
      </c>
      <c r="AG609" t="inlineStr">
        <is>
          <t>.</t>
        </is>
      </c>
      <c r="AH609" t="inlineStr">
        <is>
          <t>.</t>
        </is>
      </c>
      <c r="AI609" t="inlineStr">
        <is>
          <t>.</t>
        </is>
      </c>
      <c r="AJ609" t="inlineStr">
        <is>
          <t>.</t>
        </is>
      </c>
      <c r="AK609" t="inlineStr">
        <is>
          <t>.</t>
        </is>
      </c>
      <c r="AL609" t="inlineStr">
        <is>
          <t>.</t>
        </is>
      </c>
    </row>
    <row r="610">
      <c r="A610" t="inlineStr"/>
      <c r="B610">
        <f>HYPERLINK("https://genome.ucsc.edu/cgi-bin/hgTracks?db=hg19&amp;position=chr2%3A95542344%2D95542344", "chr2:95542344")</f>
        <v/>
      </c>
      <c r="C610" t="inlineStr">
        <is>
          <t>chr2</t>
        </is>
      </c>
      <c r="D610" t="n">
        <v>95542344</v>
      </c>
      <c r="E610" t="n">
        <v>95542344</v>
      </c>
      <c r="F610" t="inlineStr">
        <is>
          <t>C</t>
        </is>
      </c>
      <c r="G610" t="inlineStr">
        <is>
          <t>T</t>
        </is>
      </c>
      <c r="H610" t="inlineStr">
        <is>
          <t>68.64</t>
        </is>
      </c>
      <c r="I610" t="inlineStr">
        <is>
          <t>73</t>
        </is>
      </c>
      <c r="J610" t="inlineStr">
        <is>
          <t>63,10</t>
        </is>
      </c>
      <c r="K610" t="inlineStr">
        <is>
          <t>.</t>
        </is>
      </c>
      <c r="L610">
        <f>HYPERLINK("https://www.ncbi.nlm.nih.gov/snp/rs545808608", "rs545808608")</f>
        <v/>
      </c>
      <c r="M610">
        <f>HYPERLINK("https://www.genecards.org/Search/Keyword?queryString=%5Baliases%5D(%20TEKT4%20)&amp;keywords=TEKT4", "TEKT4")</f>
        <v/>
      </c>
      <c r="N610" t="inlineStr">
        <is>
          <t>exonic</t>
        </is>
      </c>
      <c r="O610" t="inlineStr">
        <is>
          <t>stopgain</t>
        </is>
      </c>
      <c r="P610" t="inlineStr">
        <is>
          <t>TEKT4:NM_001286559:exon6:c.C592T:p.R198X,TEKT4:NM_144705:exon6:c.C1138T:p.R380X;TEKT4:uc002stw.1:exon6:c.C1138T:p.R380X;TEKT4:ENST00000295201.5_3:exon6:c.C1138T:p.R380X</t>
        </is>
      </c>
      <c r="Q610" t="n">
        <v>0.001</v>
      </c>
      <c r="R610" t="n">
        <v>-1</v>
      </c>
      <c r="S610" t="n">
        <v>-1</v>
      </c>
      <c r="T610" t="n">
        <v>-1</v>
      </c>
      <c r="U610" t="n">
        <v>-1</v>
      </c>
      <c r="V610" t="inlineStr">
        <is>
          <t>1/3</t>
        </is>
      </c>
      <c r="W610" t="inlineStr">
        <is>
          <t>.</t>
        </is>
      </c>
      <c r="X610" t="inlineStr">
        <is>
          <t>.</t>
        </is>
      </c>
      <c r="Y610" t="inlineStr">
        <is>
          <t>.</t>
        </is>
      </c>
      <c r="Z610" t="inlineStr">
        <is>
          <t>0/7</t>
        </is>
      </c>
      <c r="AA610" t="inlineStr">
        <is>
          <t>Uncertain significance</t>
        </is>
      </c>
      <c r="AB610" t="inlineStr">
        <is>
          <t>.</t>
        </is>
      </c>
      <c r="AC610" t="inlineStr">
        <is>
          <t>0/1</t>
        </is>
      </c>
      <c r="AD610" t="inlineStr">
        <is>
          <t>5</t>
        </is>
      </c>
      <c r="AE610" t="inlineStr">
        <is>
          <t>2.56100307685227e-11</t>
        </is>
      </c>
      <c r="AF610" t="inlineStr">
        <is>
          <t>tektin 4</t>
        </is>
      </c>
      <c r="AG610" t="inlineStr">
        <is>
          <t xml:space="preserve">FUNCTION: Structural component of ciliary and flagellar microtubules. Forms filamentous polymers in the walls of ciliary and flagellar microtubules (By similarity). {ECO:0000250}.; </t>
        </is>
      </c>
      <c r="AH610" t="inlineStr">
        <is>
          <t>.</t>
        </is>
      </c>
      <c r="AI610" t="inlineStr">
        <is>
          <t>.</t>
        </is>
      </c>
      <c r="AJ610" t="inlineStr">
        <is>
          <t>Low Mappability</t>
        </is>
      </c>
      <c r="AK610" t="inlineStr">
        <is>
          <t>.</t>
        </is>
      </c>
      <c r="AL610" t="inlineStr">
        <is>
          <t>NGS_LowStringency</t>
        </is>
      </c>
    </row>
    <row r="611">
      <c r="A611" t="inlineStr"/>
      <c r="B611">
        <f>HYPERLINK("https://genome.ucsc.edu/cgi-bin/hgTracks?db=hg19&amp;position=chr2%3A95542363%2D95542363", "chr2:95542363")</f>
        <v/>
      </c>
      <c r="C611" t="inlineStr">
        <is>
          <t>chr2</t>
        </is>
      </c>
      <c r="D611" t="n">
        <v>95542363</v>
      </c>
      <c r="E611" t="n">
        <v>95542363</v>
      </c>
      <c r="F611" t="inlineStr">
        <is>
          <t>C</t>
        </is>
      </c>
      <c r="G611" t="inlineStr">
        <is>
          <t>G</t>
        </is>
      </c>
      <c r="H611" t="inlineStr">
        <is>
          <t>936.64</t>
        </is>
      </c>
      <c r="I611" t="inlineStr">
        <is>
          <t>90</t>
        </is>
      </c>
      <c r="J611" t="inlineStr">
        <is>
          <t>63,27</t>
        </is>
      </c>
      <c r="K611" t="inlineStr">
        <is>
          <t>.</t>
        </is>
      </c>
      <c r="L611">
        <f>HYPERLINK("https://www.ncbi.nlm.nih.gov/snp/rs112631866", "rs112631866")</f>
        <v/>
      </c>
      <c r="M611">
        <f>HYPERLINK("https://www.genecards.org/Search/Keyword?queryString=%5Baliases%5D(%20TEKT4%20)&amp;keywords=TEKT4", "TEKT4")</f>
        <v/>
      </c>
      <c r="N611" t="inlineStr">
        <is>
          <t>exonic</t>
        </is>
      </c>
      <c r="O611" t="inlineStr">
        <is>
          <t>nonsynonymous SNV</t>
        </is>
      </c>
      <c r="P611" t="inlineStr">
        <is>
          <t>TEKT4:NM_001286559:exon6:c.C611G:p.A204G,TEKT4:NM_144705:exon6:c.C1157G:p.A386G;TEKT4:uc002stw.1:exon6:c.C1157G:p.A386G;TEKT4:ENST00000295201.5_3:exon6:c.C1157G:p.A386G</t>
        </is>
      </c>
      <c r="Q611" t="n">
        <v>0.0002781</v>
      </c>
      <c r="R611" t="n">
        <v>-1</v>
      </c>
      <c r="S611" t="n">
        <v>-1</v>
      </c>
      <c r="T611" t="n">
        <v>-1</v>
      </c>
      <c r="U611" t="n">
        <v>-1</v>
      </c>
      <c r="V611" t="inlineStr">
        <is>
          <t>6/12</t>
        </is>
      </c>
      <c r="W611" t="inlineStr">
        <is>
          <t>.</t>
        </is>
      </c>
      <c r="X611" t="inlineStr">
        <is>
          <t>.</t>
        </is>
      </c>
      <c r="Y611" t="inlineStr">
        <is>
          <t>.</t>
        </is>
      </c>
      <c r="Z611" t="inlineStr">
        <is>
          <t>0/7</t>
        </is>
      </c>
      <c r="AA611" t="inlineStr">
        <is>
          <t>Uncertain significance</t>
        </is>
      </c>
      <c r="AB611" t="inlineStr">
        <is>
          <t>.</t>
        </is>
      </c>
      <c r="AC611" t="inlineStr">
        <is>
          <t>.</t>
        </is>
      </c>
      <c r="AD611" t="inlineStr">
        <is>
          <t>5</t>
        </is>
      </c>
      <c r="AE611" t="inlineStr">
        <is>
          <t>2.56100307685227e-11</t>
        </is>
      </c>
      <c r="AF611" t="inlineStr">
        <is>
          <t>tektin 4</t>
        </is>
      </c>
      <c r="AG611" t="inlineStr">
        <is>
          <t xml:space="preserve">FUNCTION: Structural component of ciliary and flagellar microtubules. Forms filamentous polymers in the walls of ciliary and flagellar microtubules (By similarity). {ECO:0000250}.; </t>
        </is>
      </c>
      <c r="AH611" t="inlineStr">
        <is>
          <t>.</t>
        </is>
      </c>
      <c r="AI611" t="inlineStr">
        <is>
          <t>GenotypeConflict</t>
        </is>
      </c>
      <c r="AJ611" t="inlineStr">
        <is>
          <t>Low Mappability</t>
        </is>
      </c>
      <c r="AK611" t="inlineStr">
        <is>
          <t>.</t>
        </is>
      </c>
      <c r="AL611" t="inlineStr">
        <is>
          <t>NGS_LowStringency</t>
        </is>
      </c>
    </row>
    <row r="612">
      <c r="A612" t="inlineStr"/>
      <c r="B612">
        <f>HYPERLINK("https://genome.ucsc.edu/cgi-bin/hgTracks?db=hg19&amp;position=chr2%3A95542416%2D95542416", "chr2:95542416")</f>
        <v/>
      </c>
      <c r="C612" t="inlineStr">
        <is>
          <t>chr2</t>
        </is>
      </c>
      <c r="D612" t="n">
        <v>95542416</v>
      </c>
      <c r="E612" t="n">
        <v>95542416</v>
      </c>
      <c r="F612" t="inlineStr">
        <is>
          <t>A</t>
        </is>
      </c>
      <c r="G612" t="inlineStr">
        <is>
          <t>G</t>
        </is>
      </c>
      <c r="H612" t="inlineStr">
        <is>
          <t>1158.64</t>
        </is>
      </c>
      <c r="I612" t="inlineStr">
        <is>
          <t>108</t>
        </is>
      </c>
      <c r="J612" t="inlineStr">
        <is>
          <t>73,33</t>
        </is>
      </c>
      <c r="K612" t="inlineStr">
        <is>
          <t>.</t>
        </is>
      </c>
      <c r="L612">
        <f>HYPERLINK("https://www.ncbi.nlm.nih.gov/snp/rs142133592", "rs142133592")</f>
        <v/>
      </c>
      <c r="M612">
        <f>HYPERLINK("https://www.genecards.org/Search/Keyword?queryString=%5Baliases%5D(%20TEKT4%20)&amp;keywords=TEKT4", "TEKT4")</f>
        <v/>
      </c>
      <c r="N612" t="inlineStr">
        <is>
          <t>exonic</t>
        </is>
      </c>
      <c r="O612" t="inlineStr">
        <is>
          <t>nonsynonymous SNV</t>
        </is>
      </c>
      <c r="P612" t="inlineStr">
        <is>
          <t>TEKT4:NM_001286559:exon6:c.A664G:p.I222V,TEKT4:NM_144705:exon6:c.A1210G:p.I404V;TEKT4:uc002stw.1:exon6:c.A1210G:p.I404V;TEKT4:ENST00000295201.5_3:exon6:c.A1210G:p.I404V</t>
        </is>
      </c>
      <c r="Q612" t="n">
        <v>7.12e-05</v>
      </c>
      <c r="R612" t="n">
        <v>-1</v>
      </c>
      <c r="S612" t="n">
        <v>-1</v>
      </c>
      <c r="T612" t="n">
        <v>-1</v>
      </c>
      <c r="U612" t="n">
        <v>-1</v>
      </c>
      <c r="V612" t="inlineStr">
        <is>
          <t>6/11</t>
        </is>
      </c>
      <c r="W612" t="inlineStr">
        <is>
          <t>.</t>
        </is>
      </c>
      <c r="X612" t="inlineStr">
        <is>
          <t>.</t>
        </is>
      </c>
      <c r="Y612" t="inlineStr">
        <is>
          <t>.</t>
        </is>
      </c>
      <c r="Z612" t="inlineStr">
        <is>
          <t>0/7</t>
        </is>
      </c>
      <c r="AA612" t="inlineStr">
        <is>
          <t>Uncertain significance</t>
        </is>
      </c>
      <c r="AB612" t="inlineStr">
        <is>
          <t>.</t>
        </is>
      </c>
      <c r="AC612" t="inlineStr">
        <is>
          <t>0/1</t>
        </is>
      </c>
      <c r="AD612" t="inlineStr">
        <is>
          <t>5</t>
        </is>
      </c>
      <c r="AE612" t="inlineStr">
        <is>
          <t>2.56100307685227e-11</t>
        </is>
      </c>
      <c r="AF612" t="inlineStr">
        <is>
          <t>tektin 4</t>
        </is>
      </c>
      <c r="AG612" t="inlineStr">
        <is>
          <t xml:space="preserve">FUNCTION: Structural component of ciliary and flagellar microtubules. Forms filamentous polymers in the walls of ciliary and flagellar microtubules (By similarity). {ECO:0000250}.; </t>
        </is>
      </c>
      <c r="AH612" t="inlineStr">
        <is>
          <t>.</t>
        </is>
      </c>
      <c r="AI612" t="inlineStr">
        <is>
          <t>.</t>
        </is>
      </c>
      <c r="AJ612" t="inlineStr">
        <is>
          <t>Low Mappability</t>
        </is>
      </c>
      <c r="AK612" t="inlineStr">
        <is>
          <t>.</t>
        </is>
      </c>
      <c r="AL612" t="inlineStr">
        <is>
          <t>NGS_LowStringency</t>
        </is>
      </c>
    </row>
    <row r="613">
      <c r="A613" t="inlineStr"/>
      <c r="B613">
        <f>HYPERLINK("https://genome.ucsc.edu/cgi-bin/hgTracks?db=hg19&amp;position=chr2%3A95542482%2D95542482", "chr2:95542482")</f>
        <v/>
      </c>
      <c r="C613" t="inlineStr">
        <is>
          <t>chr2</t>
        </is>
      </c>
      <c r="D613" t="n">
        <v>95542482</v>
      </c>
      <c r="E613" t="n">
        <v>95542482</v>
      </c>
      <c r="F613" t="inlineStr">
        <is>
          <t>C</t>
        </is>
      </c>
      <c r="G613" t="inlineStr">
        <is>
          <t>A</t>
        </is>
      </c>
      <c r="H613" t="inlineStr">
        <is>
          <t>601.64</t>
        </is>
      </c>
      <c r="I613" t="inlineStr">
        <is>
          <t>90</t>
        </is>
      </c>
      <c r="J613" t="inlineStr">
        <is>
          <t>70,20</t>
        </is>
      </c>
      <c r="K613" t="inlineStr">
        <is>
          <t>.</t>
        </is>
      </c>
      <c r="L613" t="inlineStr">
        <is>
          <t>.</t>
        </is>
      </c>
      <c r="M613">
        <f>HYPERLINK("https://www.genecards.org/Search/Keyword?queryString=%5Baliases%5D(%20TEKT4%20)&amp;keywords=TEKT4", "TEKT4")</f>
        <v/>
      </c>
      <c r="N613" t="inlineStr">
        <is>
          <t>exonic</t>
        </is>
      </c>
      <c r="O613" t="inlineStr">
        <is>
          <t>nonsynonymous SNV</t>
        </is>
      </c>
      <c r="P613" t="inlineStr">
        <is>
          <t>TEKT4:NM_001286559:exon6:c.C730A:p.P244T,TEKT4:NM_144705:exon6:c.C1276A:p.P426T;TEKT4:uc002stw.1:exon6:c.C1276A:p.P426T;TEKT4:ENST00000295201.5_3:exon6:c.C1276A:p.P426T</t>
        </is>
      </c>
      <c r="Q613" t="n">
        <v>6.5e-06</v>
      </c>
      <c r="R613" t="n">
        <v>-1</v>
      </c>
      <c r="S613" t="n">
        <v>-1</v>
      </c>
      <c r="T613" t="n">
        <v>-1</v>
      </c>
      <c r="U613" t="n">
        <v>-1</v>
      </c>
      <c r="V613" t="inlineStr">
        <is>
          <t>8/12</t>
        </is>
      </c>
      <c r="W613" t="inlineStr">
        <is>
          <t>.</t>
        </is>
      </c>
      <c r="X613" t="inlineStr">
        <is>
          <t>.</t>
        </is>
      </c>
      <c r="Y613" t="inlineStr">
        <is>
          <t>.</t>
        </is>
      </c>
      <c r="Z613" t="inlineStr">
        <is>
          <t>1/7</t>
        </is>
      </c>
      <c r="AA613" t="inlineStr">
        <is>
          <t>Uncertain significance</t>
        </is>
      </c>
      <c r="AB613" t="inlineStr">
        <is>
          <t>.</t>
        </is>
      </c>
      <c r="AC613" t="inlineStr">
        <is>
          <t>.</t>
        </is>
      </c>
      <c r="AD613" t="inlineStr">
        <is>
          <t>5</t>
        </is>
      </c>
      <c r="AE613" t="inlineStr">
        <is>
          <t>2.56100307685227e-11</t>
        </is>
      </c>
      <c r="AF613" t="inlineStr">
        <is>
          <t>tektin 4</t>
        </is>
      </c>
      <c r="AG613" t="inlineStr">
        <is>
          <t xml:space="preserve">FUNCTION: Structural component of ciliary and flagellar microtubules. Forms filamentous polymers in the walls of ciliary and flagellar microtubules (By similarity). {ECO:0000250}.; </t>
        </is>
      </c>
      <c r="AH613" t="inlineStr">
        <is>
          <t>.</t>
        </is>
      </c>
      <c r="AI613" t="inlineStr">
        <is>
          <t>.</t>
        </is>
      </c>
      <c r="AJ613" t="inlineStr">
        <is>
          <t>Low Mappability</t>
        </is>
      </c>
      <c r="AK613" t="inlineStr">
        <is>
          <t>.</t>
        </is>
      </c>
      <c r="AL613" t="inlineStr">
        <is>
          <t>NGS_LowStringency</t>
        </is>
      </c>
    </row>
    <row r="614">
      <c r="A614" t="inlineStr"/>
      <c r="B614">
        <f>HYPERLINK("https://genome.ucsc.edu/cgi-bin/hgTracks?db=hg19&amp;position=chr2%3A95542485%2D95542485", "chr2:95542485")</f>
        <v/>
      </c>
      <c r="C614" t="inlineStr">
        <is>
          <t>chr2</t>
        </is>
      </c>
      <c r="D614" t="n">
        <v>95542485</v>
      </c>
      <c r="E614" t="n">
        <v>95542485</v>
      </c>
      <c r="F614" t="inlineStr">
        <is>
          <t>A</t>
        </is>
      </c>
      <c r="G614" t="inlineStr">
        <is>
          <t>C</t>
        </is>
      </c>
      <c r="H614" t="inlineStr">
        <is>
          <t>604.64</t>
        </is>
      </c>
      <c r="I614" t="inlineStr">
        <is>
          <t>89</t>
        </is>
      </c>
      <c r="J614" t="inlineStr">
        <is>
          <t>69,20</t>
        </is>
      </c>
      <c r="K614" t="inlineStr">
        <is>
          <t>.</t>
        </is>
      </c>
      <c r="L614" t="inlineStr">
        <is>
          <t>.</t>
        </is>
      </c>
      <c r="M614">
        <f>HYPERLINK("https://www.genecards.org/Search/Keyword?queryString=%5Baliases%5D(%20TEKT4%20)&amp;keywords=TEKT4", "TEKT4")</f>
        <v/>
      </c>
      <c r="N614" t="inlineStr">
        <is>
          <t>exonic</t>
        </is>
      </c>
      <c r="O614" t="inlineStr">
        <is>
          <t>nonsynonymous SNV</t>
        </is>
      </c>
      <c r="P614" t="inlineStr">
        <is>
          <t>TEKT4:NM_001286559:exon6:c.A733C:p.T245P,TEKT4:NM_144705:exon6:c.A1279C:p.T427P;TEKT4:uc002stw.1:exon6:c.A1279C:p.T427P;TEKT4:ENST00000295201.5_3:exon6:c.A1279C:p.T427P</t>
        </is>
      </c>
      <c r="Q614" t="n">
        <v>6.5e-06</v>
      </c>
      <c r="R614" t="n">
        <v>-1</v>
      </c>
      <c r="S614" t="n">
        <v>-1</v>
      </c>
      <c r="T614" t="n">
        <v>-1</v>
      </c>
      <c r="U614" t="n">
        <v>-1</v>
      </c>
      <c r="V614" t="inlineStr">
        <is>
          <t>4/12</t>
        </is>
      </c>
      <c r="W614" t="inlineStr">
        <is>
          <t>.</t>
        </is>
      </c>
      <c r="X614" t="inlineStr">
        <is>
          <t>.</t>
        </is>
      </c>
      <c r="Y614" t="inlineStr">
        <is>
          <t>.</t>
        </is>
      </c>
      <c r="Z614" t="inlineStr">
        <is>
          <t>0/7</t>
        </is>
      </c>
      <c r="AA614" t="inlineStr">
        <is>
          <t>Uncertain significance</t>
        </is>
      </c>
      <c r="AB614" t="inlineStr">
        <is>
          <t>.</t>
        </is>
      </c>
      <c r="AC614" t="inlineStr">
        <is>
          <t>.</t>
        </is>
      </c>
      <c r="AD614" t="inlineStr">
        <is>
          <t>5</t>
        </is>
      </c>
      <c r="AE614" t="inlineStr">
        <is>
          <t>2.56100307685227e-11</t>
        </is>
      </c>
      <c r="AF614" t="inlineStr">
        <is>
          <t>tektin 4</t>
        </is>
      </c>
      <c r="AG614" t="inlineStr">
        <is>
          <t xml:space="preserve">FUNCTION: Structural component of ciliary and flagellar microtubules. Forms filamentous polymers in the walls of ciliary and flagellar microtubules (By similarity). {ECO:0000250}.; </t>
        </is>
      </c>
      <c r="AH614" t="inlineStr">
        <is>
          <t>.</t>
        </is>
      </c>
      <c r="AI614" t="inlineStr">
        <is>
          <t>.</t>
        </is>
      </c>
      <c r="AJ614" t="inlineStr">
        <is>
          <t>Low Mappability</t>
        </is>
      </c>
      <c r="AK614" t="inlineStr">
        <is>
          <t>.</t>
        </is>
      </c>
      <c r="AL614" t="inlineStr">
        <is>
          <t>NGS_LowStringency</t>
        </is>
      </c>
    </row>
    <row r="615">
      <c r="A615" t="inlineStr"/>
      <c r="B615">
        <f>HYPERLINK("https://genome.ucsc.edu/cgi-bin/hgTracks?db=hg19&amp;position=chr2%3A96517474%2D96517474", "chr2:96517474")</f>
        <v/>
      </c>
      <c r="C615" t="inlineStr">
        <is>
          <t>chr2</t>
        </is>
      </c>
      <c r="D615" t="n">
        <v>96517474</v>
      </c>
      <c r="E615" t="n">
        <v>96517474</v>
      </c>
      <c r="F615" t="inlineStr">
        <is>
          <t>G</t>
        </is>
      </c>
      <c r="G615" t="inlineStr">
        <is>
          <t>A</t>
        </is>
      </c>
      <c r="H615" t="inlineStr">
        <is>
          <t>487.64</t>
        </is>
      </c>
      <c r="I615" t="inlineStr">
        <is>
          <t>146</t>
        </is>
      </c>
      <c r="J615" t="inlineStr">
        <is>
          <t>123,23</t>
        </is>
      </c>
      <c r="K615" t="inlineStr">
        <is>
          <t>.</t>
        </is>
      </c>
      <c r="L615">
        <f>HYPERLINK("https://www.ncbi.nlm.nih.gov/snp/rs76276218", "rs76276218")</f>
        <v/>
      </c>
      <c r="M615">
        <f>HYPERLINK("https://www.genecards.org/Search/Keyword?queryString=%5Baliases%5D(%20ANKRD36C%20)&amp;keywords=ANKRD36C", "ANKRD36C")</f>
        <v/>
      </c>
      <c r="N615" t="inlineStr">
        <is>
          <t>exonic;intergenic</t>
        </is>
      </c>
      <c r="O615" t="inlineStr">
        <is>
          <t>nonsynonymous SNV</t>
        </is>
      </c>
      <c r="P615" t="inlineStr">
        <is>
          <t>ANKRD36C:NM_001310154:exon87:c.C6379T:p.R2127W;dist=24745;dist=4282;ANKRD36C:ENST00000612359.4_3:exon4:c.C358T:p.R120W,ANKRD36C:ENST00000456556.5_6:exon66:c.C5281T:p.R1761W,ANKRD36C:ENST00000295246.7_6:exon86:c.C6304T:p.R2102W</t>
        </is>
      </c>
      <c r="Q615" t="n">
        <v>0.0091</v>
      </c>
      <c r="R615" t="n">
        <v>0.0002</v>
      </c>
      <c r="S615" t="n">
        <v>0.0002</v>
      </c>
      <c r="T615" t="n">
        <v>-1</v>
      </c>
      <c r="U615" t="n">
        <v>0.0002</v>
      </c>
      <c r="V615" t="inlineStr">
        <is>
          <t>3/8</t>
        </is>
      </c>
      <c r="W615" t="inlineStr">
        <is>
          <t>.</t>
        </is>
      </c>
      <c r="X615" t="inlineStr">
        <is>
          <t>.</t>
        </is>
      </c>
      <c r="Y615" t="inlineStr">
        <is>
          <t>.</t>
        </is>
      </c>
      <c r="Z615" t="inlineStr">
        <is>
          <t>0/7</t>
        </is>
      </c>
      <c r="AA615" t="inlineStr">
        <is>
          <t>Benign</t>
        </is>
      </c>
      <c r="AB615" t="inlineStr">
        <is>
          <t>.</t>
        </is>
      </c>
      <c r="AC615" t="inlineStr">
        <is>
          <t>0/1</t>
        </is>
      </c>
      <c r="AD615" t="inlineStr">
        <is>
          <t>13</t>
        </is>
      </c>
      <c r="AE615" t="inlineStr">
        <is>
          <t>.</t>
        </is>
      </c>
      <c r="AF615" t="inlineStr">
        <is>
          <t>ankyrin repeat domain 36C</t>
        </is>
      </c>
      <c r="AG615" t="inlineStr">
        <is>
          <t>.</t>
        </is>
      </c>
      <c r="AH615" t="inlineStr">
        <is>
          <t>.</t>
        </is>
      </c>
      <c r="AI615" t="inlineStr">
        <is>
          <t>.</t>
        </is>
      </c>
      <c r="AJ615" t="inlineStr">
        <is>
          <t>.</t>
        </is>
      </c>
      <c r="AK615" t="inlineStr">
        <is>
          <t>.</t>
        </is>
      </c>
      <c r="AL615" t="inlineStr">
        <is>
          <t>.</t>
        </is>
      </c>
    </row>
    <row r="616">
      <c r="A616" t="inlineStr"/>
      <c r="B616">
        <f>HYPERLINK("https://genome.ucsc.edu/cgi-bin/hgTracks?db=hg19&amp;position=chr2%3A96519559%2D96519562", "chr2:96519559")</f>
        <v/>
      </c>
      <c r="C616" t="inlineStr">
        <is>
          <t>chr2</t>
        </is>
      </c>
      <c r="D616" t="n">
        <v>96519559</v>
      </c>
      <c r="E616" t="n">
        <v>96519562</v>
      </c>
      <c r="F616" t="inlineStr">
        <is>
          <t>TCGT</t>
        </is>
      </c>
      <c r="G616" t="inlineStr">
        <is>
          <t>-</t>
        </is>
      </c>
      <c r="H616" t="inlineStr">
        <is>
          <t>1116.60</t>
        </is>
      </c>
      <c r="I616" t="inlineStr">
        <is>
          <t>135</t>
        </is>
      </c>
      <c r="J616" t="inlineStr">
        <is>
          <t>101,34</t>
        </is>
      </c>
      <c r="K616" t="inlineStr">
        <is>
          <t>.</t>
        </is>
      </c>
      <c r="L616">
        <f>HYPERLINK("https://www.ncbi.nlm.nih.gov/snp/rs373126569", "rs373126569")</f>
        <v/>
      </c>
      <c r="M616">
        <f>HYPERLINK("https://www.genecards.org/Search/Keyword?queryString=%5Baliases%5D(%20ANKRD36C%20)&amp;keywords=ANKRD36C", "ANKRD36C")</f>
        <v/>
      </c>
      <c r="N616" t="inlineStr">
        <is>
          <t>exonic;intergenic</t>
        </is>
      </c>
      <c r="O616" t="inlineStr">
        <is>
          <t>frameshift deletion</t>
        </is>
      </c>
      <c r="P616" t="inlineStr">
        <is>
          <t>ANKRD36C:NM_001310154:exon85:c.6141_6144del:p.K2047Nfs*18;dist=26830;dist=2194;ANKRD36C:ENST00000612359.4_3:exon2:c.120_123del:p.K40Nfs*18,ANKRD36C:ENST00000456556.5_6:exon64:c.5043_5046del:p.K1681Nfs*18,ANKRD36C:ENST00000295246.7_6:exon84:c.6066_6069del:p.K2022Nfs*18</t>
        </is>
      </c>
      <c r="Q616" t="n">
        <v>0.0006015</v>
      </c>
      <c r="R616" t="n">
        <v>-1</v>
      </c>
      <c r="S616" t="n">
        <v>-1</v>
      </c>
      <c r="T616" t="n">
        <v>-1</v>
      </c>
      <c r="U616" t="n">
        <v>-1</v>
      </c>
      <c r="V616" t="inlineStr">
        <is>
          <t>.</t>
        </is>
      </c>
      <c r="W616" t="inlineStr">
        <is>
          <t>.</t>
        </is>
      </c>
      <c r="X616" t="inlineStr">
        <is>
          <t>.</t>
        </is>
      </c>
      <c r="Y616" t="inlineStr">
        <is>
          <t>.</t>
        </is>
      </c>
      <c r="Z616" t="inlineStr">
        <is>
          <t>.</t>
        </is>
      </c>
      <c r="AA616" t="inlineStr">
        <is>
          <t>.</t>
        </is>
      </c>
      <c r="AB616" t="inlineStr">
        <is>
          <t>.</t>
        </is>
      </c>
      <c r="AC616" t="inlineStr">
        <is>
          <t>0/1</t>
        </is>
      </c>
      <c r="AD616" t="inlineStr">
        <is>
          <t>13</t>
        </is>
      </c>
      <c r="AE616" t="inlineStr">
        <is>
          <t>.</t>
        </is>
      </c>
      <c r="AF616" t="inlineStr">
        <is>
          <t>ankyrin repeat domain 36C</t>
        </is>
      </c>
      <c r="AG616" t="inlineStr">
        <is>
          <t>.</t>
        </is>
      </c>
      <c r="AH616" t="inlineStr">
        <is>
          <t>.</t>
        </is>
      </c>
      <c r="AI616" t="inlineStr">
        <is>
          <t>.</t>
        </is>
      </c>
      <c r="AJ616" t="inlineStr">
        <is>
          <t>.</t>
        </is>
      </c>
      <c r="AK616" t="inlineStr">
        <is>
          <t>.</t>
        </is>
      </c>
      <c r="AL616" t="inlineStr">
        <is>
          <t>.</t>
        </is>
      </c>
    </row>
    <row r="617">
      <c r="A617" t="inlineStr"/>
      <c r="B617">
        <f>HYPERLINK("https://genome.ucsc.edu/cgi-bin/hgTracks?db=hg19&amp;position=chr2%3A96519587%2D96519587", "chr2:96519587")</f>
        <v/>
      </c>
      <c r="C617" t="inlineStr">
        <is>
          <t>chr2</t>
        </is>
      </c>
      <c r="D617" t="n">
        <v>96519587</v>
      </c>
      <c r="E617" t="n">
        <v>96519587</v>
      </c>
      <c r="F617" t="inlineStr">
        <is>
          <t>T</t>
        </is>
      </c>
      <c r="G617" t="inlineStr">
        <is>
          <t>C</t>
        </is>
      </c>
      <c r="H617" t="inlineStr">
        <is>
          <t>1252.64</t>
        </is>
      </c>
      <c r="I617" t="inlineStr">
        <is>
          <t>113</t>
        </is>
      </c>
      <c r="J617" t="inlineStr">
        <is>
          <t>77,36</t>
        </is>
      </c>
      <c r="K617" t="inlineStr">
        <is>
          <t>.</t>
        </is>
      </c>
      <c r="L617">
        <f>HYPERLINK("https://www.ncbi.nlm.nih.gov/snp/rs78552738", "rs78552738")</f>
        <v/>
      </c>
      <c r="M617">
        <f>HYPERLINK("https://www.genecards.org/Search/Keyword?queryString=%5Baliases%5D(%20ANKRD36C%20)&amp;keywords=ANKRD36C", "ANKRD36C")</f>
        <v/>
      </c>
      <c r="N617" t="inlineStr">
        <is>
          <t>exonic;intergenic</t>
        </is>
      </c>
      <c r="O617" t="inlineStr">
        <is>
          <t>nonsynonymous SNV</t>
        </is>
      </c>
      <c r="P617" t="inlineStr">
        <is>
          <t>ANKRD36C:NM_001310154:exon85:c.A6116G:p.Q2039R;dist=26858;dist=2169;ANKRD36C:ENST00000612359.4_3:exon2:c.A95G:p.Q32R,ANKRD36C:ENST00000456556.5_6:exon64:c.A5018G:p.Q1673R,ANKRD36C:ENST00000295246.7_6:exon84:c.A6041G:p.Q2014R</t>
        </is>
      </c>
      <c r="Q617" t="n">
        <v>0.0004981</v>
      </c>
      <c r="R617" t="n">
        <v>-1</v>
      </c>
      <c r="S617" t="n">
        <v>-1</v>
      </c>
      <c r="T617" t="n">
        <v>-1</v>
      </c>
      <c r="U617" t="n">
        <v>-1</v>
      </c>
      <c r="V617" t="inlineStr">
        <is>
          <t>3/10</t>
        </is>
      </c>
      <c r="W617" t="inlineStr">
        <is>
          <t>.</t>
        </is>
      </c>
      <c r="X617" t="inlineStr">
        <is>
          <t>.</t>
        </is>
      </c>
      <c r="Y617" t="inlineStr">
        <is>
          <t>.</t>
        </is>
      </c>
      <c r="Z617" t="inlineStr">
        <is>
          <t>1/7</t>
        </is>
      </c>
      <c r="AA617" t="inlineStr">
        <is>
          <t>Uncertain significance</t>
        </is>
      </c>
      <c r="AB617" t="inlineStr">
        <is>
          <t>.</t>
        </is>
      </c>
      <c r="AC617" t="inlineStr">
        <is>
          <t>.</t>
        </is>
      </c>
      <c r="AD617" t="inlineStr">
        <is>
          <t>13</t>
        </is>
      </c>
      <c r="AE617" t="inlineStr">
        <is>
          <t>.</t>
        </is>
      </c>
      <c r="AF617" t="inlineStr">
        <is>
          <t>ankyrin repeat domain 36C</t>
        </is>
      </c>
      <c r="AG617" t="inlineStr">
        <is>
          <t>.</t>
        </is>
      </c>
      <c r="AH617" t="inlineStr">
        <is>
          <t>.</t>
        </is>
      </c>
      <c r="AI617" t="inlineStr">
        <is>
          <t>.</t>
        </is>
      </c>
      <c r="AJ617" t="inlineStr">
        <is>
          <t>.</t>
        </is>
      </c>
      <c r="AK617" t="inlineStr">
        <is>
          <t>.</t>
        </is>
      </c>
      <c r="AL617" t="inlineStr">
        <is>
          <t>.</t>
        </is>
      </c>
    </row>
    <row r="618">
      <c r="A618" t="inlineStr"/>
      <c r="B618">
        <f>HYPERLINK("https://genome.ucsc.edu/cgi-bin/hgTracks?db=hg19&amp;position=chr2%3A96519588%2D96519588", "chr2:96519588")</f>
        <v/>
      </c>
      <c r="C618" t="inlineStr">
        <is>
          <t>chr2</t>
        </is>
      </c>
      <c r="D618" t="n">
        <v>96519588</v>
      </c>
      <c r="E618" t="n">
        <v>96519588</v>
      </c>
      <c r="F618" t="inlineStr">
        <is>
          <t>G</t>
        </is>
      </c>
      <c r="G618" t="inlineStr">
        <is>
          <t>A</t>
        </is>
      </c>
      <c r="H618" t="inlineStr">
        <is>
          <t>1252.64</t>
        </is>
      </c>
      <c r="I618" t="inlineStr">
        <is>
          <t>113</t>
        </is>
      </c>
      <c r="J618" t="inlineStr">
        <is>
          <t>77,36</t>
        </is>
      </c>
      <c r="K618" t="inlineStr">
        <is>
          <t>.</t>
        </is>
      </c>
      <c r="L618">
        <f>HYPERLINK("https://www.ncbi.nlm.nih.gov/snp/rs56121945", "rs56121945")</f>
        <v/>
      </c>
      <c r="M618">
        <f>HYPERLINK("https://www.genecards.org/Search/Keyword?queryString=%5Baliases%5D(%20ANKRD36C%20)&amp;keywords=ANKRD36C", "ANKRD36C")</f>
        <v/>
      </c>
      <c r="N618" t="inlineStr">
        <is>
          <t>exonic;intergenic</t>
        </is>
      </c>
      <c r="O618" t="inlineStr">
        <is>
          <t>stopgain</t>
        </is>
      </c>
      <c r="P618" t="inlineStr">
        <is>
          <t>ANKRD36C:NM_001310154:exon85:c.C6115T:p.Q2039X;dist=26859;dist=2168;ANKRD36C:ENST00000612359.4_3:exon2:c.C94T:p.Q32X,ANKRD36C:ENST00000456556.5_6:exon64:c.C5017T:p.Q1673X,ANKRD36C:ENST00000295246.7_6:exon84:c.C6040T:p.Q2014X</t>
        </is>
      </c>
      <c r="Q618" t="n">
        <v>0.0005045</v>
      </c>
      <c r="R618" t="n">
        <v>-1</v>
      </c>
      <c r="S618" t="n">
        <v>-1</v>
      </c>
      <c r="T618" t="n">
        <v>-1</v>
      </c>
      <c r="U618" t="n">
        <v>-1</v>
      </c>
      <c r="V618" t="inlineStr">
        <is>
          <t>2/2</t>
        </is>
      </c>
      <c r="W618" t="inlineStr">
        <is>
          <t>.</t>
        </is>
      </c>
      <c r="X618" t="inlineStr">
        <is>
          <t>.</t>
        </is>
      </c>
      <c r="Y618" t="inlineStr">
        <is>
          <t>.</t>
        </is>
      </c>
      <c r="Z618" t="inlineStr">
        <is>
          <t>1/7</t>
        </is>
      </c>
      <c r="AA618" t="inlineStr">
        <is>
          <t>Uncertain significance</t>
        </is>
      </c>
      <c r="AB618" t="inlineStr">
        <is>
          <t>.</t>
        </is>
      </c>
      <c r="AC618" t="inlineStr">
        <is>
          <t>.</t>
        </is>
      </c>
      <c r="AD618" t="inlineStr">
        <is>
          <t>13</t>
        </is>
      </c>
      <c r="AE618" t="inlineStr">
        <is>
          <t>.</t>
        </is>
      </c>
      <c r="AF618" t="inlineStr">
        <is>
          <t>ankyrin repeat domain 36C</t>
        </is>
      </c>
      <c r="AG618" t="inlineStr">
        <is>
          <t>.</t>
        </is>
      </c>
      <c r="AH618" t="inlineStr">
        <is>
          <t>.</t>
        </is>
      </c>
      <c r="AI618" t="inlineStr">
        <is>
          <t>.</t>
        </is>
      </c>
      <c r="AJ618" t="inlineStr">
        <is>
          <t>.</t>
        </is>
      </c>
      <c r="AK618" t="inlineStr">
        <is>
          <t>.</t>
        </is>
      </c>
      <c r="AL618" t="inlineStr">
        <is>
          <t>.</t>
        </is>
      </c>
    </row>
    <row r="619">
      <c r="A619" t="inlineStr"/>
      <c r="B619">
        <f>HYPERLINK("https://genome.ucsc.edu/cgi-bin/hgTracks?db=hg19&amp;position=chr2%3A96521245%2D96521248", "chr2:96521245")</f>
        <v/>
      </c>
      <c r="C619" t="inlineStr">
        <is>
          <t>chr2</t>
        </is>
      </c>
      <c r="D619" t="n">
        <v>96521245</v>
      </c>
      <c r="E619" t="n">
        <v>96521248</v>
      </c>
      <c r="F619" t="inlineStr">
        <is>
          <t>TTTT</t>
        </is>
      </c>
      <c r="G619" t="inlineStr">
        <is>
          <t>-</t>
        </is>
      </c>
      <c r="H619" t="inlineStr">
        <is>
          <t>1475.60</t>
        </is>
      </c>
      <c r="I619" t="inlineStr">
        <is>
          <t>607</t>
        </is>
      </c>
      <c r="J619" t="inlineStr">
        <is>
          <t>532,75</t>
        </is>
      </c>
      <c r="K619" t="inlineStr">
        <is>
          <t>.</t>
        </is>
      </c>
      <c r="L619">
        <f>HYPERLINK("https://www.ncbi.nlm.nih.gov/snp/rs200875477", "rs200875477")</f>
        <v/>
      </c>
      <c r="M619">
        <f>HYPERLINK("https://www.genecards.org/Search/Keyword?queryString=%5Baliases%5D(%20ANKRD36C%20)&amp;keywords=ANKRD36C", "ANKRD36C")</f>
        <v/>
      </c>
      <c r="N619" t="inlineStr">
        <is>
          <t>downstream;exonic</t>
        </is>
      </c>
      <c r="O619" t="inlineStr">
        <is>
          <t>frameshift deletion</t>
        </is>
      </c>
      <c r="P619" t="inlineStr">
        <is>
          <t>ANKRD36C:NM_001310154:exon84:c.5859_5862del:p.K1953Nfs*35;dist=508;ANKRD36C:ENST00000456556.5_6:exon63:c.4761_4764del:p.K1587Nfs*35,ANKRD36C:ENST00000295246.7_6:exon83:c.5784_5787del:p.K1928Nfs*35</t>
        </is>
      </c>
      <c r="Q619" t="n">
        <v>6.5e-06</v>
      </c>
      <c r="R619" t="n">
        <v>-1</v>
      </c>
      <c r="S619" t="n">
        <v>-1</v>
      </c>
      <c r="T619" t="n">
        <v>-1</v>
      </c>
      <c r="U619" t="n">
        <v>-1</v>
      </c>
      <c r="V619" t="inlineStr">
        <is>
          <t>.</t>
        </is>
      </c>
      <c r="W619" t="inlineStr">
        <is>
          <t>.</t>
        </is>
      </c>
      <c r="X619" t="inlineStr">
        <is>
          <t>.</t>
        </is>
      </c>
      <c r="Y619" t="inlineStr">
        <is>
          <t>.</t>
        </is>
      </c>
      <c r="Z619" t="inlineStr">
        <is>
          <t>.</t>
        </is>
      </c>
      <c r="AA619" t="inlineStr">
        <is>
          <t>.</t>
        </is>
      </c>
      <c r="AB619" t="inlineStr">
        <is>
          <t>.</t>
        </is>
      </c>
      <c r="AC619" t="inlineStr">
        <is>
          <t>0/1</t>
        </is>
      </c>
      <c r="AD619" t="inlineStr">
        <is>
          <t>13</t>
        </is>
      </c>
      <c r="AE619" t="inlineStr">
        <is>
          <t>.</t>
        </is>
      </c>
      <c r="AF619" t="inlineStr">
        <is>
          <t>ankyrin repeat domain 36C</t>
        </is>
      </c>
      <c r="AG619" t="inlineStr">
        <is>
          <t>.</t>
        </is>
      </c>
      <c r="AH619" t="inlineStr">
        <is>
          <t>.</t>
        </is>
      </c>
      <c r="AI619" t="inlineStr">
        <is>
          <t>.</t>
        </is>
      </c>
      <c r="AJ619" t="inlineStr">
        <is>
          <t>.</t>
        </is>
      </c>
      <c r="AK619" t="inlineStr">
        <is>
          <t>.</t>
        </is>
      </c>
      <c r="AL619" t="inlineStr">
        <is>
          <t>.</t>
        </is>
      </c>
    </row>
    <row r="620">
      <c r="A620" t="inlineStr"/>
      <c r="B620">
        <f>HYPERLINK("https://genome.ucsc.edu/cgi-bin/hgTracks?db=hg19&amp;position=chr2%3A96521337%2D96521337", "chr2:96521337")</f>
        <v/>
      </c>
      <c r="C620" t="inlineStr">
        <is>
          <t>chr2</t>
        </is>
      </c>
      <c r="D620" t="n">
        <v>96521337</v>
      </c>
      <c r="E620" t="n">
        <v>96521337</v>
      </c>
      <c r="F620" t="inlineStr">
        <is>
          <t>G</t>
        </is>
      </c>
      <c r="G620" t="inlineStr">
        <is>
          <t>A</t>
        </is>
      </c>
      <c r="H620" t="inlineStr">
        <is>
          <t>668.64</t>
        </is>
      </c>
      <c r="I620" t="inlineStr">
        <is>
          <t>620</t>
        </is>
      </c>
      <c r="J620" t="inlineStr">
        <is>
          <t>538,82</t>
        </is>
      </c>
      <c r="K620" t="inlineStr">
        <is>
          <t>.</t>
        </is>
      </c>
      <c r="L620">
        <f>HYPERLINK("https://www.ncbi.nlm.nih.gov/snp/rs200422439", "rs200422439")</f>
        <v/>
      </c>
      <c r="M620">
        <f>HYPERLINK("https://www.genecards.org/Search/Keyword?queryString=%5Baliases%5D(%20ANKRD36C%20)&amp;keywords=ANKRD36C", "ANKRD36C")</f>
        <v/>
      </c>
      <c r="N620" t="inlineStr">
        <is>
          <t>downstream;exonic</t>
        </is>
      </c>
      <c r="O620" t="inlineStr">
        <is>
          <t>stopgain</t>
        </is>
      </c>
      <c r="P620" t="inlineStr">
        <is>
          <t>ANKRD36C:NM_001310154:exon84:c.C5770T:p.Q1924X;dist=419;ANKRD36C:ENST00000456556.5_6:exon63:c.C4672T:p.Q1558X,ANKRD36C:ENST00000295246.7_6:exon83:c.C5695T:p.Q1899X</t>
        </is>
      </c>
      <c r="Q620" t="n">
        <v>6.5e-06</v>
      </c>
      <c r="R620" t="n">
        <v>-1</v>
      </c>
      <c r="S620" t="n">
        <v>-1</v>
      </c>
      <c r="T620" t="n">
        <v>-1</v>
      </c>
      <c r="U620" t="n">
        <v>-1</v>
      </c>
      <c r="V620" t="inlineStr">
        <is>
          <t>1/2</t>
        </is>
      </c>
      <c r="W620" t="inlineStr">
        <is>
          <t>.</t>
        </is>
      </c>
      <c r="X620" t="inlineStr">
        <is>
          <t>.</t>
        </is>
      </c>
      <c r="Y620" t="inlineStr">
        <is>
          <t>.</t>
        </is>
      </c>
      <c r="Z620" t="inlineStr">
        <is>
          <t>1/7</t>
        </is>
      </c>
      <c r="AA620" t="inlineStr">
        <is>
          <t>Uncertain significance</t>
        </is>
      </c>
      <c r="AB620" t="inlineStr">
        <is>
          <t>.</t>
        </is>
      </c>
      <c r="AC620" t="inlineStr">
        <is>
          <t>0/1</t>
        </is>
      </c>
      <c r="AD620" t="inlineStr">
        <is>
          <t>13</t>
        </is>
      </c>
      <c r="AE620" t="inlineStr">
        <is>
          <t>.</t>
        </is>
      </c>
      <c r="AF620" t="inlineStr">
        <is>
          <t>ankyrin repeat domain 36C</t>
        </is>
      </c>
      <c r="AG620" t="inlineStr">
        <is>
          <t>.</t>
        </is>
      </c>
      <c r="AH620" t="inlineStr">
        <is>
          <t>.</t>
        </is>
      </c>
      <c r="AI620" t="inlineStr">
        <is>
          <t>.</t>
        </is>
      </c>
      <c r="AJ620" t="inlineStr">
        <is>
          <t>.</t>
        </is>
      </c>
      <c r="AK620" t="inlineStr">
        <is>
          <t>.</t>
        </is>
      </c>
      <c r="AL620" t="inlineStr">
        <is>
          <t>.</t>
        </is>
      </c>
    </row>
    <row r="621">
      <c r="A621" t="inlineStr"/>
      <c r="B621">
        <f>HYPERLINK("https://genome.ucsc.edu/cgi-bin/hgTracks?db=hg19&amp;position=chr2%3A96521448%2D96521448", "chr2:96521448")</f>
        <v/>
      </c>
      <c r="C621" t="inlineStr">
        <is>
          <t>chr2</t>
        </is>
      </c>
      <c r="D621" t="n">
        <v>96521448</v>
      </c>
      <c r="E621" t="n">
        <v>96521448</v>
      </c>
      <c r="F621" t="inlineStr">
        <is>
          <t>-</t>
        </is>
      </c>
      <c r="G621" t="inlineStr">
        <is>
          <t>A</t>
        </is>
      </c>
      <c r="H621" t="inlineStr">
        <is>
          <t>2993.60</t>
        </is>
      </c>
      <c r="I621" t="inlineStr">
        <is>
          <t>573</t>
        </is>
      </c>
      <c r="J621" t="inlineStr">
        <is>
          <t>457,116</t>
        </is>
      </c>
      <c r="K621" t="inlineStr">
        <is>
          <t>.</t>
        </is>
      </c>
      <c r="L621">
        <f>HYPERLINK("https://www.ncbi.nlm.nih.gov/snp/rs113448291", "rs113448291")</f>
        <v/>
      </c>
      <c r="M621">
        <f>HYPERLINK("https://www.genecards.org/Search/Keyword?queryString=%5Baliases%5D(%20ANKRD36C%20)&amp;keywords=ANKRD36C", "ANKRD36C")</f>
        <v/>
      </c>
      <c r="N621" t="inlineStr">
        <is>
          <t>downstream;exonic</t>
        </is>
      </c>
      <c r="O621" t="inlineStr">
        <is>
          <t>stopgain</t>
        </is>
      </c>
      <c r="P621" t="inlineStr">
        <is>
          <t>ANKRD36C:NM_001310154:exon84:c.5658dupT:p.E1887*;dist=308;ANKRD36C:ENST00000456556.5_6:exon63:c.4560dupT:p.E1521*,ANKRD36C:ENST00000295246.7_6:exon83:c.5583dupT:p.E1862*</t>
        </is>
      </c>
      <c r="Q621" t="n">
        <v>0.0008215</v>
      </c>
      <c r="R621" t="n">
        <v>-1</v>
      </c>
      <c r="S621" t="n">
        <v>-1</v>
      </c>
      <c r="T621" t="n">
        <v>-1</v>
      </c>
      <c r="U621" t="n">
        <v>-1</v>
      </c>
      <c r="V621" t="inlineStr">
        <is>
          <t>.</t>
        </is>
      </c>
      <c r="W621" t="inlineStr">
        <is>
          <t>.</t>
        </is>
      </c>
      <c r="X621" t="inlineStr">
        <is>
          <t>.</t>
        </is>
      </c>
      <c r="Y621" t="inlineStr">
        <is>
          <t>.</t>
        </is>
      </c>
      <c r="Z621" t="inlineStr">
        <is>
          <t>.</t>
        </is>
      </c>
      <c r="AA621" t="inlineStr">
        <is>
          <t>.</t>
        </is>
      </c>
      <c r="AB621" t="inlineStr">
        <is>
          <t>.</t>
        </is>
      </c>
      <c r="AC621" t="inlineStr">
        <is>
          <t>0/1</t>
        </is>
      </c>
      <c r="AD621" t="inlineStr">
        <is>
          <t>13</t>
        </is>
      </c>
      <c r="AE621" t="inlineStr">
        <is>
          <t>.</t>
        </is>
      </c>
      <c r="AF621" t="inlineStr">
        <is>
          <t>ankyrin repeat domain 36C</t>
        </is>
      </c>
      <c r="AG621" t="inlineStr">
        <is>
          <t>.</t>
        </is>
      </c>
      <c r="AH621" t="inlineStr">
        <is>
          <t>.</t>
        </is>
      </c>
      <c r="AI621" t="inlineStr">
        <is>
          <t>.</t>
        </is>
      </c>
      <c r="AJ621" t="inlineStr">
        <is>
          <t>.</t>
        </is>
      </c>
      <c r="AK621" t="inlineStr">
        <is>
          <t>.</t>
        </is>
      </c>
      <c r="AL621" t="inlineStr">
        <is>
          <t>.</t>
        </is>
      </c>
    </row>
    <row r="622">
      <c r="A622" t="inlineStr"/>
      <c r="B622">
        <f>HYPERLINK("https://genome.ucsc.edu/cgi-bin/hgTracks?db=hg19&amp;position=chr2%3A96521477%2D96521477", "chr2:96521477")</f>
        <v/>
      </c>
      <c r="C622" t="inlineStr">
        <is>
          <t>chr2</t>
        </is>
      </c>
      <c r="D622" t="n">
        <v>96521477</v>
      </c>
      <c r="E622" t="n">
        <v>96521477</v>
      </c>
      <c r="F622" t="inlineStr">
        <is>
          <t>-</t>
        </is>
      </c>
      <c r="G622" t="inlineStr">
        <is>
          <t>G</t>
        </is>
      </c>
      <c r="H622" t="inlineStr">
        <is>
          <t>5931.60</t>
        </is>
      </c>
      <c r="I622" t="inlineStr">
        <is>
          <t>550</t>
        </is>
      </c>
      <c r="J622" t="inlineStr">
        <is>
          <t>312,238</t>
        </is>
      </c>
      <c r="K622" t="inlineStr">
        <is>
          <t>.</t>
        </is>
      </c>
      <c r="L622" t="inlineStr">
        <is>
          <t>.</t>
        </is>
      </c>
      <c r="M622">
        <f>HYPERLINK("https://www.genecards.org/Search/Keyword?queryString=%5Baliases%5D(%20ANKRD36C%20)&amp;keywords=ANKRD36C", "ANKRD36C")</f>
        <v/>
      </c>
      <c r="N622" t="inlineStr">
        <is>
          <t>downstream;exonic</t>
        </is>
      </c>
      <c r="O622" t="inlineStr">
        <is>
          <t>frameshift insertion</t>
        </is>
      </c>
      <c r="P622" t="inlineStr">
        <is>
          <t>ANKRD36C:NM_001310154:exon84:c.5629dupC:p.L1877Pfs*9;dist=279;ANKRD36C:ENST00000456556.5_6:exon63:c.4531dupC:p.L1511Pfs*9,ANKRD36C:ENST00000295246.7_6:exon83:c.5554dupC:p.L1852Pfs*9</t>
        </is>
      </c>
      <c r="Q622" t="n">
        <v>-1</v>
      </c>
      <c r="R622" t="n">
        <v>-1</v>
      </c>
      <c r="S622" t="n">
        <v>-1</v>
      </c>
      <c r="T622" t="n">
        <v>-1</v>
      </c>
      <c r="U622" t="n">
        <v>-1</v>
      </c>
      <c r="V622" t="inlineStr">
        <is>
          <t>.</t>
        </is>
      </c>
      <c r="W622" t="inlineStr">
        <is>
          <t>.</t>
        </is>
      </c>
      <c r="X622" t="inlineStr">
        <is>
          <t>.</t>
        </is>
      </c>
      <c r="Y622" t="inlineStr">
        <is>
          <t>.</t>
        </is>
      </c>
      <c r="Z622" t="inlineStr">
        <is>
          <t>.</t>
        </is>
      </c>
      <c r="AA622" t="inlineStr">
        <is>
          <t>.</t>
        </is>
      </c>
      <c r="AB622" t="inlineStr">
        <is>
          <t>.</t>
        </is>
      </c>
      <c r="AC622" t="inlineStr">
        <is>
          <t>0/1</t>
        </is>
      </c>
      <c r="AD622" t="inlineStr">
        <is>
          <t>13</t>
        </is>
      </c>
      <c r="AE622" t="inlineStr">
        <is>
          <t>.</t>
        </is>
      </c>
      <c r="AF622" t="inlineStr">
        <is>
          <t>ankyrin repeat domain 36C</t>
        </is>
      </c>
      <c r="AG622" t="inlineStr">
        <is>
          <t>.</t>
        </is>
      </c>
      <c r="AH622" t="inlineStr">
        <is>
          <t>.</t>
        </is>
      </c>
      <c r="AI622" t="inlineStr">
        <is>
          <t>.</t>
        </is>
      </c>
      <c r="AJ622" t="inlineStr">
        <is>
          <t>.</t>
        </is>
      </c>
      <c r="AK622" t="inlineStr">
        <is>
          <t>.</t>
        </is>
      </c>
      <c r="AL622" t="inlineStr">
        <is>
          <t>.</t>
        </is>
      </c>
    </row>
    <row r="623">
      <c r="A623" t="inlineStr"/>
      <c r="B623">
        <f>HYPERLINK("https://genome.ucsc.edu/cgi-bin/hgTracks?db=hg19&amp;position=chr2%3A96521479%2D96521479", "chr2:96521479")</f>
        <v/>
      </c>
      <c r="C623" t="inlineStr">
        <is>
          <t>chr2</t>
        </is>
      </c>
      <c r="D623" t="n">
        <v>96521479</v>
      </c>
      <c r="E623" t="n">
        <v>96521479</v>
      </c>
      <c r="F623" t="inlineStr">
        <is>
          <t>-</t>
        </is>
      </c>
      <c r="G623" t="inlineStr">
        <is>
          <t>T</t>
        </is>
      </c>
      <c r="H623" t="inlineStr">
        <is>
          <t>10123.60</t>
        </is>
      </c>
      <c r="I623" t="inlineStr">
        <is>
          <t>540</t>
        </is>
      </c>
      <c r="J623" t="inlineStr">
        <is>
          <t>156,238</t>
        </is>
      </c>
      <c r="K623" t="inlineStr">
        <is>
          <t>.</t>
        </is>
      </c>
      <c r="L623" t="inlineStr">
        <is>
          <t>.</t>
        </is>
      </c>
      <c r="M623">
        <f>HYPERLINK("https://www.genecards.org/Search/Keyword?queryString=%5Baliases%5D(%20ANKRD36C%20)&amp;keywords=ANKRD36C", "ANKRD36C")</f>
        <v/>
      </c>
      <c r="N623" t="inlineStr">
        <is>
          <t>downstream;exonic</t>
        </is>
      </c>
      <c r="O623" t="inlineStr">
        <is>
          <t>frameshift insertion</t>
        </is>
      </c>
      <c r="P623" t="inlineStr">
        <is>
          <t>ANKRD36C:NM_001310154:exon84:c.5627_5628insA:p.L1877Sfs*9;dist=277;ANKRD36C:ENST00000456556.5_6:exon63:c.4529_4530insA:p.L1511Sfs*9,ANKRD36C:ENST00000295246.7_6:exon83:c.5552_5553insA:p.L1852Sfs*9</t>
        </is>
      </c>
      <c r="Q623" t="n">
        <v>-1</v>
      </c>
      <c r="R623" t="n">
        <v>-1</v>
      </c>
      <c r="S623" t="n">
        <v>-1</v>
      </c>
      <c r="T623" t="n">
        <v>-1</v>
      </c>
      <c r="U623" t="n">
        <v>-1</v>
      </c>
      <c r="V623" t="inlineStr">
        <is>
          <t>.</t>
        </is>
      </c>
      <c r="W623" t="inlineStr">
        <is>
          <t>.</t>
        </is>
      </c>
      <c r="X623" t="inlineStr">
        <is>
          <t>.</t>
        </is>
      </c>
      <c r="Y623" t="inlineStr">
        <is>
          <t>.</t>
        </is>
      </c>
      <c r="Z623" t="inlineStr">
        <is>
          <t>.</t>
        </is>
      </c>
      <c r="AA623" t="inlineStr">
        <is>
          <t>.</t>
        </is>
      </c>
      <c r="AB623" t="inlineStr">
        <is>
          <t>.</t>
        </is>
      </c>
      <c r="AC623" t="inlineStr">
        <is>
          <t>0/1</t>
        </is>
      </c>
      <c r="AD623" t="inlineStr">
        <is>
          <t>13</t>
        </is>
      </c>
      <c r="AE623" t="inlineStr">
        <is>
          <t>.</t>
        </is>
      </c>
      <c r="AF623" t="inlineStr">
        <is>
          <t>ankyrin repeat domain 36C</t>
        </is>
      </c>
      <c r="AG623" t="inlineStr">
        <is>
          <t>.</t>
        </is>
      </c>
      <c r="AH623" t="inlineStr">
        <is>
          <t>.</t>
        </is>
      </c>
      <c r="AI623" t="inlineStr">
        <is>
          <t>.</t>
        </is>
      </c>
      <c r="AJ623" t="inlineStr">
        <is>
          <t>.</t>
        </is>
      </c>
      <c r="AK623" t="inlineStr">
        <is>
          <t>.</t>
        </is>
      </c>
      <c r="AL623" t="inlineStr">
        <is>
          <t>.</t>
        </is>
      </c>
    </row>
    <row r="624">
      <c r="A624" t="inlineStr"/>
      <c r="B624">
        <f>HYPERLINK("https://genome.ucsc.edu/cgi-bin/hgTracks?db=hg19&amp;position=chr2%3A96521483%2D96521484", "chr2:96521483")</f>
        <v/>
      </c>
      <c r="C624" t="inlineStr">
        <is>
          <t>chr2</t>
        </is>
      </c>
      <c r="D624" t="n">
        <v>96521483</v>
      </c>
      <c r="E624" t="n">
        <v>96521484</v>
      </c>
      <c r="F624" t="inlineStr">
        <is>
          <t>TG</t>
        </is>
      </c>
      <c r="G624" t="inlineStr">
        <is>
          <t>-</t>
        </is>
      </c>
      <c r="H624" t="inlineStr">
        <is>
          <t>11814.60</t>
        </is>
      </c>
      <c r="I624" t="inlineStr">
        <is>
          <t>559</t>
        </is>
      </c>
      <c r="J624" t="inlineStr">
        <is>
          <t>162,292</t>
        </is>
      </c>
      <c r="K624" t="inlineStr">
        <is>
          <t>.</t>
        </is>
      </c>
      <c r="L624" t="inlineStr">
        <is>
          <t>.</t>
        </is>
      </c>
      <c r="M624">
        <f>HYPERLINK("https://www.genecards.org/Search/Keyword?queryString=%5Baliases%5D(%20ANKRD36C%20)&amp;keywords=ANKRD36C", "ANKRD36C")</f>
        <v/>
      </c>
      <c r="N624" t="inlineStr">
        <is>
          <t>downstream;exonic</t>
        </is>
      </c>
      <c r="O624" t="inlineStr">
        <is>
          <t>frameshift deletion</t>
        </is>
      </c>
      <c r="P624" t="inlineStr">
        <is>
          <t>ANKRD36C:NM_001310154:exon84:c.5623_5624del:p.H1875Cfs*10;dist=272;ANKRD36C:ENST00000456556.5_6:exon63:c.4525_4526del:p.H1509Cfs*10,ANKRD36C:ENST00000295246.7_6:exon83:c.5548_5549del:p.H1850Cfs*10</t>
        </is>
      </c>
      <c r="Q624" t="n">
        <v>-1</v>
      </c>
      <c r="R624" t="n">
        <v>-1</v>
      </c>
      <c r="S624" t="n">
        <v>-1</v>
      </c>
      <c r="T624" t="n">
        <v>-1</v>
      </c>
      <c r="U624" t="n">
        <v>-1</v>
      </c>
      <c r="V624" t="inlineStr">
        <is>
          <t>.</t>
        </is>
      </c>
      <c r="W624" t="inlineStr">
        <is>
          <t>.</t>
        </is>
      </c>
      <c r="X624" t="inlineStr">
        <is>
          <t>.</t>
        </is>
      </c>
      <c r="Y624" t="inlineStr">
        <is>
          <t>.</t>
        </is>
      </c>
      <c r="Z624" t="inlineStr">
        <is>
          <t>.</t>
        </is>
      </c>
      <c r="AA624" t="inlineStr">
        <is>
          <t>.</t>
        </is>
      </c>
      <c r="AB624" t="inlineStr">
        <is>
          <t>.</t>
        </is>
      </c>
      <c r="AC624" t="inlineStr">
        <is>
          <t>0/1</t>
        </is>
      </c>
      <c r="AD624" t="inlineStr">
        <is>
          <t>13</t>
        </is>
      </c>
      <c r="AE624" t="inlineStr">
        <is>
          <t>.</t>
        </is>
      </c>
      <c r="AF624" t="inlineStr">
        <is>
          <t>ankyrin repeat domain 36C</t>
        </is>
      </c>
      <c r="AG624" t="inlineStr">
        <is>
          <t>.</t>
        </is>
      </c>
      <c r="AH624" t="inlineStr">
        <is>
          <t>.</t>
        </is>
      </c>
      <c r="AI624" t="inlineStr">
        <is>
          <t>.</t>
        </is>
      </c>
      <c r="AJ624" t="inlineStr">
        <is>
          <t>.</t>
        </is>
      </c>
      <c r="AK624" t="inlineStr">
        <is>
          <t>.</t>
        </is>
      </c>
      <c r="AL624" t="inlineStr">
        <is>
          <t>.</t>
        </is>
      </c>
    </row>
    <row r="625">
      <c r="A625" t="inlineStr"/>
      <c r="B625">
        <f>HYPERLINK("https://genome.ucsc.edu/cgi-bin/hgTracks?db=hg19&amp;position=chr2%3A96521487%2D96521487", "chr2:96521487")</f>
        <v/>
      </c>
      <c r="C625" t="inlineStr">
        <is>
          <t>chr2</t>
        </is>
      </c>
      <c r="D625" t="n">
        <v>96521487</v>
      </c>
      <c r="E625" t="n">
        <v>96521487</v>
      </c>
      <c r="F625" t="inlineStr">
        <is>
          <t>-</t>
        </is>
      </c>
      <c r="G625" t="inlineStr">
        <is>
          <t>AC</t>
        </is>
      </c>
      <c r="H625" t="inlineStr">
        <is>
          <t>2610.60</t>
        </is>
      </c>
      <c r="I625" t="inlineStr">
        <is>
          <t>583</t>
        </is>
      </c>
      <c r="J625" t="inlineStr">
        <is>
          <t>478,105</t>
        </is>
      </c>
      <c r="K625" t="inlineStr">
        <is>
          <t>.</t>
        </is>
      </c>
      <c r="L625" t="inlineStr">
        <is>
          <t>.</t>
        </is>
      </c>
      <c r="M625">
        <f>HYPERLINK("https://www.genecards.org/Search/Keyword?queryString=%5Baliases%5D(%20ANKRD36C%20)&amp;keywords=ANKRD36C", "ANKRD36C")</f>
        <v/>
      </c>
      <c r="N625" t="inlineStr">
        <is>
          <t>downstream;exonic</t>
        </is>
      </c>
      <c r="O625" t="inlineStr">
        <is>
          <t>frameshift insertion</t>
        </is>
      </c>
      <c r="P625" t="inlineStr">
        <is>
          <t>ANKRD36C:NM_001310154:exon84:c.5619_5620insGT:p.S1874Vfs*5;dist=269;ANKRD36C:ENST00000456556.5_6:exon63:c.4521_4522insGT:p.S1508Vfs*5,ANKRD36C:ENST00000295246.7_6:exon83:c.5544_5545insGT:p.S1849Vfs*5</t>
        </is>
      </c>
      <c r="Q625" t="n">
        <v>-1</v>
      </c>
      <c r="R625" t="n">
        <v>-1</v>
      </c>
      <c r="S625" t="n">
        <v>-1</v>
      </c>
      <c r="T625" t="n">
        <v>-1</v>
      </c>
      <c r="U625" t="n">
        <v>-1</v>
      </c>
      <c r="V625" t="inlineStr">
        <is>
          <t>.</t>
        </is>
      </c>
      <c r="W625" t="inlineStr">
        <is>
          <t>.</t>
        </is>
      </c>
      <c r="X625" t="inlineStr">
        <is>
          <t>.</t>
        </is>
      </c>
      <c r="Y625" t="inlineStr">
        <is>
          <t>.</t>
        </is>
      </c>
      <c r="Z625" t="inlineStr">
        <is>
          <t>.</t>
        </is>
      </c>
      <c r="AA625" t="inlineStr">
        <is>
          <t>.</t>
        </is>
      </c>
      <c r="AB625" t="inlineStr">
        <is>
          <t>.</t>
        </is>
      </c>
      <c r="AC625" t="inlineStr">
        <is>
          <t>0/1</t>
        </is>
      </c>
      <c r="AD625" t="inlineStr">
        <is>
          <t>13</t>
        </is>
      </c>
      <c r="AE625" t="inlineStr">
        <is>
          <t>.</t>
        </is>
      </c>
      <c r="AF625" t="inlineStr">
        <is>
          <t>ankyrin repeat domain 36C</t>
        </is>
      </c>
      <c r="AG625" t="inlineStr">
        <is>
          <t>.</t>
        </is>
      </c>
      <c r="AH625" t="inlineStr">
        <is>
          <t>.</t>
        </is>
      </c>
      <c r="AI625" t="inlineStr">
        <is>
          <t>.</t>
        </is>
      </c>
      <c r="AJ625" t="inlineStr">
        <is>
          <t>.</t>
        </is>
      </c>
      <c r="AK625" t="inlineStr">
        <is>
          <t>.</t>
        </is>
      </c>
      <c r="AL625" t="inlineStr">
        <is>
          <t>.</t>
        </is>
      </c>
    </row>
    <row r="626">
      <c r="A626" t="inlineStr"/>
      <c r="B626">
        <f>HYPERLINK("https://genome.ucsc.edu/cgi-bin/hgTracks?db=hg19&amp;position=chr2%3A96521607%2D96521607", "chr2:96521607")</f>
        <v/>
      </c>
      <c r="C626" t="inlineStr">
        <is>
          <t>chr2</t>
        </is>
      </c>
      <c r="D626" t="n">
        <v>96521607</v>
      </c>
      <c r="E626" t="n">
        <v>96521607</v>
      </c>
      <c r="F626" t="inlineStr">
        <is>
          <t>G</t>
        </is>
      </c>
      <c r="G626" t="inlineStr">
        <is>
          <t>C</t>
        </is>
      </c>
      <c r="H626" t="inlineStr">
        <is>
          <t>8210.64</t>
        </is>
      </c>
      <c r="I626" t="inlineStr">
        <is>
          <t>393</t>
        </is>
      </c>
      <c r="J626" t="inlineStr">
        <is>
          <t>181,212</t>
        </is>
      </c>
      <c r="K626" t="inlineStr">
        <is>
          <t>.</t>
        </is>
      </c>
      <c r="L626">
        <f>HYPERLINK("https://www.ncbi.nlm.nih.gov/snp/rs77216432", "rs77216432")</f>
        <v/>
      </c>
      <c r="M626">
        <f>HYPERLINK("https://www.genecards.org/Search/Keyword?queryString=%5Baliases%5D(%20ANKRD36C%20)&amp;keywords=ANKRD36C", "ANKRD36C")</f>
        <v/>
      </c>
      <c r="N626" t="inlineStr">
        <is>
          <t>downstream;exonic</t>
        </is>
      </c>
      <c r="O626" t="inlineStr">
        <is>
          <t>nonsynonymous SNV</t>
        </is>
      </c>
      <c r="P626" t="inlineStr">
        <is>
          <t>ANKRD36C:NM_001310154:exon84:c.C5500G:p.R1834G;dist=149;ANKRD36C:ENST00000456556.5_6:exon63:c.C4402G:p.R1468G,ANKRD36C:ENST00000295246.7_6:exon83:c.C5425G:p.R1809G</t>
        </is>
      </c>
      <c r="Q626" t="n">
        <v>1.29e-05</v>
      </c>
      <c r="R626" t="n">
        <v>-1</v>
      </c>
      <c r="S626" t="n">
        <v>-1</v>
      </c>
      <c r="T626" t="n">
        <v>-1</v>
      </c>
      <c r="U626" t="n">
        <v>-1</v>
      </c>
      <c r="V626" t="inlineStr">
        <is>
          <t>4/10</t>
        </is>
      </c>
      <c r="W626" t="inlineStr">
        <is>
          <t>.</t>
        </is>
      </c>
      <c r="X626" t="inlineStr">
        <is>
          <t>.</t>
        </is>
      </c>
      <c r="Y626" t="inlineStr">
        <is>
          <t>.</t>
        </is>
      </c>
      <c r="Z626" t="inlineStr">
        <is>
          <t>2/7</t>
        </is>
      </c>
      <c r="AA626" t="inlineStr">
        <is>
          <t>Uncertain significance</t>
        </is>
      </c>
      <c r="AB626" t="inlineStr">
        <is>
          <t>.</t>
        </is>
      </c>
      <c r="AC626" t="inlineStr">
        <is>
          <t>.</t>
        </is>
      </c>
      <c r="AD626" t="inlineStr">
        <is>
          <t>13</t>
        </is>
      </c>
      <c r="AE626" t="inlineStr">
        <is>
          <t>.</t>
        </is>
      </c>
      <c r="AF626" t="inlineStr">
        <is>
          <t>ankyrin repeat domain 36C</t>
        </is>
      </c>
      <c r="AG626" t="inlineStr">
        <is>
          <t>.</t>
        </is>
      </c>
      <c r="AH626" t="inlineStr">
        <is>
          <t>.</t>
        </is>
      </c>
      <c r="AI626" t="inlineStr">
        <is>
          <t>GenotypeConflict</t>
        </is>
      </c>
      <c r="AJ626" t="inlineStr">
        <is>
          <t>.</t>
        </is>
      </c>
      <c r="AK626" t="inlineStr">
        <is>
          <t>.</t>
        </is>
      </c>
      <c r="AL626" t="inlineStr">
        <is>
          <t>.</t>
        </is>
      </c>
    </row>
    <row r="627">
      <c r="A627" t="inlineStr"/>
      <c r="B627">
        <f>HYPERLINK("https://genome.ucsc.edu/cgi-bin/hgTracks?db=hg19&amp;position=chr2%3A96521609%2D96521609", "chr2:96521609")</f>
        <v/>
      </c>
      <c r="C627" t="inlineStr">
        <is>
          <t>chr2</t>
        </is>
      </c>
      <c r="D627" t="n">
        <v>96521609</v>
      </c>
      <c r="E627" t="n">
        <v>96521609</v>
      </c>
      <c r="F627" t="inlineStr">
        <is>
          <t>T</t>
        </is>
      </c>
      <c r="G627" t="inlineStr">
        <is>
          <t>C</t>
        </is>
      </c>
      <c r="H627" t="inlineStr">
        <is>
          <t>7901.64</t>
        </is>
      </c>
      <c r="I627" t="inlineStr">
        <is>
          <t>382</t>
        </is>
      </c>
      <c r="J627" t="inlineStr">
        <is>
          <t>180,202</t>
        </is>
      </c>
      <c r="K627" t="inlineStr">
        <is>
          <t>.</t>
        </is>
      </c>
      <c r="L627">
        <f>HYPERLINK("https://www.ncbi.nlm.nih.gov/snp/rs77089740", "rs77089740")</f>
        <v/>
      </c>
      <c r="M627">
        <f>HYPERLINK("https://www.genecards.org/Search/Keyword?queryString=%5Baliases%5D(%20ANKRD36C%20)&amp;keywords=ANKRD36C", "ANKRD36C")</f>
        <v/>
      </c>
      <c r="N627" t="inlineStr">
        <is>
          <t>downstream;exonic</t>
        </is>
      </c>
      <c r="O627" t="inlineStr">
        <is>
          <t>nonsynonymous SNV</t>
        </is>
      </c>
      <c r="P627" t="inlineStr">
        <is>
          <t>ANKRD36C:NM_001310154:exon84:c.A5498G:p.Y1833C;dist=147;ANKRD36C:ENST00000456556.5_6:exon63:c.A4400G:p.Y1467C,ANKRD36C:ENST00000295246.7_6:exon83:c.A5423G:p.Y1808C</t>
        </is>
      </c>
      <c r="Q627" t="n">
        <v>6.5e-06</v>
      </c>
      <c r="R627" t="n">
        <v>-1</v>
      </c>
      <c r="S627" t="n">
        <v>-1</v>
      </c>
      <c r="T627" t="n">
        <v>-1</v>
      </c>
      <c r="U627" t="n">
        <v>-1</v>
      </c>
      <c r="V627" t="inlineStr">
        <is>
          <t>3/10</t>
        </is>
      </c>
      <c r="W627" t="inlineStr">
        <is>
          <t>.</t>
        </is>
      </c>
      <c r="X627" t="inlineStr">
        <is>
          <t>.</t>
        </is>
      </c>
      <c r="Y627" t="inlineStr">
        <is>
          <t>.</t>
        </is>
      </c>
      <c r="Z627" t="inlineStr">
        <is>
          <t>1/7</t>
        </is>
      </c>
      <c r="AA627" t="inlineStr">
        <is>
          <t>Uncertain significance</t>
        </is>
      </c>
      <c r="AB627" t="inlineStr">
        <is>
          <t>.</t>
        </is>
      </c>
      <c r="AC627" t="inlineStr">
        <is>
          <t>.</t>
        </is>
      </c>
      <c r="AD627" t="inlineStr">
        <is>
          <t>13</t>
        </is>
      </c>
      <c r="AE627" t="inlineStr">
        <is>
          <t>.</t>
        </is>
      </c>
      <c r="AF627" t="inlineStr">
        <is>
          <t>ankyrin repeat domain 36C</t>
        </is>
      </c>
      <c r="AG627" t="inlineStr">
        <is>
          <t>.</t>
        </is>
      </c>
      <c r="AH627" t="inlineStr">
        <is>
          <t>.</t>
        </is>
      </c>
      <c r="AI627" t="inlineStr">
        <is>
          <t>GenotypeConflict</t>
        </is>
      </c>
      <c r="AJ627" t="inlineStr">
        <is>
          <t>.</t>
        </is>
      </c>
      <c r="AK627" t="inlineStr">
        <is>
          <t>.</t>
        </is>
      </c>
      <c r="AL627" t="inlineStr">
        <is>
          <t>.</t>
        </is>
      </c>
    </row>
    <row r="628">
      <c r="A628" t="inlineStr"/>
      <c r="B628">
        <f>HYPERLINK("https://genome.ucsc.edu/cgi-bin/hgTracks?db=hg19&amp;position=chr2%3A103317572%2D103317572", "chr2:103317572")</f>
        <v/>
      </c>
      <c r="C628" t="inlineStr">
        <is>
          <t>chr2</t>
        </is>
      </c>
      <c r="D628" t="n">
        <v>103317572</v>
      </c>
      <c r="E628" t="n">
        <v>103317572</v>
      </c>
      <c r="F628" t="inlineStr">
        <is>
          <t>C</t>
        </is>
      </c>
      <c r="G628" t="inlineStr">
        <is>
          <t>T</t>
        </is>
      </c>
      <c r="H628" t="inlineStr">
        <is>
          <t>750.64</t>
        </is>
      </c>
      <c r="I628" t="inlineStr">
        <is>
          <t>99</t>
        </is>
      </c>
      <c r="J628" t="inlineStr">
        <is>
          <t>67,32</t>
        </is>
      </c>
      <c r="K628" t="inlineStr">
        <is>
          <t>.</t>
        </is>
      </c>
      <c r="L628">
        <f>HYPERLINK("https://www.ncbi.nlm.nih.gov/snp/rs754636208", "rs754636208")</f>
        <v/>
      </c>
      <c r="M628">
        <f>HYPERLINK("https://www.genecards.org/Search/Keyword?queryString=%5Baliases%5D(%20SLC9A2%20)&amp;keywords=SLC9A2", "SLC9A2")</f>
        <v/>
      </c>
      <c r="N628" t="inlineStr">
        <is>
          <t>exonic</t>
        </is>
      </c>
      <c r="O628" t="inlineStr">
        <is>
          <t>nonsynonymous SNV</t>
        </is>
      </c>
      <c r="P628" t="inlineStr">
        <is>
          <t>SLC9A2:NM_003048:exon8:c.C1630T:p.R544W;SLC9A2:uc002tca.3:exon8:c.C1630T:p.R544W;SLC9A2:ENST00000233969.3_3:exon8:c.C1630T:p.R544W</t>
        </is>
      </c>
      <c r="Q628" t="n">
        <v>0.003086</v>
      </c>
      <c r="R628" t="n">
        <v>-1</v>
      </c>
      <c r="S628" t="n">
        <v>-1</v>
      </c>
      <c r="T628" t="n">
        <v>-1</v>
      </c>
      <c r="U628" t="n">
        <v>-1</v>
      </c>
      <c r="V628" t="inlineStr">
        <is>
          <t>7/12</t>
        </is>
      </c>
      <c r="W628" t="inlineStr">
        <is>
          <t>.</t>
        </is>
      </c>
      <c r="X628" t="inlineStr">
        <is>
          <t>.</t>
        </is>
      </c>
      <c r="Y628" t="inlineStr">
        <is>
          <t>.</t>
        </is>
      </c>
      <c r="Z628" t="inlineStr">
        <is>
          <t>3/7</t>
        </is>
      </c>
      <c r="AA628" t="inlineStr">
        <is>
          <t>Uncertain significance</t>
        </is>
      </c>
      <c r="AB628" t="inlineStr">
        <is>
          <t>.</t>
        </is>
      </c>
      <c r="AC628" t="inlineStr">
        <is>
          <t>0/1</t>
        </is>
      </c>
      <c r="AD628" t="inlineStr">
        <is>
          <t>1</t>
        </is>
      </c>
      <c r="AE628" t="inlineStr">
        <is>
          <t>0.481161337483386</t>
        </is>
      </c>
      <c r="AF628" t="inlineStr">
        <is>
          <t>solute carrier family 9 member A2</t>
        </is>
      </c>
      <c r="AG628" t="inlineStr">
        <is>
          <t xml:space="preserve">FUNCTION: Involved in pH regulation to eliminate acids generated by active metabolism or to counter adverse environmental conditions. Major proton extruding system driven by the inward sodium ion chemical gradient. Seems to play an important role in colonic sodium absorption.; </t>
        </is>
      </c>
      <c r="AH628" t="inlineStr">
        <is>
          <t>.</t>
        </is>
      </c>
      <c r="AI628" t="inlineStr">
        <is>
          <t>.</t>
        </is>
      </c>
      <c r="AJ628" t="inlineStr">
        <is>
          <t>.</t>
        </is>
      </c>
      <c r="AK628" t="inlineStr">
        <is>
          <t>.</t>
        </is>
      </c>
      <c r="AL628" t="inlineStr">
        <is>
          <t>.</t>
        </is>
      </c>
    </row>
    <row r="629">
      <c r="A629" t="inlineStr"/>
      <c r="B629">
        <f>HYPERLINK("https://genome.ucsc.edu/cgi-bin/hgTracks?db=hg19&amp;position=chr2%3A110343318%2D110343318", "chr2:110343318")</f>
        <v/>
      </c>
      <c r="C629" t="inlineStr">
        <is>
          <t>chr2</t>
        </is>
      </c>
      <c r="D629" t="n">
        <v>110343318</v>
      </c>
      <c r="E629" t="n">
        <v>110343318</v>
      </c>
      <c r="F629" t="inlineStr">
        <is>
          <t>C</t>
        </is>
      </c>
      <c r="G629" t="inlineStr">
        <is>
          <t>T</t>
        </is>
      </c>
      <c r="H629" t="inlineStr">
        <is>
          <t>356.64</t>
        </is>
      </c>
      <c r="I629" t="inlineStr">
        <is>
          <t>61</t>
        </is>
      </c>
      <c r="J629" t="inlineStr">
        <is>
          <t>44,17</t>
        </is>
      </c>
      <c r="K629" t="inlineStr">
        <is>
          <t>.</t>
        </is>
      </c>
      <c r="L629" t="inlineStr">
        <is>
          <t>.</t>
        </is>
      </c>
      <c r="M629">
        <f>HYPERLINK("https://www.genecards.org/Search/Keyword?queryString=%5Baliases%5D(%20SEPT10%20)%20OR%20%5Baliases%5D(%20SEPTIN10%20)&amp;keywords=SEPT10,SEPTIN10", "SEPT10;SEPTIN10")</f>
        <v/>
      </c>
      <c r="N629" t="inlineStr">
        <is>
          <t>exonic</t>
        </is>
      </c>
      <c r="O629" t="inlineStr">
        <is>
          <t>nonsynonymous SNV</t>
        </is>
      </c>
      <c r="P629" t="inlineStr">
        <is>
          <t>SEPTIN10:NM_001321500:exon2:c.G128A:p.C43Y,SEPTIN10:NM_001321502:exon2:c.G128A:p.C43Y,SEPTIN10:NM_001321515:exon2:c.G101A:p.C34Y,SEPTIN10:NM_178584:exon2:c.G128A:p.C43Y,SEPTIN10:NM_001321498:exon3:c.G197A:p.C66Y,SEPTIN10:NM_001321501:exon3:c.G71A:p.C24Y,SEPTIN10:NM_001321509:exon3:c.G71A:p.C24Y,SEPTIN10:NM_001321512:exon3:c.G197A:p.C66Y,SEPTIN10:NM_001321513:exon3:c.G170A:p.C57Y,SEPTIN10:NM_001321514:exon3:c.G152A:p.C51Y,SEPTIN10:NM_144710:exon3:c.G197A:p.C66Y;SEPT10:uc002tex.4:exon2:c.G128A:p.C43Y,SEPT10:uc002tew.4:exon3:c.G197A:p.C66Y,SEPT10:uc002tey.4:exon3:c.G197A:p.C66Y;SEPTIN10:ENST00000397714.6_6:exon2:c.G128A:p.C43Y,SEPTIN10:ENST00000356688.8_6:exon3:c.G197A:p.C66Y,SEPTIN10:ENST00000397712.7_8:exon3:c.G197A:p.C66Y,SEPTIN10:ENST00000415095.5_6:exon3:c.G197A:p.C66Y,SEPTIN10:ENST00000437928.5_6:exon4:c.G152A:p.C51Y</t>
        </is>
      </c>
      <c r="Q629" t="n">
        <v>-1</v>
      </c>
      <c r="R629" t="n">
        <v>-1</v>
      </c>
      <c r="S629" t="n">
        <v>-1</v>
      </c>
      <c r="T629" t="n">
        <v>-1</v>
      </c>
      <c r="U629" t="n">
        <v>-1</v>
      </c>
      <c r="V629" t="inlineStr">
        <is>
          <t>6/12</t>
        </is>
      </c>
      <c r="W629" t="inlineStr">
        <is>
          <t>.</t>
        </is>
      </c>
      <c r="X629" t="inlineStr">
        <is>
          <t>.</t>
        </is>
      </c>
      <c r="Y629" t="inlineStr">
        <is>
          <t>.</t>
        </is>
      </c>
      <c r="Z629" t="inlineStr">
        <is>
          <t>3/7</t>
        </is>
      </c>
      <c r="AA629" t="inlineStr">
        <is>
          <t>Uncertain significance</t>
        </is>
      </c>
      <c r="AB629" t="inlineStr">
        <is>
          <t>.</t>
        </is>
      </c>
      <c r="AC629" t="inlineStr">
        <is>
          <t>0/1</t>
        </is>
      </c>
      <c r="AD629" t="inlineStr">
        <is>
          <t>1;1</t>
        </is>
      </c>
      <c r="AE629" t="inlineStr">
        <is>
          <t>0.00288328636526247</t>
        </is>
      </c>
      <c r="AF629" t="inlineStr">
        <is>
          <t>septin 10</t>
        </is>
      </c>
      <c r="AG629" t="inlineStr">
        <is>
          <t xml:space="preserve">FUNCTION: Filament-forming cytoskeletal GTPase. May play a role in cytokinesis (Potential). {ECO:0000305}.; </t>
        </is>
      </c>
      <c r="AH629" t="inlineStr">
        <is>
          <t>.</t>
        </is>
      </c>
      <c r="AI629" t="inlineStr">
        <is>
          <t>.</t>
        </is>
      </c>
      <c r="AJ629" t="inlineStr">
        <is>
          <t>.</t>
        </is>
      </c>
      <c r="AK629" t="inlineStr">
        <is>
          <t>.</t>
        </is>
      </c>
      <c r="AL629" t="inlineStr">
        <is>
          <t>.</t>
        </is>
      </c>
    </row>
    <row r="630">
      <c r="A630" t="inlineStr"/>
      <c r="B630">
        <f>HYPERLINK("https://genome.ucsc.edu/cgi-bin/hgTracks?db=hg19&amp;position=chr2%3A110372738%2D110372738", "chr2:110372738")</f>
        <v/>
      </c>
      <c r="C630" t="inlineStr">
        <is>
          <t>chr2</t>
        </is>
      </c>
      <c r="D630" t="n">
        <v>110372738</v>
      </c>
      <c r="E630" t="n">
        <v>110372738</v>
      </c>
      <c r="F630" t="inlineStr">
        <is>
          <t>C</t>
        </is>
      </c>
      <c r="G630" t="inlineStr">
        <is>
          <t>-</t>
        </is>
      </c>
      <c r="H630" t="inlineStr">
        <is>
          <t>1034.60</t>
        </is>
      </c>
      <c r="I630" t="inlineStr">
        <is>
          <t>97</t>
        </is>
      </c>
      <c r="J630" t="inlineStr">
        <is>
          <t>64,33</t>
        </is>
      </c>
      <c r="K630" t="inlineStr">
        <is>
          <t>.</t>
        </is>
      </c>
      <c r="L630" t="inlineStr">
        <is>
          <t>.</t>
        </is>
      </c>
      <c r="M630">
        <f>HYPERLINK("https://www.genecards.org/Search/Keyword?queryString=%5Baliases%5D(%20SOWAHC%20)&amp;keywords=SOWAHC", "SOWAHC")</f>
        <v/>
      </c>
      <c r="N630" t="inlineStr">
        <is>
          <t>exonic</t>
        </is>
      </c>
      <c r="O630" t="inlineStr">
        <is>
          <t>frameshift deletion</t>
        </is>
      </c>
      <c r="P630" t="inlineStr">
        <is>
          <t>SOWAHC:NM_023016:exon1:c.672delC:p.S225Afs*38;SOWAHC:uc002tfb.3:exon1:c.672delC:p.S225Afs*38;SOWAHC:ENST00000356454.5_3:exon1:c.672delC:p.S225Afs*38</t>
        </is>
      </c>
      <c r="Q630" t="n">
        <v>-1</v>
      </c>
      <c r="R630" t="n">
        <v>-1</v>
      </c>
      <c r="S630" t="n">
        <v>-1</v>
      </c>
      <c r="T630" t="n">
        <v>-1</v>
      </c>
      <c r="U630" t="n">
        <v>-1</v>
      </c>
      <c r="V630" t="inlineStr">
        <is>
          <t>.</t>
        </is>
      </c>
      <c r="W630" t="inlineStr">
        <is>
          <t>.</t>
        </is>
      </c>
      <c r="X630" t="inlineStr">
        <is>
          <t>.</t>
        </is>
      </c>
      <c r="Y630" t="inlineStr">
        <is>
          <t>.</t>
        </is>
      </c>
      <c r="Z630" t="inlineStr">
        <is>
          <t>.</t>
        </is>
      </c>
      <c r="AA630" t="inlineStr">
        <is>
          <t>.</t>
        </is>
      </c>
      <c r="AB630" t="inlineStr">
        <is>
          <t>.</t>
        </is>
      </c>
      <c r="AC630" t="inlineStr">
        <is>
          <t>0/1</t>
        </is>
      </c>
      <c r="AD630" t="inlineStr">
        <is>
          <t>1</t>
        </is>
      </c>
      <c r="AE630" t="inlineStr">
        <is>
          <t>.</t>
        </is>
      </c>
      <c r="AF630" t="inlineStr">
        <is>
          <t>sosondowah ankyrin repeat domain family member C</t>
        </is>
      </c>
      <c r="AG630" t="inlineStr">
        <is>
          <t>.</t>
        </is>
      </c>
      <c r="AH630" t="inlineStr">
        <is>
          <t>.</t>
        </is>
      </c>
      <c r="AI630" t="inlineStr">
        <is>
          <t>.</t>
        </is>
      </c>
      <c r="AJ630" t="inlineStr">
        <is>
          <t>.</t>
        </is>
      </c>
      <c r="AK630" t="inlineStr">
        <is>
          <t>.</t>
        </is>
      </c>
      <c r="AL630" t="inlineStr">
        <is>
          <t>.</t>
        </is>
      </c>
    </row>
    <row r="631">
      <c r="A631" t="inlineStr"/>
      <c r="B631">
        <f>HYPERLINK("https://genome.ucsc.edu/cgi-bin/hgTracks?db=hg19&amp;position=chr2%3A130897660%2D130897660", "chr2:130897660")</f>
        <v/>
      </c>
      <c r="C631" t="inlineStr">
        <is>
          <t>chr2</t>
        </is>
      </c>
      <c r="D631" t="n">
        <v>130897660</v>
      </c>
      <c r="E631" t="n">
        <v>130897660</v>
      </c>
      <c r="F631" t="inlineStr">
        <is>
          <t>G</t>
        </is>
      </c>
      <c r="G631" t="inlineStr">
        <is>
          <t>A</t>
        </is>
      </c>
      <c r="H631" t="inlineStr">
        <is>
          <t>2254.64</t>
        </is>
      </c>
      <c r="I631" t="inlineStr">
        <is>
          <t>118</t>
        </is>
      </c>
      <c r="J631" t="inlineStr">
        <is>
          <t>27,91</t>
        </is>
      </c>
      <c r="K631" t="inlineStr">
        <is>
          <t>.</t>
        </is>
      </c>
      <c r="L631">
        <f>HYPERLINK("https://www.ncbi.nlm.nih.gov/snp/rs139725529", "rs139725529")</f>
        <v/>
      </c>
      <c r="M631">
        <f>HYPERLINK("https://www.genecards.org/Search/Keyword?queryString=%5Baliases%5D(%20CCDC74B%20)&amp;keywords=CCDC74B", "CCDC74B")</f>
        <v/>
      </c>
      <c r="N631" t="inlineStr">
        <is>
          <t>exonic</t>
        </is>
      </c>
      <c r="O631" t="inlineStr">
        <is>
          <t>nonsynonymous SNV</t>
        </is>
      </c>
      <c r="P631" t="inlineStr">
        <is>
          <t>CCDC74B:NM_001258307:exon6:c.C688T:p.L230F,CCDC74B:NM_207310:exon6:c.C886T:p.L296F;CCDC74B:uc010yzw.2:exon5:c.C1192T:p.L398F,CCDC74B:uc002tqm.2:exon6:c.C886T:p.L296F,CCDC74B:uc002tqn.2:exon6:c.C688T:p.L230F;CCDC74B:ENST00000310463.10_7:exon6:c.C886T:p.L296F,CCDC74B:ENST00000409943.8_5:exon6:c.C688T:p.L230F</t>
        </is>
      </c>
      <c r="Q631" t="n">
        <v>0.008772</v>
      </c>
      <c r="R631" t="n">
        <v>0.0046</v>
      </c>
      <c r="S631" t="n">
        <v>0.0054</v>
      </c>
      <c r="T631" t="n">
        <v>-1</v>
      </c>
      <c r="U631" t="n">
        <v>0.0041</v>
      </c>
      <c r="V631" t="inlineStr">
        <is>
          <t>6/10</t>
        </is>
      </c>
      <c r="W631" t="inlineStr">
        <is>
          <t>.</t>
        </is>
      </c>
      <c r="X631" t="inlineStr">
        <is>
          <t>.</t>
        </is>
      </c>
      <c r="Y631" t="inlineStr">
        <is>
          <t>.</t>
        </is>
      </c>
      <c r="Z631" t="inlineStr">
        <is>
          <t>1/7</t>
        </is>
      </c>
      <c r="AA631" t="inlineStr">
        <is>
          <t>Uncertain significance</t>
        </is>
      </c>
      <c r="AB631" t="inlineStr">
        <is>
          <t>.</t>
        </is>
      </c>
      <c r="AC631" t="inlineStr">
        <is>
          <t>0/1</t>
        </is>
      </c>
      <c r="AD631" t="inlineStr">
        <is>
          <t>1</t>
        </is>
      </c>
      <c r="AE631" t="inlineStr">
        <is>
          <t>1.19190170799534e-06</t>
        </is>
      </c>
      <c r="AF631" t="inlineStr">
        <is>
          <t>coiled-coil domain containing 74B</t>
        </is>
      </c>
      <c r="AG631" t="inlineStr">
        <is>
          <t>.</t>
        </is>
      </c>
      <c r="AH631" t="inlineStr">
        <is>
          <t>.</t>
        </is>
      </c>
      <c r="AI631" t="inlineStr">
        <is>
          <t>.</t>
        </is>
      </c>
      <c r="AJ631" t="inlineStr">
        <is>
          <t>.</t>
        </is>
      </c>
      <c r="AK631" t="inlineStr">
        <is>
          <t>.</t>
        </is>
      </c>
      <c r="AL631" t="inlineStr">
        <is>
          <t>NGS_LowStringency</t>
        </is>
      </c>
    </row>
    <row r="632">
      <c r="A632" t="inlineStr"/>
      <c r="B632">
        <f>HYPERLINK("https://genome.ucsc.edu/cgi-bin/hgTracks?db=hg19&amp;position=chr2%3A138033487%2D138033487", "chr2:138033487")</f>
        <v/>
      </c>
      <c r="C632" t="inlineStr">
        <is>
          <t>chr2</t>
        </is>
      </c>
      <c r="D632" t="n">
        <v>138033487</v>
      </c>
      <c r="E632" t="n">
        <v>138033487</v>
      </c>
      <c r="F632" t="inlineStr">
        <is>
          <t>T</t>
        </is>
      </c>
      <c r="G632" t="inlineStr">
        <is>
          <t>C</t>
        </is>
      </c>
      <c r="H632" t="inlineStr">
        <is>
          <t>512.64</t>
        </is>
      </c>
      <c r="I632" t="inlineStr">
        <is>
          <t>47</t>
        </is>
      </c>
      <c r="J632" t="inlineStr">
        <is>
          <t>25,22</t>
        </is>
      </c>
      <c r="K632" t="inlineStr">
        <is>
          <t>.</t>
        </is>
      </c>
      <c r="L632" t="inlineStr">
        <is>
          <t>.</t>
        </is>
      </c>
      <c r="M632">
        <f>HYPERLINK("https://www.genecards.org/Search/Keyword?queryString=%5Baliases%5D(%20THSD7B%20)&amp;keywords=THSD7B", "THSD7B")</f>
        <v/>
      </c>
      <c r="N632" t="inlineStr">
        <is>
          <t>intronic</t>
        </is>
      </c>
      <c r="O632" t="inlineStr">
        <is>
          <t>.</t>
        </is>
      </c>
      <c r="P632" t="inlineStr">
        <is>
          <t>.</t>
        </is>
      </c>
      <c r="Q632" t="n">
        <v>-1</v>
      </c>
      <c r="R632" t="n">
        <v>-1</v>
      </c>
      <c r="S632" t="n">
        <v>-1</v>
      </c>
      <c r="T632" t="n">
        <v>-1</v>
      </c>
      <c r="U632" t="n">
        <v>-1</v>
      </c>
      <c r="V632" t="inlineStr">
        <is>
          <t>.</t>
        </is>
      </c>
      <c r="W632" t="inlineStr">
        <is>
          <t>T</t>
        </is>
      </c>
      <c r="X632" t="inlineStr">
        <is>
          <t>D</t>
        </is>
      </c>
      <c r="Y632" t="inlineStr">
        <is>
          <t>on</t>
        </is>
      </c>
      <c r="Z632" t="inlineStr">
        <is>
          <t>.</t>
        </is>
      </c>
      <c r="AA632" t="inlineStr">
        <is>
          <t>.</t>
        </is>
      </c>
      <c r="AB632" t="inlineStr">
        <is>
          <t>.</t>
        </is>
      </c>
      <c r="AC632" t="inlineStr">
        <is>
          <t>0/1</t>
        </is>
      </c>
      <c r="AD632" t="inlineStr">
        <is>
          <t>1</t>
        </is>
      </c>
      <c r="AE632" t="inlineStr">
        <is>
          <t>5.65285413355626e-06</t>
        </is>
      </c>
      <c r="AF632" t="inlineStr">
        <is>
          <t>thrombospondin type 1 domain containing 7B</t>
        </is>
      </c>
      <c r="AG632" t="inlineStr">
        <is>
          <t>.</t>
        </is>
      </c>
      <c r="AH632" t="inlineStr">
        <is>
          <t>.</t>
        </is>
      </c>
      <c r="AI632" t="inlineStr">
        <is>
          <t>.</t>
        </is>
      </c>
      <c r="AJ632" t="inlineStr">
        <is>
          <t>.</t>
        </is>
      </c>
      <c r="AK632" t="inlineStr">
        <is>
          <t>.</t>
        </is>
      </c>
      <c r="AL632" t="inlineStr">
        <is>
          <t>.</t>
        </is>
      </c>
    </row>
    <row r="633">
      <c r="A633" t="inlineStr"/>
      <c r="B633">
        <f>HYPERLINK("https://genome.ucsc.edu/cgi-bin/hgTracks?db=hg19&amp;position=chr2%3A149633146%2D149633163", "chr2:149633146")</f>
        <v/>
      </c>
      <c r="C633" t="inlineStr">
        <is>
          <t>chr2</t>
        </is>
      </c>
      <c r="D633" t="n">
        <v>149633146</v>
      </c>
      <c r="E633" t="n">
        <v>149633163</v>
      </c>
      <c r="F633" t="inlineStr">
        <is>
          <t>CCCCCACCCATCCCCGTG</t>
        </is>
      </c>
      <c r="G633" t="inlineStr">
        <is>
          <t>-</t>
        </is>
      </c>
      <c r="H633" t="inlineStr">
        <is>
          <t>887.60</t>
        </is>
      </c>
      <c r="I633" t="inlineStr">
        <is>
          <t>46</t>
        </is>
      </c>
      <c r="J633" t="inlineStr">
        <is>
          <t>23,23</t>
        </is>
      </c>
      <c r="K633" t="inlineStr">
        <is>
          <t>.</t>
        </is>
      </c>
      <c r="L633">
        <f>HYPERLINK("https://www.ncbi.nlm.nih.gov/snp/rs534820275", "rs534820275")</f>
        <v/>
      </c>
      <c r="M633">
        <f>HYPERLINK("https://www.genecards.org/Search/Keyword?queryString=%5Baliases%5D(%20KIF5C%20)&amp;keywords=KIF5C", "KIF5C")</f>
        <v/>
      </c>
      <c r="N633" t="inlineStr">
        <is>
          <t>UTR5;ncRNA_intronic</t>
        </is>
      </c>
      <c r="O633" t="inlineStr">
        <is>
          <t>.</t>
        </is>
      </c>
      <c r="P633" t="inlineStr">
        <is>
          <t>NM_004522:c.-41_-24del-;uc010zbu.2:c.-41_-24del-</t>
        </is>
      </c>
      <c r="Q633" t="n">
        <v>0.0169</v>
      </c>
      <c r="R633" t="n">
        <v>0.0121</v>
      </c>
      <c r="S633" t="n">
        <v>0.013</v>
      </c>
      <c r="T633" t="n">
        <v>-1</v>
      </c>
      <c r="U633" t="n">
        <v>0.0102</v>
      </c>
      <c r="V633" t="inlineStr">
        <is>
          <t>.</t>
        </is>
      </c>
      <c r="W633" t="inlineStr">
        <is>
          <t>.</t>
        </is>
      </c>
      <c r="X633" t="inlineStr">
        <is>
          <t>.</t>
        </is>
      </c>
      <c r="Y633" t="inlineStr">
        <is>
          <t>.</t>
        </is>
      </c>
      <c r="Z633" t="inlineStr">
        <is>
          <t>.</t>
        </is>
      </c>
      <c r="AA633" t="inlineStr">
        <is>
          <t>.</t>
        </is>
      </c>
      <c r="AB633" t="inlineStr">
        <is>
          <t>Likely_benign</t>
        </is>
      </c>
      <c r="AC633" t="inlineStr">
        <is>
          <t>0/1</t>
        </is>
      </c>
      <c r="AD633" t="inlineStr">
        <is>
          <t>1</t>
        </is>
      </c>
      <c r="AE633" t="inlineStr">
        <is>
          <t>0.999515597151875</t>
        </is>
      </c>
      <c r="AF633" t="inlineStr">
        <is>
          <t>kinesin family member 5C</t>
        </is>
      </c>
      <c r="AG633" t="inlineStr">
        <is>
          <t xml:space="preserve">FUNCTION: Mediates dendritic trafficking of mRNAs (By similarity). Kinesin is a microtubule-associated force-producing protein that may play a role in organelle transport. {ECO:0000250}.; </t>
        </is>
      </c>
      <c r="AH633" t="inlineStr">
        <is>
          <t xml:space="preserve">DISEASE: Cortical dysplasia, complex, with other brain malformations 2 (CDCBM2) [MIM:615282]: A disorder of aberrant neuronal migration and disturbed axonal guidance. Clinical features include intrauterine growth retardation, fetal akinesia, seizures, microcephaly, lack of psychomotor development, and arthrogryposis. Brain imaging shows malformations of cortical development, including polymicrogyria, gyral simplification, and thin corpus callosum. {ECO:0000269|PubMed:23603762}. Note=The disease is caused by mutations affecting the gene represented in this entry.; </t>
        </is>
      </c>
      <c r="AI633" t="inlineStr">
        <is>
          <t>.</t>
        </is>
      </c>
      <c r="AJ633" t="inlineStr">
        <is>
          <t>.</t>
        </is>
      </c>
      <c r="AK633" t="inlineStr">
        <is>
          <t>.</t>
        </is>
      </c>
      <c r="AL633" t="inlineStr">
        <is>
          <t>.</t>
        </is>
      </c>
    </row>
    <row r="634">
      <c r="A634" t="inlineStr"/>
      <c r="B634">
        <f>HYPERLINK("https://genome.ucsc.edu/cgi-bin/hgTracks?db=hg19&amp;position=chr2%3A160304865%2D160304865", "chr2:160304865")</f>
        <v/>
      </c>
      <c r="C634" t="inlineStr">
        <is>
          <t>chr2</t>
        </is>
      </c>
      <c r="D634" t="n">
        <v>160304865</v>
      </c>
      <c r="E634" t="n">
        <v>160304865</v>
      </c>
      <c r="F634" t="inlineStr">
        <is>
          <t>A</t>
        </is>
      </c>
      <c r="G634" t="inlineStr">
        <is>
          <t>C</t>
        </is>
      </c>
      <c r="H634" t="inlineStr">
        <is>
          <t>1682.64</t>
        </is>
      </c>
      <c r="I634" t="inlineStr">
        <is>
          <t>140</t>
        </is>
      </c>
      <c r="J634" t="inlineStr">
        <is>
          <t>73,67</t>
        </is>
      </c>
      <c r="K634" t="inlineStr">
        <is>
          <t>.</t>
        </is>
      </c>
      <c r="L634" t="inlineStr">
        <is>
          <t>.</t>
        </is>
      </c>
      <c r="M634">
        <f>HYPERLINK("https://www.genecards.org/Search/Keyword?queryString=%5Baliases%5D(%20BAZ2B%20)&amp;keywords=BAZ2B", "BAZ2B")</f>
        <v/>
      </c>
      <c r="N634" t="inlineStr">
        <is>
          <t>exonic</t>
        </is>
      </c>
      <c r="O634" t="inlineStr">
        <is>
          <t>nonsynonymous SNV</t>
        </is>
      </c>
      <c r="P634" t="inlineStr">
        <is>
          <t>BAZ2B:NM_001329857:exon4:c.T201G:p.F67L,BAZ2B:NM_001289975:exon5:c.T384G:p.F128L,BAZ2B:NM_001329858:exon5:c.T390G:p.F130L,BAZ2B:NM_013450:exon5:c.T390G:p.F130L;BAZ2B:uc002uaq.1:exon2:c.T174G:p.F58L,BAZ2B:uc002uat.4:exon3:c.T201G:p.F67L,BAZ2B:uc002uas.1:exon4:c.T201G:p.F67L,BAZ2B:uc010fop.1:exon4:c.T384G:p.F128L,BAZ2B:uc002uao.3:exon5:c.T390G:p.F130L,BAZ2B:uc002uap.3:exon5:c.T384G:p.F128L,BAZ2B:uc002uau.1:exon8:c.T384G:p.F128L;BAZ2B:ENST00000392782.5_6:exon5:c.T384G:p.F128L,BAZ2B:ENST00000392783.7_7:exon5:c.T390G:p.F130L</t>
        </is>
      </c>
      <c r="Q634" t="n">
        <v>-1</v>
      </c>
      <c r="R634" t="n">
        <v>-1</v>
      </c>
      <c r="S634" t="n">
        <v>-1</v>
      </c>
      <c r="T634" t="n">
        <v>-1</v>
      </c>
      <c r="U634" t="n">
        <v>-1</v>
      </c>
      <c r="V634" t="inlineStr">
        <is>
          <t>4/11</t>
        </is>
      </c>
      <c r="W634" t="inlineStr">
        <is>
          <t>.</t>
        </is>
      </c>
      <c r="X634" t="inlineStr">
        <is>
          <t>.</t>
        </is>
      </c>
      <c r="Y634" t="inlineStr">
        <is>
          <t>.</t>
        </is>
      </c>
      <c r="Z634" t="inlineStr">
        <is>
          <t>1/7</t>
        </is>
      </c>
      <c r="AA634" t="inlineStr">
        <is>
          <t>Uncertain significance</t>
        </is>
      </c>
      <c r="AB634" t="inlineStr">
        <is>
          <t>.</t>
        </is>
      </c>
      <c r="AC634" t="inlineStr">
        <is>
          <t>0/1</t>
        </is>
      </c>
      <c r="AD634" t="inlineStr">
        <is>
          <t>1</t>
        </is>
      </c>
      <c r="AE634" t="inlineStr">
        <is>
          <t>0.999921440363501</t>
        </is>
      </c>
      <c r="AF634" t="inlineStr">
        <is>
          <t>bromodomain adjacent to zinc finger domain 2B</t>
        </is>
      </c>
      <c r="AG634" t="inlineStr">
        <is>
          <t xml:space="preserve">FUNCTION: May play a role in transcriptional regulation interacting with ISWI.; </t>
        </is>
      </c>
      <c r="AH634" t="inlineStr">
        <is>
          <t>.</t>
        </is>
      </c>
      <c r="AI634" t="inlineStr">
        <is>
          <t>.</t>
        </is>
      </c>
      <c r="AJ634" t="inlineStr">
        <is>
          <t>.</t>
        </is>
      </c>
      <c r="AK634" t="inlineStr">
        <is>
          <t>.</t>
        </is>
      </c>
      <c r="AL634" t="inlineStr">
        <is>
          <t>.</t>
        </is>
      </c>
    </row>
    <row r="635">
      <c r="A635" t="inlineStr"/>
      <c r="B635">
        <f>HYPERLINK("https://genome.ucsc.edu/cgi-bin/hgTracks?db=hg19&amp;position=chr2%3A160994217%2D160994217", "chr2:160994217")</f>
        <v/>
      </c>
      <c r="C635" t="inlineStr">
        <is>
          <t>chr2</t>
        </is>
      </c>
      <c r="D635" t="n">
        <v>160994217</v>
      </c>
      <c r="E635" t="n">
        <v>160994217</v>
      </c>
      <c r="F635" t="inlineStr">
        <is>
          <t>T</t>
        </is>
      </c>
      <c r="G635" t="inlineStr">
        <is>
          <t>C</t>
        </is>
      </c>
      <c r="H635" t="inlineStr">
        <is>
          <t>704.64</t>
        </is>
      </c>
      <c r="I635" t="inlineStr">
        <is>
          <t>159</t>
        </is>
      </c>
      <c r="J635" t="inlineStr">
        <is>
          <t>119,40</t>
        </is>
      </c>
      <c r="K635" t="inlineStr">
        <is>
          <t>.</t>
        </is>
      </c>
      <c r="L635" t="inlineStr">
        <is>
          <t>.</t>
        </is>
      </c>
      <c r="M635">
        <f>HYPERLINK("https://www.genecards.org/Search/Keyword?queryString=%5Baliases%5D(%20ITGB6%20)&amp;keywords=ITGB6", "ITGB6")</f>
        <v/>
      </c>
      <c r="N635" t="inlineStr">
        <is>
          <t>exonic</t>
        </is>
      </c>
      <c r="O635" t="inlineStr">
        <is>
          <t>nonsynonymous SNV</t>
        </is>
      </c>
      <c r="P635" t="inlineStr">
        <is>
          <t>ITGB6:NM_001282354:exon8:c.A1103G:p.N368S,ITGB6:NM_001282388:exon9:c.A1262G:p.N421S,ITGB6:NM_001282390:exon9:c.A974G:p.N325S,ITGB6:NM_000888:exon10:c.A1388G:p.N463S,ITGB6:NM_001282355:exon10:c.A1388G:p.N463S,ITGB6:NM_001282389:exon10:c.A1169G:p.N390S,ITGB6:NM_001282353:exon11:c.A1388G:p.N463S;ITGB6:uc010zcq.1:exon9:c.A1262G:p.N421S,ITGB6:uc002ubh.2:exon10:c.A1388G:p.N463S,ITGB6:uc010fou.2:exon10:c.A1388G:p.N463S,ITGB6:uc010fov.1:exon11:c.A1388G:p.N463S;ITGB6:ENST00000620391.4_3:exon8:c.A1103G:p.N368S,ITGB6:ENST00000428609.6_3:exon9:c.A1262G:p.N421S,ITGB6:ENST00000283249.7_5:exon10:c.A1388G:p.N463S,ITGB6:ENST00000409967.6_3:exon10:c.A1388G:p.N463S,ITGB6:ENST00000409872.1_3:exon11:c.A1388G:p.N463S</t>
        </is>
      </c>
      <c r="Q635" t="n">
        <v>-1</v>
      </c>
      <c r="R635" t="n">
        <v>-1</v>
      </c>
      <c r="S635" t="n">
        <v>-1</v>
      </c>
      <c r="T635" t="n">
        <v>-1</v>
      </c>
      <c r="U635" t="n">
        <v>-1</v>
      </c>
      <c r="V635" t="inlineStr">
        <is>
          <t>4/12</t>
        </is>
      </c>
      <c r="W635" t="inlineStr">
        <is>
          <t>.</t>
        </is>
      </c>
      <c r="X635" t="inlineStr">
        <is>
          <t>.</t>
        </is>
      </c>
      <c r="Y635" t="inlineStr">
        <is>
          <t>.</t>
        </is>
      </c>
      <c r="Z635" t="inlineStr">
        <is>
          <t>3/7</t>
        </is>
      </c>
      <c r="AA635" t="inlineStr">
        <is>
          <t>Uncertain significance</t>
        </is>
      </c>
      <c r="AB635" t="inlineStr">
        <is>
          <t>.</t>
        </is>
      </c>
      <c r="AC635" t="inlineStr">
        <is>
          <t>0/1</t>
        </is>
      </c>
      <c r="AD635" t="inlineStr">
        <is>
          <t>1</t>
        </is>
      </c>
      <c r="AE635" t="inlineStr">
        <is>
          <t>1.90571778312696e-15</t>
        </is>
      </c>
      <c r="AF635" t="inlineStr">
        <is>
          <t>integrin subunit beta 6</t>
        </is>
      </c>
      <c r="AG635" t="inlineStr">
        <is>
          <t xml:space="preserve">FUNCTION: Integrin alpha-V/beta-6 is a receptor for fibronectin and cytotactin. It recognizes the sequence R-G-D in its ligands. Internalisation of integrin alpha-V/beta-6 via clathrin-mediated endocytosis promotes carcinoma cell invasion. {ECO:0000269|PubMed:17545607}.; </t>
        </is>
      </c>
      <c r="AH635" t="inlineStr">
        <is>
          <t xml:space="preserve">DISEASE: Amelogenesis imperfecta 1H (AI1H) [MIM:616221]: A disorder characterized by defective enamel formation, resulting in hypoplastic and hypomineralized tooth enamel that may be rough, pitted, and/or discolored. {ECO:0000269|PubMed:24305999, ECO:0000269|PubMed:24319098}. Note=The disease is caused by mutations affecting the gene represented in this entry.; </t>
        </is>
      </c>
      <c r="AI635" t="inlineStr">
        <is>
          <t>.</t>
        </is>
      </c>
      <c r="AJ635" t="inlineStr">
        <is>
          <t>.</t>
        </is>
      </c>
      <c r="AK635" t="inlineStr">
        <is>
          <t>.</t>
        </is>
      </c>
      <c r="AL635" t="inlineStr">
        <is>
          <t>.</t>
        </is>
      </c>
    </row>
    <row r="636">
      <c r="A636" t="inlineStr"/>
      <c r="B636">
        <f>HYPERLINK("https://genome.ucsc.edu/cgi-bin/hgTracks?db=hg19&amp;position=chr2%3A162280376%2D162280376", "chr2:162280376")</f>
        <v/>
      </c>
      <c r="C636" t="inlineStr">
        <is>
          <t>chr2</t>
        </is>
      </c>
      <c r="D636" t="n">
        <v>162280376</v>
      </c>
      <c r="E636" t="n">
        <v>162280376</v>
      </c>
      <c r="F636" t="inlineStr">
        <is>
          <t>C</t>
        </is>
      </c>
      <c r="G636" t="inlineStr">
        <is>
          <t>T</t>
        </is>
      </c>
      <c r="H636" t="inlineStr">
        <is>
          <t>410.64</t>
        </is>
      </c>
      <c r="I636" t="inlineStr">
        <is>
          <t>39</t>
        </is>
      </c>
      <c r="J636" t="inlineStr">
        <is>
          <t>24,15</t>
        </is>
      </c>
      <c r="K636" t="inlineStr">
        <is>
          <t>.</t>
        </is>
      </c>
      <c r="L636" t="inlineStr">
        <is>
          <t>.</t>
        </is>
      </c>
      <c r="M636">
        <f>HYPERLINK("https://www.genecards.org/Search/Keyword?queryString=%5Baliases%5D(%20TBR1%20)&amp;keywords=TBR1", "TBR1")</f>
        <v/>
      </c>
      <c r="N636" t="inlineStr">
        <is>
          <t>exonic</t>
        </is>
      </c>
      <c r="O636" t="inlineStr">
        <is>
          <t>nonsynonymous SNV</t>
        </is>
      </c>
      <c r="P636" t="inlineStr">
        <is>
          <t>TBR1:NM_006593:exon6:c.C1687T:p.P563S;TBR1:uc010foy.2:exon5:c.C826T:p.P276S,TBR1:uc002ubw.1:exon6:c.C1687T:p.P563S;TBR1:ENST00000410035.1_1:exon5:c.C826T:p.P276S,TBR1:ENST00000389554.8_3:exon6:c.C1687T:p.P563S</t>
        </is>
      </c>
      <c r="Q636" t="n">
        <v>-1</v>
      </c>
      <c r="R636" t="n">
        <v>-1</v>
      </c>
      <c r="S636" t="n">
        <v>-1</v>
      </c>
      <c r="T636" t="n">
        <v>-1</v>
      </c>
      <c r="U636" t="n">
        <v>-1</v>
      </c>
      <c r="V636" t="inlineStr">
        <is>
          <t>6/12</t>
        </is>
      </c>
      <c r="W636" t="inlineStr">
        <is>
          <t>.</t>
        </is>
      </c>
      <c r="X636" t="inlineStr">
        <is>
          <t>.</t>
        </is>
      </c>
      <c r="Y636" t="inlineStr">
        <is>
          <t>.</t>
        </is>
      </c>
      <c r="Z636" t="inlineStr">
        <is>
          <t>2/7</t>
        </is>
      </c>
      <c r="AA636" t="inlineStr">
        <is>
          <t>Uncertain significance</t>
        </is>
      </c>
      <c r="AB636" t="inlineStr">
        <is>
          <t>.</t>
        </is>
      </c>
      <c r="AC636" t="inlineStr">
        <is>
          <t>0/1</t>
        </is>
      </c>
      <c r="AD636" t="inlineStr">
        <is>
          <t>1</t>
        </is>
      </c>
      <c r="AE636" t="inlineStr">
        <is>
          <t>0.993588037464593</t>
        </is>
      </c>
      <c r="AF636" t="inlineStr">
        <is>
          <t>T-box, brain 1</t>
        </is>
      </c>
      <c r="AG636" t="inlineStr">
        <is>
          <t xml:space="preserve">FUNCTION: Probable transcriptional regulator involved in developmental processes. Required for normal brain development.; </t>
        </is>
      </c>
      <c r="AH636" t="inlineStr">
        <is>
          <t>.</t>
        </is>
      </c>
      <c r="AI636" t="inlineStr">
        <is>
          <t>.</t>
        </is>
      </c>
      <c r="AJ636" t="inlineStr">
        <is>
          <t>.</t>
        </is>
      </c>
      <c r="AK636" t="inlineStr">
        <is>
          <t>.</t>
        </is>
      </c>
      <c r="AL636" t="inlineStr">
        <is>
          <t>.</t>
        </is>
      </c>
    </row>
    <row r="637">
      <c r="A637" t="inlineStr"/>
      <c r="B637">
        <f>HYPERLINK("https://genome.ucsc.edu/cgi-bin/hgTracks?db=hg19&amp;position=chr2%3A163030242%2D163030242", "chr2:163030242")</f>
        <v/>
      </c>
      <c r="C637" t="inlineStr">
        <is>
          <t>chr2</t>
        </is>
      </c>
      <c r="D637" t="n">
        <v>163030242</v>
      </c>
      <c r="E637" t="n">
        <v>163030242</v>
      </c>
      <c r="F637" t="inlineStr">
        <is>
          <t>C</t>
        </is>
      </c>
      <c r="G637" t="inlineStr">
        <is>
          <t>A</t>
        </is>
      </c>
      <c r="H637" t="inlineStr">
        <is>
          <t>228.64</t>
        </is>
      </c>
      <c r="I637" t="inlineStr">
        <is>
          <t>58</t>
        </is>
      </c>
      <c r="J637" t="inlineStr">
        <is>
          <t>44,14</t>
        </is>
      </c>
      <c r="K637" t="inlineStr">
        <is>
          <t>.</t>
        </is>
      </c>
      <c r="L637" t="inlineStr">
        <is>
          <t>.</t>
        </is>
      </c>
      <c r="M637">
        <f>HYPERLINK("https://www.genecards.org/Search/Keyword?queryString=%5Baliases%5D(%20FAP%20)&amp;keywords=FAP", "FAP")</f>
        <v/>
      </c>
      <c r="N637" t="inlineStr">
        <is>
          <t>exonic</t>
        </is>
      </c>
      <c r="O637" t="inlineStr">
        <is>
          <t>nonsynonymous SNV</t>
        </is>
      </c>
      <c r="P637" t="inlineStr">
        <is>
          <t>FAP:NM_001291807:exon22:c.G1950T:p.E650D,FAP:NM_004460:exon23:c.G2025T:p.E675D;FAP:uc010fpc.3:exon10:c.G672T:p.E224D,FAP:uc010zct.2:exon22:c.G1950T:p.E650D,FAP:uc002ucd.3:exon23:c.G2025T:p.E675D;FAP:ENST00000443424.5_3:exon22:c.G1950T:p.E650D,FAP:ENST00000188790.9_7:exon23:c.G2025T:p.E675D</t>
        </is>
      </c>
      <c r="Q637" t="n">
        <v>-1</v>
      </c>
      <c r="R637" t="n">
        <v>-1</v>
      </c>
      <c r="S637" t="n">
        <v>-1</v>
      </c>
      <c r="T637" t="n">
        <v>-1</v>
      </c>
      <c r="U637" t="n">
        <v>-1</v>
      </c>
      <c r="V637" t="inlineStr">
        <is>
          <t>3/12</t>
        </is>
      </c>
      <c r="W637" t="inlineStr">
        <is>
          <t>.</t>
        </is>
      </c>
      <c r="X637" t="inlineStr">
        <is>
          <t>.</t>
        </is>
      </c>
      <c r="Y637" t="inlineStr">
        <is>
          <t>.</t>
        </is>
      </c>
      <c r="Z637" t="inlineStr">
        <is>
          <t>0/7</t>
        </is>
      </c>
      <c r="AA637" t="inlineStr">
        <is>
          <t>Uncertain significance</t>
        </is>
      </c>
      <c r="AB637" t="inlineStr">
        <is>
          <t>.</t>
        </is>
      </c>
      <c r="AC637" t="inlineStr">
        <is>
          <t>0/1</t>
        </is>
      </c>
      <c r="AD637" t="inlineStr">
        <is>
          <t>1</t>
        </is>
      </c>
      <c r="AE637" t="inlineStr">
        <is>
          <t>3.27312070401378e-11</t>
        </is>
      </c>
      <c r="AF637" t="inlineStr">
        <is>
          <t>fibroblast activation protein alpha</t>
        </is>
      </c>
      <c r="AG637" t="inlineStr">
        <is>
          <t xml:space="preserve">FUNCTION: Cell surface glycoprotein serine protease that participates in extracellular matrix degradation and involved in many cellular processes including tissue remodeling, fibrosis, wound healing, inflammation and tumor growth. Both plasma membrane and soluble forms exhibit post-proline cleaving endopeptidase activity, with a marked preference for Ala/Ser-Gly-Pro-Ser/Asn/Ala consensus sequences, on substrate such as alpha-2-antiplasmin SERPINF2 and SPRY2 (PubMed:14751930, PubMed:16223769, PubMed:16480718, PubMed:16410248, PubMed:17381073, PubMed:18095711, PubMed:21288888, PubMed:24371721). Degrade also gelatin, heat-denatured type I collagen, but not native collagen type I and IV, vibronectin, tenascin, laminin, fibronectin, fibrin or casein (PubMed:9065413, PubMed:2172980, PubMed:7923219, PubMed:10347120, PubMed:10455171, PubMed:12376466, PubMed:16223769, PubMed:16651416, PubMed:18095711). Have also dipeptidyl peptidase activity, exhibiting the ability to hydrolyze the prolyl bond two residues from the N-terminus of synthetic dipeptide substrates provided that the penultimate residue is proline, with a preference for Ala-Pro, Ile-Pro, Gly-Pro, Arg-Pro and Pro-Pro (PubMed:10347120, PubMed:10593948, PubMed:16175601, PubMed:16223769, PubMed:16651416, PubMed:16410248, PubMed:17381073, PubMed:21314817, PubMed:24371721, PubMed:24717288). Natural neuropeptide hormones for dipeptidyl peptidase are the neuropeptide Y (NPY), peptide YY (PYY), substance P (TAC1) and brain natriuretic peptide 32 (NPPB) (PubMed:21314817). The plasma membrane form, in association with either DPP4, PLAUR or integrins, is involved in the pericellular proteolysis of the extracellular matrix (ECM), and hence promotes cell adhesion, migration and invasion through the ECM. Plays a role in tissue remodeling during development and wound healing. Participates in the cell invasiveness towards the ECM in malignant melanoma cancers. Enhances tumor growth progression by increasing angiogenesis, collagen fiber degradation and apoptosis and by reducing antitumor response of the immune system. Promotes glioma cell invasion through the brain parenchyma by degrading the proteoglycan brevican. Acts as a tumor suppressor in melanocytic cells through regulation of cell proliferation and survival in a serine protease activity-independent manner. {ECO:0000250|UniProtKB:P97321, ECO:0000269|PubMed:10347120, ECO:0000269|PubMed:10455171, ECO:0000269|PubMed:10593948, ECO:0000269|PubMed:12376466, ECO:0000269|PubMed:14751930, ECO:0000269|PubMed:16175601, ECO:0000269|PubMed:16223769, ECO:0000269|PubMed:16410248, ECO:0000269|PubMed:16480718, ECO:0000269|PubMed:16651416, ECO:0000269|PubMed:17105646, ECO:0000269|PubMed:17381073, ECO:0000269|PubMed:18095711, ECO:0000269|PubMed:20707604, ECO:0000269|PubMed:21288888, ECO:0000269|PubMed:21314817, ECO:0000269|PubMed:2172980, ECO:0000269|PubMed:24371721, ECO:0000269|PubMed:24717288, ECO:0000269|PubMed:7923219, ECO:0000269|PubMed:9065413}.; </t>
        </is>
      </c>
      <c r="AH637" t="inlineStr">
        <is>
          <t>.</t>
        </is>
      </c>
      <c r="AI637" t="inlineStr">
        <is>
          <t>.</t>
        </is>
      </c>
      <c r="AJ637" t="inlineStr">
        <is>
          <t>.</t>
        </is>
      </c>
      <c r="AK637" t="inlineStr">
        <is>
          <t>.</t>
        </is>
      </c>
      <c r="AL637" t="inlineStr">
        <is>
          <t>.</t>
        </is>
      </c>
    </row>
    <row r="638">
      <c r="A638" t="inlineStr"/>
      <c r="B638">
        <f>HYPERLINK("https://genome.ucsc.edu/cgi-bin/hgTracks?db=hg19&amp;position=chr2%3A165551295%2D165551295", "chr2:165551295")</f>
        <v/>
      </c>
      <c r="C638" t="inlineStr">
        <is>
          <t>chr2</t>
        </is>
      </c>
      <c r="D638" t="n">
        <v>165551295</v>
      </c>
      <c r="E638" t="n">
        <v>165551295</v>
      </c>
      <c r="F638" t="inlineStr">
        <is>
          <t>-</t>
        </is>
      </c>
      <c r="G638" t="inlineStr">
        <is>
          <t>A</t>
        </is>
      </c>
      <c r="H638" t="inlineStr">
        <is>
          <t>280.60</t>
        </is>
      </c>
      <c r="I638" t="inlineStr">
        <is>
          <t>113</t>
        </is>
      </c>
      <c r="J638" t="inlineStr">
        <is>
          <t>88,20</t>
        </is>
      </c>
      <c r="K638" t="inlineStr">
        <is>
          <t>.</t>
        </is>
      </c>
      <c r="L638">
        <f>HYPERLINK("https://www.ncbi.nlm.nih.gov/snp/rs374805044", "rs374805044")</f>
        <v/>
      </c>
      <c r="M638">
        <f>HYPERLINK("https://www.genecards.org/Search/Keyword?queryString=%5Baliases%5D(%20COBLL1%20)&amp;keywords=COBLL1", "COBLL1")</f>
        <v/>
      </c>
      <c r="N638" t="inlineStr">
        <is>
          <t>exonic</t>
        </is>
      </c>
      <c r="O638" t="inlineStr">
        <is>
          <t>frameshift insertion</t>
        </is>
      </c>
      <c r="P638" t="inlineStr">
        <is>
          <t>COBLL1:NM_001278461:exon11:c.2606dupT:p.L869Ffs*25,COBLL1:NM_001278460:exon12:c.2744dupT:p.L915Ffs*25,COBLL1:NM_001365670:exon12:c.2741dupT:p.L914Ffs*25,COBLL1:NM_001365672:exon12:c.2606dupT:p.L869Ffs*25,COBLL1:NM_001365673:exon12:c.2606dupT:p.L869Ffs*25,COBLL1:NM_014900:exon12:c.2720dupT:p.L907Ffs*25,COBLL1:NM_001365671:exon13:c.2783dupT:p.L928Ffs*25,COBLL1:NM_001365674:exon13:c.2645dupT:p.L882Ffs*25,COBLL1:NM_001365675:exon13:c.2645dupT:p.L882Ffs*25,COBLL1:NM_001278458:exon15:c.2921dupT:p.L974Ffs*25;COBLL1:uc002ucn.3:exon1:c.1004dupT:p.L335Ffs*25,COBLL1:uc002uco.3:exon7:c.1913dupT:p.L638Ffs*25,COBLL1:uc002ucq.3:exon11:c.2606dupT:p.L869Ffs*25,COBLL1:uc002ucp.3:exon12:c.2720dupT:p.L907Ffs*25,COBLL1:uc010zcx.2:exon12:c.2744dupT:p.L915Ffs*25,COBLL1:uc010zcw.2:exon15:c.2921dupT:p.L974Ffs*25;COBLL1:ENST00000375458.6_5:exon11:c.2606dupT:p.L869Ffs*25,COBLL1:ENST00000342193.8_6:exon12:c.2720dupT:p.L907Ffs*25,COBLL1:ENST00000409184.8_7:exon12:c.2744dupT:p.L915Ffs*25,COBLL1:ENST00000652658.2_9:exon12:c.2606dupT:p.L869Ffs*25,COBLL1:ENST00000629362.2_8:exon15:c.2921dupT:p.L974Ffs*25</t>
        </is>
      </c>
      <c r="Q638" t="n">
        <v>0.0002199</v>
      </c>
      <c r="R638" t="n">
        <v>-1</v>
      </c>
      <c r="S638" t="n">
        <v>-1</v>
      </c>
      <c r="T638" t="n">
        <v>-1</v>
      </c>
      <c r="U638" t="n">
        <v>-1</v>
      </c>
      <c r="V638" t="inlineStr">
        <is>
          <t>.</t>
        </is>
      </c>
      <c r="W638" t="inlineStr">
        <is>
          <t>.</t>
        </is>
      </c>
      <c r="X638" t="inlineStr">
        <is>
          <t>.</t>
        </is>
      </c>
      <c r="Y638" t="inlineStr">
        <is>
          <t>.</t>
        </is>
      </c>
      <c r="Z638" t="inlineStr">
        <is>
          <t>.</t>
        </is>
      </c>
      <c r="AA638" t="inlineStr">
        <is>
          <t>.</t>
        </is>
      </c>
      <c r="AB638" t="inlineStr">
        <is>
          <t>.</t>
        </is>
      </c>
      <c r="AC638" t="inlineStr">
        <is>
          <t>0/1</t>
        </is>
      </c>
      <c r="AD638" t="inlineStr">
        <is>
          <t>1</t>
        </is>
      </c>
      <c r="AE638" t="inlineStr">
        <is>
          <t>0.0121973641922403</t>
        </is>
      </c>
      <c r="AF638" t="inlineStr">
        <is>
          <t>cordon-bleu WH2 repeat protein like 1</t>
        </is>
      </c>
      <c r="AG638" t="inlineStr">
        <is>
          <t>.</t>
        </is>
      </c>
      <c r="AH638" t="inlineStr">
        <is>
          <t>.</t>
        </is>
      </c>
      <c r="AI638" t="inlineStr">
        <is>
          <t>GenotypeConflict</t>
        </is>
      </c>
      <c r="AJ638" t="inlineStr">
        <is>
          <t>.</t>
        </is>
      </c>
      <c r="AK638" t="inlineStr">
        <is>
          <t>.</t>
        </is>
      </c>
      <c r="AL638" t="inlineStr">
        <is>
          <t>.</t>
        </is>
      </c>
    </row>
    <row r="639">
      <c r="A639" t="inlineStr"/>
      <c r="B639">
        <f>HYPERLINK("https://genome.ucsc.edu/cgi-bin/hgTracks?db=hg19&amp;position=chr2%3A166245162%2D166245162", "chr2:166245162")</f>
        <v/>
      </c>
      <c r="C639" t="inlineStr">
        <is>
          <t>chr2</t>
        </is>
      </c>
      <c r="D639" t="n">
        <v>166245162</v>
      </c>
      <c r="E639" t="n">
        <v>166245162</v>
      </c>
      <c r="F639" t="inlineStr">
        <is>
          <t>G</t>
        </is>
      </c>
      <c r="G639" t="inlineStr">
        <is>
          <t>T</t>
        </is>
      </c>
      <c r="H639" t="inlineStr">
        <is>
          <t>303.64</t>
        </is>
      </c>
      <c r="I639" t="inlineStr">
        <is>
          <t>131</t>
        </is>
      </c>
      <c r="J639" t="inlineStr">
        <is>
          <t>107,24</t>
        </is>
      </c>
      <c r="K639" t="inlineStr">
        <is>
          <t>.</t>
        </is>
      </c>
      <c r="L639" t="inlineStr">
        <is>
          <t>.</t>
        </is>
      </c>
      <c r="M639">
        <f>HYPERLINK("https://www.genecards.org/Search/Keyword?queryString=%5Baliases%5D(%20SCN2A%20)&amp;keywords=SCN2A", "SCN2A")</f>
        <v/>
      </c>
      <c r="N639" t="inlineStr">
        <is>
          <t>exonic</t>
        </is>
      </c>
      <c r="O639" t="inlineStr">
        <is>
          <t>stopgain</t>
        </is>
      </c>
      <c r="P639" t="inlineStr">
        <is>
          <t>SCN2A:NM_001040142:exon27:c.G4846T:p.E1616X,SCN2A:NM_001371246:exon27:c.G4846T:p.E1616X,SCN2A:NM_001371247:exon27:c.G4846T:p.E1616X,SCN2A:NM_021007:exon27:c.G4846T:p.E1616X,SCN2A:NM_001040143:exon28:c.G4846T:p.E1616X;SCN2A:uc021vry.1:exon3:c.G346T:p.E116X,SCN2A:uc002ude.3:exon26:c.G4846T:p.E1616X,SCN2A:uc002udc.3:exon27:c.G4846T:p.E1616X,SCN2A:uc002udd.3:exon27:c.G4846T:p.E1616X;SCN2A:ENST00000283256.10_5:exon27:c.G4846T:p.E1616X,SCN2A:ENST00000375437.7_9:exon27:c.G4846T:p.E1616X,SCN2A:ENST00000631182.3_6:exon27:c.G4846T:p.E1616X,SCN2A:ENST00000636985.2_4:exon27:c.G4450T:p.E1484X,SCN2A:ENST00000637266.2_5:exon27:c.G4846T:p.E1616X,SCN2A:ENST00000636071.2_4:exon28:c.G4846T:p.E1616X</t>
        </is>
      </c>
      <c r="Q639" t="n">
        <v>-1</v>
      </c>
      <c r="R639" t="n">
        <v>-1</v>
      </c>
      <c r="S639" t="n">
        <v>-1</v>
      </c>
      <c r="T639" t="n">
        <v>-1</v>
      </c>
      <c r="U639" t="n">
        <v>-1</v>
      </c>
      <c r="V639" t="inlineStr">
        <is>
          <t>3/3</t>
        </is>
      </c>
      <c r="W639" t="inlineStr">
        <is>
          <t>.</t>
        </is>
      </c>
      <c r="X639" t="inlineStr">
        <is>
          <t>.</t>
        </is>
      </c>
      <c r="Y639" t="inlineStr">
        <is>
          <t>.</t>
        </is>
      </c>
      <c r="Z639" t="inlineStr">
        <is>
          <t>6/7</t>
        </is>
      </c>
      <c r="AA639" t="inlineStr">
        <is>
          <t>Uncertain significance</t>
        </is>
      </c>
      <c r="AB639" t="inlineStr">
        <is>
          <t>.</t>
        </is>
      </c>
      <c r="AC639" t="inlineStr">
        <is>
          <t>0/1</t>
        </is>
      </c>
      <c r="AD639" t="inlineStr">
        <is>
          <t>1</t>
        </is>
      </c>
      <c r="AE639" t="inlineStr">
        <is>
          <t>0.999999992314383</t>
        </is>
      </c>
      <c r="AF639" t="inlineStr">
        <is>
          <t>sodium voltage-gated channel alpha subunit 2</t>
        </is>
      </c>
      <c r="AG639" t="inlineStr">
        <is>
          <t xml:space="preserve">FUNCTION: Mediates the voltage-dependent sodium ion permeability of excitable membranes. Assuming opened or closed conformations in response to the voltage difference across the membrane, the protein forms a sodium-selective channel through which Na(+) ions may pass in accordance with their electrochemical gradient. {ECO:0000269|PubMed:1325650}.; </t>
        </is>
      </c>
      <c r="AH639" t="inlineStr">
        <is>
          <t xml:space="preserve">DISEASE: Seizures, benign familial infantile 3 (BFIS3) [MIM:607745]: An autosomal dominant disorder in which afebrile seizures occur in clusters during the first year of life, without neurologic sequelae. {ECO:0000269|PubMed:11371648, ECO:0000269|PubMed:12243921, ECO:0000269|PubMed:15048894, ECO:0000269|PubMed:20371507, ECO:0000269|PubMed:22612257}. Note=The disease is caused by mutations affecting the gene represented in this entry.; DISEASE: Epileptic encephalopathy, early infantile, 11 (EIEE11) [MIM:613721]: An autosomal dominant seizure disorder characterized by neonatal or infantile onset of refractory seizures with resultant delayed neurologic development and persistent neurologic abnormalities. Patients may progress to West syndrome, which is characterized by tonic spasms with clustering, arrest of psychomotor development, and hypsarrhythmia on EEG. {ECO:0000269|PubMed:19783390, ECO:0000269|PubMed:19786696, ECO:0000269|PubMed:20956790, ECO:0000269|PubMed:23550958, ECO:0000269|PubMed:23935176}. Note=The disease is caused by mutations affecting the gene represented in this entry.; </t>
        </is>
      </c>
      <c r="AI639" t="inlineStr">
        <is>
          <t>.</t>
        </is>
      </c>
      <c r="AJ639" t="inlineStr">
        <is>
          <t>.</t>
        </is>
      </c>
      <c r="AK639" t="inlineStr">
        <is>
          <t>.</t>
        </is>
      </c>
      <c r="AL639" t="inlineStr">
        <is>
          <t>NGS_LowStringency</t>
        </is>
      </c>
    </row>
    <row r="640">
      <c r="A640" t="inlineStr"/>
      <c r="B640">
        <f>HYPERLINK("https://genome.ucsc.edu/cgi-bin/hgTracks?db=hg19&amp;position=chr2%3A166895915%2D166895916", "chr2:166895915")</f>
        <v/>
      </c>
      <c r="C640" t="inlineStr">
        <is>
          <t>chr2</t>
        </is>
      </c>
      <c r="D640" t="n">
        <v>166895915</v>
      </c>
      <c r="E640" t="n">
        <v>166895916</v>
      </c>
      <c r="F640" t="inlineStr">
        <is>
          <t>TT</t>
        </is>
      </c>
      <c r="G640" t="inlineStr">
        <is>
          <t>-</t>
        </is>
      </c>
      <c r="H640" t="inlineStr">
        <is>
          <t>3302.02</t>
        </is>
      </c>
      <c r="I640" t="inlineStr">
        <is>
          <t>112</t>
        </is>
      </c>
      <c r="J640" t="inlineStr">
        <is>
          <t>2,43,44</t>
        </is>
      </c>
      <c r="K640" t="inlineStr">
        <is>
          <t>.</t>
        </is>
      </c>
      <c r="L640" t="inlineStr">
        <is>
          <t>.</t>
        </is>
      </c>
      <c r="M640">
        <f>HYPERLINK("https://www.genecards.org/Search/Keyword?queryString=%5Baliases%5D(%20SCN1A%20)&amp;keywords=SCN1A", "SCN1A")</f>
        <v/>
      </c>
      <c r="N640" t="inlineStr">
        <is>
          <t>intronic;ncRNA_intronic</t>
        </is>
      </c>
      <c r="O640" t="inlineStr">
        <is>
          <t>.</t>
        </is>
      </c>
      <c r="P640" t="inlineStr">
        <is>
          <t>.</t>
        </is>
      </c>
      <c r="Q640" t="n">
        <v>-1</v>
      </c>
      <c r="R640" t="n">
        <v>-1</v>
      </c>
      <c r="S640" t="n">
        <v>-1</v>
      </c>
      <c r="T640" t="n">
        <v>-1</v>
      </c>
      <c r="U640" t="n">
        <v>-1</v>
      </c>
      <c r="V640" t="inlineStr">
        <is>
          <t>.</t>
        </is>
      </c>
      <c r="W640" t="inlineStr">
        <is>
          <t>.</t>
        </is>
      </c>
      <c r="X640" t="inlineStr">
        <is>
          <t>.</t>
        </is>
      </c>
      <c r="Y640" t="inlineStr">
        <is>
          <t>.</t>
        </is>
      </c>
      <c r="Z640" t="inlineStr">
        <is>
          <t>.</t>
        </is>
      </c>
      <c r="AA640" t="inlineStr">
        <is>
          <t>.</t>
        </is>
      </c>
      <c r="AB640" t="inlineStr">
        <is>
          <t>.</t>
        </is>
      </c>
      <c r="AC640" t="inlineStr">
        <is>
          <t>1/2</t>
        </is>
      </c>
      <c r="AD640" t="inlineStr">
        <is>
          <t>1</t>
        </is>
      </c>
      <c r="AE640" t="inlineStr">
        <is>
          <t>0.999999999535395</t>
        </is>
      </c>
      <c r="AF640" t="inlineStr">
        <is>
          <t>sodium voltage-gated channel alpha subunit 1</t>
        </is>
      </c>
      <c r="AG640" t="inlineStr">
        <is>
          <t xml:space="preserve">FUNCTION: Mediates the voltage-dependent sodium ion permeability of excitable membranes. Assuming opened or closed conformations in response to the voltage difference across the membrane, the protein forms a sodium-selective channel through which Na(+) ions may pass in accordance with their electrochemical gradient.; </t>
        </is>
      </c>
      <c r="AH640" t="inlineStr">
        <is>
          <t xml:space="preserve">DISEASE: Generalized epilepsy with febrile seizures plus 2 (GEFS+2) [MIM:604403]: A rare autosomal dominant, familial condition with incomplete penetrance and large intrafamilial variability. Patients display febrile seizures persisting sometimes beyond the age of 6 years and/or a variety of afebrile seizure types. This disease combines febrile seizures, generalized seizures often precipitated by fever at age 6 years or more, and partial seizures, with a variable degree of severity. {ECO:0000269|PubMed:10742094, ECO:0000269|PubMed:11254444, ECO:0000269|PubMed:11254445, ECO:0000269|PubMed:11524484, ECO:0000269|PubMed:11756608, ECO:0000269|PubMed:12535936, ECO:0000269|PubMed:12576172, ECO:0000269|PubMed:12919402, ECO:0000269|PubMed:14672992, ECO:0000269|PubMed:15525788, ECO:0000269|PubMed:15694566, ECO:0000269|PubMed:15715999, ECO:0000269|PubMed:16525050, ECO:0000269|PubMed:17347258, ECO:0000269|PubMed:17507202, ECO:0000269|PubMed:17561957, ECO:0000269|PubMed:17927801, ECO:0000269|PubMed:18251839, ECO:0000269|PubMed:18413471, ECO:0000269|PubMed:18566737, ECO:0000269|PubMed:19339291, ECO:0000269|PubMed:19464195, ECO:0000269|PubMed:19522081, ECO:0000269|PubMed:20117752, ECO:0000269|PubMed:20550552, ECO:0000269|PubMed:20600615, ECO:0000269|PubMed:20729507, ECO:0000269|PubMed:21248271, ECO:0000269|PubMed:21864321}. Note=The disease is caused by mutations affecting the gene represented in this entry.; DISEASE: Epileptic encephalopathy, early infantile, 6 (EIEE6) [MIM:607208]: A severe form of epileptic encephalopathy characterized by generalized tonic, clonic, and tonic-clonic seizures that are initially induced by fever and begin during the first year of life. Later, patients also manifest other seizure types, including absence, myoclonic, and simple and complex partial seizures. Psychomotor development delay is observed around the second year of life. Some patients manifest a borderline disease phenotype and do not necessarily fulfill all diagnostic criteria for core EIEE6. EIEE6 is considered to be the most severe phenotype within the spectrum of generalized epilepsies with febrile seizures-plus. {ECO:0000269|PubMed:11359211, ECO:0000269|PubMed:12083760, ECO:0000269|PubMed:12566275, ECO:0000269|PubMed:12754708, ECO:0000269|PubMed:12821740, ECO:0000269|PubMed:14504318, ECO:0000269|PubMed:14738421, ECO:0000269|PubMed:15087100, ECO:0000269|PubMed:15944908, ECO:0000269|PubMed:16122630, ECO:0000269|PubMed:16458823, ECO:0000269|PubMed:16713920, ECO:0000269|PubMed:17054684, ECO:0000269|PubMed:17054685, ECO:0000269|PubMed:17129991, ECO:0000269|PubMed:17347258, ECO:0000269|PubMed:17561957, ECO:0000269|PubMed:18413471, ECO:0000269|PubMed:18639757, ECO:0000269|PubMed:18930999, ECO:0000269|PubMed:19522081, ECO:0000269|PubMed:19563458, ECO:0000269|PubMed:19589774, ECO:0000269|PubMed:19783390, ECO:0000269|PubMed:20110217, ECO:0000269|PubMed:20431604, ECO:0000269|PubMed:20452746, ECO:0000269|PubMed:20522430, ECO:0000269|PubMed:20729507, ECO:0000269|PubMed:21248271, ECO:0000269|PubMed:21864321, ECO:0000269|PubMed:22092154, ECO:0000269|PubMed:22612257, ECO:0000269|PubMed:23195492}. Note=The disease is caused by mutations affecting the gene represented in this entry.; DISEASE: Intractable childhood epilepsy with generalized tonic- clonic seizures (ICEGTC) [MIM:607208]: A disorder characterized by generalized tonic-clonic seizures beginning usually in infancy and induced by fever. Seizures are associated with subsequent mental decline, as well as ataxia or hypotonia. ICEGTC is similar to SMEI, except for the absence of myoclonic seizures. {ECO:0000269|PubMed:12566275, ECO:0000269|PubMed:16210358, ECO:0000269|PubMed:17507202, ECO:0000269|PubMed:23195492}. Note=The disease is caused by mutations affecting the gene represented in this entry.; DISEASE: Migraine, familial hemiplegic, 3 (FHM3) [MIM:609634]: A subtype of migraine associated with transient blindness in some families. Migraine is a disabling symptom complex of periodic headaches, usually temporal and unilateral. Headaches are often accompanied by irritability, nausea, vomiting and photophobia, preceded by constriction of the cranial arteries. The two major subtypes are common migraine (migraine without aura) and classic migraine (migraine with aura). Classic migraine is characterized by recurrent attacks of reversible neurological symptoms (aura) that precede or accompany the headache. Aura may include a combination of sensory disturbances, such as blurred vision, hallucinations, vertigo, numbness and difficulty in concentrating and speaking. {ECO:0000269|PubMed:16054936, ECO:0000269|PubMed:17397047, ECO:0000269|PubMed:18021921, ECO:0000269|PubMed:19332696}. Note=The disease is caused by mutations affecting the gene represented in this entry.; DISEASE: Febrile seizures, familial, 3A (FEB3A) [MIM:604403]: Seizures associated with febrile episodes in childhood without any evidence of intracranial infection or defined pathologic or traumatic cause. It is a common condition, affecting 2-5% of children aged 3 months to 5 years. The majority are simple febrile seizures (generally defined as generalized onset, single seizures with a duration of less than 30 minutes). Complex febrile seizures are characterized by focal onset, duration greater than 30 minutes, and/or more than one seizure in a 24 hour period. The likelihood of developing epilepsy following simple febrile seizures is low. Complex febrile seizures are associated with a moderately increased incidence of epilepsy. {ECO:0000269|PubMed:16326807, ECO:0000269|PubMed:19522081}. Note=The disease is caused by mutations affecting the gene represented in this entry.; DISEASE: Note=SCN1A mutations may be involved in Panayiotopoulos syndrome, a benign age-related focal seizure disorder occurring in early and mid-childhood. It is characterized by seizures, often prolonged, with predominantly autonomic symptoms, and by an electroencephalogram that shows shifting and/or multiple foci, often with occipital predominance. Autonomic seizures in Panayiotopoulos syndrome consist of episodes of disturbed autonomic function with emesis as the predominant symptom. Cardiorespiratory arrest is exceptional. {ECO:0000269|PubMed:17679682, ECO:0000269|PubMed:19339291, ECO:0000269|PubMed:19522081}.; </t>
        </is>
      </c>
      <c r="AI640" t="inlineStr">
        <is>
          <t>.</t>
        </is>
      </c>
      <c r="AJ640" t="inlineStr">
        <is>
          <t>.</t>
        </is>
      </c>
      <c r="AK640" t="inlineStr">
        <is>
          <t>.</t>
        </is>
      </c>
      <c r="AL640" t="inlineStr">
        <is>
          <t>.</t>
        </is>
      </c>
    </row>
    <row r="641">
      <c r="A641" t="inlineStr"/>
      <c r="B641">
        <f>HYPERLINK("https://genome.ucsc.edu/cgi-bin/hgTracks?db=hg19&amp;position=chr2%3A168101386%2D168101386", "chr2:168101386")</f>
        <v/>
      </c>
      <c r="C641" t="inlineStr">
        <is>
          <t>chr2</t>
        </is>
      </c>
      <c r="D641" t="n">
        <v>168101386</v>
      </c>
      <c r="E641" t="n">
        <v>168101386</v>
      </c>
      <c r="F641" t="inlineStr">
        <is>
          <t>G</t>
        </is>
      </c>
      <c r="G641" t="inlineStr">
        <is>
          <t>A</t>
        </is>
      </c>
      <c r="H641" t="inlineStr">
        <is>
          <t>1064.64</t>
        </is>
      </c>
      <c r="I641" t="inlineStr">
        <is>
          <t>98</t>
        </is>
      </c>
      <c r="J641" t="inlineStr">
        <is>
          <t>56,42</t>
        </is>
      </c>
      <c r="K641" t="inlineStr">
        <is>
          <t>.</t>
        </is>
      </c>
      <c r="L641">
        <f>HYPERLINK("https://www.ncbi.nlm.nih.gov/snp/rs76672761", "rs76672761")</f>
        <v/>
      </c>
      <c r="M641">
        <f>HYPERLINK("https://www.genecards.org/Search/Keyword?queryString=%5Baliases%5D(%20XIRP2%20)&amp;keywords=XIRP2", "XIRP2")</f>
        <v/>
      </c>
      <c r="N641" t="inlineStr">
        <is>
          <t>exonic</t>
        </is>
      </c>
      <c r="O641" t="inlineStr">
        <is>
          <t>nonsynonymous SNV</t>
        </is>
      </c>
      <c r="P641" t="inlineStr">
        <is>
          <t>XIRP2:NM_001199144:exon7:c.G2818A:p.V940I,XIRP2:NM_152381:exon9:c.G3484A:p.V1162I;XIRP2:uc002udy.3:exon7:c.G2959A:p.V987I,XIRP2:uc010fpq.3:exon7:c.G2818A:p.V940I,XIRP2:uc002udx.3:exon9:c.G3484A:p.V1162I;XIRP2:ENST00000409273.6_4:exon7:c.G2818A:p.V940I,XIRP2:ENST00000628543.2_2:exon7:c.G2959A:p.V987I,XIRP2:ENST00000672671.1_1:exon7:c.G2818A:p.V940I,XIRP2:ENST00000409195.6_6:exon9:c.G3484A:p.V1162I</t>
        </is>
      </c>
      <c r="Q641" t="n">
        <v>0.0235</v>
      </c>
      <c r="R641" t="n">
        <v>0.0209</v>
      </c>
      <c r="S641" t="n">
        <v>0.0233</v>
      </c>
      <c r="T641" t="n">
        <v>-1</v>
      </c>
      <c r="U641" t="n">
        <v>0.0169</v>
      </c>
      <c r="V641" t="inlineStr">
        <is>
          <t>6/10</t>
        </is>
      </c>
      <c r="W641" t="inlineStr">
        <is>
          <t>.</t>
        </is>
      </c>
      <c r="X641" t="inlineStr">
        <is>
          <t>.</t>
        </is>
      </c>
      <c r="Y641" t="inlineStr">
        <is>
          <t>.</t>
        </is>
      </c>
      <c r="Z641" t="inlineStr">
        <is>
          <t>6/7</t>
        </is>
      </c>
      <c r="AA641" t="inlineStr">
        <is>
          <t>Uncertain significance</t>
        </is>
      </c>
      <c r="AB641" t="inlineStr">
        <is>
          <t>.</t>
        </is>
      </c>
      <c r="AC641" t="inlineStr">
        <is>
          <t>0/1</t>
        </is>
      </c>
      <c r="AD641" t="inlineStr">
        <is>
          <t>1</t>
        </is>
      </c>
      <c r="AE641" t="inlineStr">
        <is>
          <t>2.85559362075031e-37</t>
        </is>
      </c>
      <c r="AF641" t="inlineStr">
        <is>
          <t>xin actin binding repeat containing 2</t>
        </is>
      </c>
      <c r="AG641" t="inlineStr">
        <is>
          <t xml:space="preserve">FUNCTION: Protects actin filaments from depolymerization. {ECO:0000269|PubMed:15454575}.; </t>
        </is>
      </c>
      <c r="AH641" t="inlineStr">
        <is>
          <t>.</t>
        </is>
      </c>
      <c r="AI641" t="inlineStr">
        <is>
          <t>.</t>
        </is>
      </c>
      <c r="AJ641" t="inlineStr">
        <is>
          <t>.</t>
        </is>
      </c>
      <c r="AK641" t="inlineStr">
        <is>
          <t>.</t>
        </is>
      </c>
      <c r="AL641" t="inlineStr">
        <is>
          <t>.</t>
        </is>
      </c>
    </row>
    <row r="642">
      <c r="A642" t="inlineStr"/>
      <c r="B642">
        <f>HYPERLINK("https://genome.ucsc.edu/cgi-bin/hgTracks?db=hg19&amp;position=chr2%3A173363895%2D173363895", "chr2:173363895")</f>
        <v/>
      </c>
      <c r="C642" t="inlineStr">
        <is>
          <t>chr2</t>
        </is>
      </c>
      <c r="D642" t="n">
        <v>173363895</v>
      </c>
      <c r="E642" t="n">
        <v>173363895</v>
      </c>
      <c r="F642" t="inlineStr">
        <is>
          <t>-</t>
        </is>
      </c>
      <c r="G642" t="inlineStr">
        <is>
          <t>T</t>
        </is>
      </c>
      <c r="H642" t="inlineStr">
        <is>
          <t>103.10</t>
        </is>
      </c>
      <c r="I642" t="inlineStr">
        <is>
          <t>4</t>
        </is>
      </c>
      <c r="J642" t="inlineStr">
        <is>
          <t>0,4</t>
        </is>
      </c>
      <c r="K642" t="inlineStr">
        <is>
          <t>.</t>
        </is>
      </c>
      <c r="L642">
        <f>HYPERLINK("https://www.ncbi.nlm.nih.gov/snp/rs897028025", "rs897028025")</f>
        <v/>
      </c>
      <c r="M642">
        <f>HYPERLINK("https://www.genecards.org/Search/Keyword?queryString=%5Baliases%5D(%20ITGA6%20)&amp;keywords=ITGA6", "ITGA6")</f>
        <v/>
      </c>
      <c r="N642" t="inlineStr">
        <is>
          <t>intronic;ncRNA_intronic</t>
        </is>
      </c>
      <c r="O642" t="inlineStr">
        <is>
          <t>.</t>
        </is>
      </c>
      <c r="P642" t="inlineStr">
        <is>
          <t>.</t>
        </is>
      </c>
      <c r="Q642" t="n">
        <v>0.0012</v>
      </c>
      <c r="R642" t="n">
        <v>0.0013</v>
      </c>
      <c r="S642" t="n">
        <v>0.0018</v>
      </c>
      <c r="T642" t="n">
        <v>-1</v>
      </c>
      <c r="U642" t="n">
        <v>0.0042</v>
      </c>
      <c r="V642" t="inlineStr">
        <is>
          <t>.</t>
        </is>
      </c>
      <c r="W642" t="inlineStr">
        <is>
          <t>.</t>
        </is>
      </c>
      <c r="X642" t="inlineStr">
        <is>
          <t>.</t>
        </is>
      </c>
      <c r="Y642" t="inlineStr">
        <is>
          <t>.</t>
        </is>
      </c>
      <c r="Z642" t="inlineStr">
        <is>
          <t>.</t>
        </is>
      </c>
      <c r="AA642" t="inlineStr">
        <is>
          <t>.</t>
        </is>
      </c>
      <c r="AB642" t="inlineStr">
        <is>
          <t>.</t>
        </is>
      </c>
      <c r="AC642" t="inlineStr">
        <is>
          <t>HOMO</t>
        </is>
      </c>
      <c r="AD642" t="inlineStr">
        <is>
          <t>1</t>
        </is>
      </c>
      <c r="AE642" t="inlineStr">
        <is>
          <t>0.00991360284214048</t>
        </is>
      </c>
      <c r="AF642" t="inlineStr">
        <is>
          <t>integrin subunit alpha 6</t>
        </is>
      </c>
      <c r="AG642" t="inlineStr">
        <is>
          <t xml:space="preserve">FUNCTION: Integrin alpha-6/beta-1 is a receptor for laminin on platelets. Integrin alpha-6/beta-4 is a receptor for laminin in epithelial cells and it plays a critical structural role in the hemidesmosome. {ECO:0000269|PubMed:17303120}.; </t>
        </is>
      </c>
      <c r="AH642" t="inlineStr">
        <is>
          <t xml:space="preserve">DISEASE: Epidermolysis bullosa letalis, with pyloric atresia (EB- PA) [MIM:226730]: An autosomal recessive, frequently lethal, epidermolysis bullosa with variable involvement of skin, nails, mucosa, and with variable effects on the digestive system. It is characterized by mucocutaneous fragility, aplasia cutis congenita, and gastrointestinal atresia, which most commonly affects the pylorus. Pyloric atresia is a primary manifestation rather than a scarring process secondary to epidermolysis bullosa. Note=The disease is caused by mutations affecting the gene represented in this entry.; </t>
        </is>
      </c>
      <c r="AI642" t="inlineStr">
        <is>
          <t>.</t>
        </is>
      </c>
      <c r="AJ642" t="inlineStr">
        <is>
          <t>.</t>
        </is>
      </c>
      <c r="AK642" t="inlineStr">
        <is>
          <t>.</t>
        </is>
      </c>
      <c r="AL642" t="inlineStr">
        <is>
          <t>.</t>
        </is>
      </c>
    </row>
    <row r="643">
      <c r="A643" t="inlineStr"/>
      <c r="B643">
        <f>HYPERLINK("https://genome.ucsc.edu/cgi-bin/hgTracks?db=hg19&amp;position=chr2%3A175614910%2D175614910", "chr2:175614910")</f>
        <v/>
      </c>
      <c r="C643" t="inlineStr">
        <is>
          <t>chr2</t>
        </is>
      </c>
      <c r="D643" t="n">
        <v>175614910</v>
      </c>
      <c r="E643" t="n">
        <v>175614910</v>
      </c>
      <c r="F643" t="inlineStr">
        <is>
          <t>A</t>
        </is>
      </c>
      <c r="G643" t="inlineStr">
        <is>
          <t>-</t>
        </is>
      </c>
      <c r="H643" t="inlineStr">
        <is>
          <t>605.02</t>
        </is>
      </c>
      <c r="I643" t="inlineStr">
        <is>
          <t>24</t>
        </is>
      </c>
      <c r="J643" t="inlineStr">
        <is>
          <t>1,17,6</t>
        </is>
      </c>
      <c r="K643" t="inlineStr">
        <is>
          <t>.</t>
        </is>
      </c>
      <c r="L643" t="inlineStr">
        <is>
          <t>.</t>
        </is>
      </c>
      <c r="M643">
        <f>HYPERLINK("https://www.genecards.org/Search/Keyword?queryString=%5Baliases%5D(%20BC046497%20)%20OR%20%5Baliases%5D(%20CHRNA1%20)&amp;keywords=BC046497,CHRNA1", "BC046497;CHRNA1")</f>
        <v/>
      </c>
      <c r="N643" t="inlineStr">
        <is>
          <t>intronic;ncRNA_intronic</t>
        </is>
      </c>
      <c r="O643" t="inlineStr">
        <is>
          <t>.</t>
        </is>
      </c>
      <c r="P643" t="inlineStr">
        <is>
          <t>.</t>
        </is>
      </c>
      <c r="Q643" t="n">
        <v>-1</v>
      </c>
      <c r="R643" t="n">
        <v>-1</v>
      </c>
      <c r="S643" t="n">
        <v>-1</v>
      </c>
      <c r="T643" t="n">
        <v>-1</v>
      </c>
      <c r="U643" t="n">
        <v>-1</v>
      </c>
      <c r="V643" t="inlineStr">
        <is>
          <t>.</t>
        </is>
      </c>
      <c r="W643" t="inlineStr">
        <is>
          <t>.</t>
        </is>
      </c>
      <c r="X643" t="inlineStr">
        <is>
          <t>.</t>
        </is>
      </c>
      <c r="Y643" t="inlineStr">
        <is>
          <t>.</t>
        </is>
      </c>
      <c r="Z643" t="inlineStr">
        <is>
          <t>.</t>
        </is>
      </c>
      <c r="AA643" t="inlineStr">
        <is>
          <t>.</t>
        </is>
      </c>
      <c r="AB643" t="inlineStr">
        <is>
          <t>.</t>
        </is>
      </c>
      <c r="AC643" t="inlineStr">
        <is>
          <t>1/2</t>
        </is>
      </c>
      <c r="AD643" t="inlineStr">
        <is>
          <t>1;1</t>
        </is>
      </c>
      <c r="AE643" t="inlineStr">
        <is>
          <t>8.79556820389947e-06</t>
        </is>
      </c>
      <c r="AF643" t="inlineStr">
        <is>
          <t>cholinergic receptor nicotinic alpha 1 subunit</t>
        </is>
      </c>
      <c r="AG643" t="inlineStr">
        <is>
          <t xml:space="preserve">FUNCTION: After binding acetylcholine, the AChR responds by an extensive change in conformation that affects all subunits and leads to opening of an ion-conducting channel across the plasma membrane.; </t>
        </is>
      </c>
      <c r="AH643" t="inlineStr">
        <is>
          <t xml:space="preserve">DISEASE: Note=The alpha subunit is the main focus for antibody binding in myasthenia gravis. Myasthenia gravis is characterized by sporadic muscular fatigability and weakness, occurring chiefly in muscles innervated by cranial nerves, and characteristically improved by cholinesterase-inhibiting drugs.; DISEASE: Myasthenic syndrome, congenital, 1A, slow-channel (CMS1A) [MIM:601462]: A common congenital myasthenic syndrome. Congenital myasthenic syndromes are characterized by muscle weakness affecting the axial and limb muscles (with hypotonia in early- onset forms), the ocular muscles (leading to ptosis and ophthalmoplegia), and the facial and bulbar musculature (affecting sucking and swallowing, and leading to dysphonia). The symptoms fluctuate and worsen with physical effort. CMS1A is a slow-channel myasthenic syndrome. It is caused by kinetic abnormalities of the AChR, resulting in prolonged AChR channel opening episodes, prolonged endplate currents, and depolarization block. This is associated with calcium overload, which may contribute to subsequent degeneration of the endplate and postsynaptic membrane. {ECO:0000269|PubMed:16685696, ECO:0000269|PubMed:7619526, ECO:0000269|PubMed:8872460, ECO:0000269|PubMed:9158151, ECO:0000269|PubMed:9221765}. Note=The disease is caused by mutations affecting the gene represented in this entry.; DISEASE: Myasthenic syndrome, congenital, 1B, fast-channel (CMS1B) [MIM:608930]: A form of congenital myasthenic syndrome, a group of disorders characterized by failure of neuromuscular transmission, including pre-synaptic, synaptic, and post-synaptic disorders that are not of autoimmune origin. Clinical features are easy fatigability and muscle weakness affecting the axial and limb muscles (with hypotonia in early-onset forms), the ocular muscles (leading to ptosis and ophthalmoplegia), and the facial and bulbar musculature (affecting sucking and swallowing, and leading to dysphonia). The symptoms fluctuate and worsen with physical effort. CMS1B is a fast-channel myasthenic syndrome. It is caused by kinetic abnormalities of the AChR, resulting in brief opening and activity of the channel, with a rapid decay in endplate current, failure to achieve threshold depolarization of the endplate and consequent failure to fire an action potential. {ECO:0000269|PubMed:10195214, ECO:0000269|PubMed:12588888, ECO:0000269|PubMed:15079006}. Note=The disease is caused by mutations affecting the gene represented in this entry.; </t>
        </is>
      </c>
      <c r="AI643" t="inlineStr">
        <is>
          <t>.</t>
        </is>
      </c>
      <c r="AJ643" t="inlineStr">
        <is>
          <t>.</t>
        </is>
      </c>
      <c r="AK643" t="inlineStr">
        <is>
          <t>.</t>
        </is>
      </c>
      <c r="AL643" t="inlineStr">
        <is>
          <t>.</t>
        </is>
      </c>
    </row>
    <row r="644">
      <c r="A644" t="inlineStr"/>
      <c r="B644">
        <f>HYPERLINK("https://genome.ucsc.edu/cgi-bin/hgTracks?db=hg19&amp;position=chr2%3A176973733%2D176973733", "chr2:176973733")</f>
        <v/>
      </c>
      <c r="C644" t="inlineStr">
        <is>
          <t>chr2</t>
        </is>
      </c>
      <c r="D644" t="n">
        <v>176973733</v>
      </c>
      <c r="E644" t="n">
        <v>176973733</v>
      </c>
      <c r="F644" t="inlineStr">
        <is>
          <t>G</t>
        </is>
      </c>
      <c r="G644" t="inlineStr">
        <is>
          <t>A</t>
        </is>
      </c>
      <c r="H644" t="inlineStr">
        <is>
          <t>329.64</t>
        </is>
      </c>
      <c r="I644" t="inlineStr">
        <is>
          <t>113</t>
        </is>
      </c>
      <c r="J644" t="inlineStr">
        <is>
          <t>92,21</t>
        </is>
      </c>
      <c r="K644" t="inlineStr">
        <is>
          <t>.</t>
        </is>
      </c>
      <c r="L644" t="inlineStr">
        <is>
          <t>.</t>
        </is>
      </c>
      <c r="M644">
        <f>HYPERLINK("https://www.genecards.org/Search/Keyword?queryString=%5Baliases%5D(%20HOXD11%20)&amp;keywords=HOXD11", "HOXD11")</f>
        <v/>
      </c>
      <c r="N644" t="inlineStr">
        <is>
          <t>exonic</t>
        </is>
      </c>
      <c r="O644" t="inlineStr">
        <is>
          <t>nonsynonymous SNV</t>
        </is>
      </c>
      <c r="P644" t="inlineStr">
        <is>
          <t>HOXD11:NM_021192:exon2:c.G880A:p.E294K;HOXD11:uc002uki.3:exon2:c.G880A:p.E294K;HOXD11:ENST00000249504.7_3:exon2:c.G880A:p.E294K</t>
        </is>
      </c>
      <c r="Q644" t="n">
        <v>-1</v>
      </c>
      <c r="R644" t="n">
        <v>-1</v>
      </c>
      <c r="S644" t="n">
        <v>-1</v>
      </c>
      <c r="T644" t="n">
        <v>-1</v>
      </c>
      <c r="U644" t="n">
        <v>-1</v>
      </c>
      <c r="V644" t="inlineStr">
        <is>
          <t>8/11</t>
        </is>
      </c>
      <c r="W644" t="inlineStr">
        <is>
          <t>.</t>
        </is>
      </c>
      <c r="X644" t="inlineStr">
        <is>
          <t>.</t>
        </is>
      </c>
      <c r="Y644" t="inlineStr">
        <is>
          <t>.</t>
        </is>
      </c>
      <c r="Z644" t="inlineStr">
        <is>
          <t>5/7</t>
        </is>
      </c>
      <c r="AA644" t="inlineStr">
        <is>
          <t>Uncertain significance</t>
        </is>
      </c>
      <c r="AB644" t="inlineStr">
        <is>
          <t>.</t>
        </is>
      </c>
      <c r="AC644" t="inlineStr">
        <is>
          <t>0/1</t>
        </is>
      </c>
      <c r="AD644" t="inlineStr">
        <is>
          <t>1</t>
        </is>
      </c>
      <c r="AE644" t="inlineStr">
        <is>
          <t>0.0131898476206074</t>
        </is>
      </c>
      <c r="AF644" t="inlineStr">
        <is>
          <t>homeobox D11</t>
        </is>
      </c>
      <c r="AG644" t="inlineStr">
        <is>
          <t xml:space="preserve">FUNCTION: Sequence-specific transcription factor which is part of a developmental regulatory system that provides cells with specific positional identities on the anterior-posterior axis.; </t>
        </is>
      </c>
      <c r="AH644" t="inlineStr">
        <is>
          <t>.</t>
        </is>
      </c>
      <c r="AI644" t="inlineStr">
        <is>
          <t>.</t>
        </is>
      </c>
      <c r="AJ644" t="inlineStr">
        <is>
          <t>.</t>
        </is>
      </c>
      <c r="AK644" t="inlineStr">
        <is>
          <t>.</t>
        </is>
      </c>
      <c r="AL644" t="inlineStr">
        <is>
          <t>.</t>
        </is>
      </c>
    </row>
    <row r="645">
      <c r="A645" t="inlineStr"/>
      <c r="B645">
        <f>HYPERLINK("https://genome.ucsc.edu/cgi-bin/hgTracks?db=hg19&amp;position=chr2%3A178482780%2D178482780", "chr2:178482780")</f>
        <v/>
      </c>
      <c r="C645" t="inlineStr">
        <is>
          <t>chr2</t>
        </is>
      </c>
      <c r="D645" t="n">
        <v>178482780</v>
      </c>
      <c r="E645" t="n">
        <v>178482780</v>
      </c>
      <c r="F645" t="inlineStr">
        <is>
          <t>C</t>
        </is>
      </c>
      <c r="G645" t="inlineStr">
        <is>
          <t>T</t>
        </is>
      </c>
      <c r="H645" t="inlineStr">
        <is>
          <t>2104.64</t>
        </is>
      </c>
      <c r="I645" t="inlineStr">
        <is>
          <t>174</t>
        </is>
      </c>
      <c r="J645" t="inlineStr">
        <is>
          <t>93,81</t>
        </is>
      </c>
      <c r="K645" t="inlineStr">
        <is>
          <t>.</t>
        </is>
      </c>
      <c r="L645">
        <f>HYPERLINK("https://www.ncbi.nlm.nih.gov/snp/rs61997202", "rs61997202")</f>
        <v/>
      </c>
      <c r="M645">
        <f>HYPERLINK("https://www.genecards.org/Search/Keyword?queryString=%5Baliases%5D(%20TTC30A%20)&amp;keywords=TTC30A", "TTC30A")</f>
        <v/>
      </c>
      <c r="N645" t="inlineStr">
        <is>
          <t>exonic</t>
        </is>
      </c>
      <c r="O645" t="inlineStr">
        <is>
          <t>nonsynonymous SNV</t>
        </is>
      </c>
      <c r="P645" t="inlineStr">
        <is>
          <t>TTC30A:NM_152275:exon1:c.G650A:p.R217H;TTC30A:uc002ulo.3:exon1:c.G650A:p.R217H;TTC30A:ENST00000355689.6_4:exon1:c.G650A:p.R217H</t>
        </is>
      </c>
      <c r="Q645" t="n">
        <v>0.0173</v>
      </c>
      <c r="R645" t="n">
        <v>0.0143</v>
      </c>
      <c r="S645" t="n">
        <v>0.0141</v>
      </c>
      <c r="T645" t="n">
        <v>-1</v>
      </c>
      <c r="U645" t="n">
        <v>0.012</v>
      </c>
      <c r="V645" t="inlineStr">
        <is>
          <t>4/10</t>
        </is>
      </c>
      <c r="W645" t="inlineStr">
        <is>
          <t>.</t>
        </is>
      </c>
      <c r="X645" t="inlineStr">
        <is>
          <t>.</t>
        </is>
      </c>
      <c r="Y645" t="inlineStr">
        <is>
          <t>.</t>
        </is>
      </c>
      <c r="Z645" t="inlineStr">
        <is>
          <t>0/7</t>
        </is>
      </c>
      <c r="AA645" t="inlineStr">
        <is>
          <t>Likely benign</t>
        </is>
      </c>
      <c r="AB645" t="inlineStr">
        <is>
          <t>.</t>
        </is>
      </c>
      <c r="AC645" t="inlineStr">
        <is>
          <t>0/1</t>
        </is>
      </c>
      <c r="AD645" t="inlineStr">
        <is>
          <t>1</t>
        </is>
      </c>
      <c r="AE645" t="inlineStr">
        <is>
          <t>1.362196147394e-05</t>
        </is>
      </c>
      <c r="AF645" t="inlineStr">
        <is>
          <t>tetratricopeptide repeat domain 30A</t>
        </is>
      </c>
      <c r="AG645" t="inlineStr">
        <is>
          <t xml:space="preserve">FUNCTION: Required for polyglutamylation of axonemal tubulin. Plays a role in anterograde intraflagellar transport (IFT), the process by which cilia precursors are transported from the base of the cilium to the site of their incorporation at the tip. {ECO:0000250}.; </t>
        </is>
      </c>
      <c r="AH645" t="inlineStr">
        <is>
          <t>.</t>
        </is>
      </c>
      <c r="AI645" t="inlineStr">
        <is>
          <t>.</t>
        </is>
      </c>
      <c r="AJ645" t="inlineStr">
        <is>
          <t>.</t>
        </is>
      </c>
      <c r="AK645" t="inlineStr">
        <is>
          <t>.</t>
        </is>
      </c>
      <c r="AL645" t="inlineStr">
        <is>
          <t>NGS_HighStringency</t>
        </is>
      </c>
    </row>
    <row r="646">
      <c r="A646" t="inlineStr"/>
      <c r="B646">
        <f>HYPERLINK("https://genome.ucsc.edu/cgi-bin/hgTracks?db=hg19&amp;position=chr2%3A178875249%2D178875249", "chr2:178875249")</f>
        <v/>
      </c>
      <c r="C646" t="inlineStr">
        <is>
          <t>chr2</t>
        </is>
      </c>
      <c r="D646" t="n">
        <v>178875249</v>
      </c>
      <c r="E646" t="n">
        <v>178875249</v>
      </c>
      <c r="F646" t="inlineStr">
        <is>
          <t>T</t>
        </is>
      </c>
      <c r="G646" t="inlineStr">
        <is>
          <t>A</t>
        </is>
      </c>
      <c r="H646" t="inlineStr">
        <is>
          <t>43.64</t>
        </is>
      </c>
      <c r="I646" t="inlineStr">
        <is>
          <t>9</t>
        </is>
      </c>
      <c r="J646" t="inlineStr">
        <is>
          <t>7,2</t>
        </is>
      </c>
      <c r="K646" t="inlineStr">
        <is>
          <t>.</t>
        </is>
      </c>
      <c r="L646" t="inlineStr">
        <is>
          <t>.</t>
        </is>
      </c>
      <c r="M646">
        <f>HYPERLINK("https://www.genecards.org/Search/Keyword?queryString=%5Baliases%5D(%20PDE11A%20)&amp;keywords=PDE11A", "PDE11A")</f>
        <v/>
      </c>
      <c r="N646" t="inlineStr">
        <is>
          <t>intronic;ncRNA_intronic</t>
        </is>
      </c>
      <c r="O646" t="inlineStr">
        <is>
          <t>.</t>
        </is>
      </c>
      <c r="P646" t="inlineStr">
        <is>
          <t>.</t>
        </is>
      </c>
      <c r="Q646" t="n">
        <v>-1</v>
      </c>
      <c r="R646" t="n">
        <v>-1</v>
      </c>
      <c r="S646" t="n">
        <v>-1</v>
      </c>
      <c r="T646" t="n">
        <v>-1</v>
      </c>
      <c r="U646" t="n">
        <v>-1</v>
      </c>
      <c r="V646" t="inlineStr">
        <is>
          <t>.</t>
        </is>
      </c>
      <c r="W646" t="inlineStr">
        <is>
          <t>.</t>
        </is>
      </c>
      <c r="X646" t="inlineStr">
        <is>
          <t>.</t>
        </is>
      </c>
      <c r="Y646" t="inlineStr">
        <is>
          <t>.</t>
        </is>
      </c>
      <c r="Z646" t="inlineStr">
        <is>
          <t>.</t>
        </is>
      </c>
      <c r="AA646" t="inlineStr">
        <is>
          <t>.</t>
        </is>
      </c>
      <c r="AB646" t="inlineStr">
        <is>
          <t>.</t>
        </is>
      </c>
      <c r="AC646" t="inlineStr">
        <is>
          <t>0/1</t>
        </is>
      </c>
      <c r="AD646" t="inlineStr">
        <is>
          <t>1</t>
        </is>
      </c>
      <c r="AE646" t="inlineStr">
        <is>
          <t>4.16725018760818e-31</t>
        </is>
      </c>
      <c r="AF646" t="inlineStr">
        <is>
          <t>phosphodiesterase 11A</t>
        </is>
      </c>
      <c r="AG646" t="inlineStr">
        <is>
          <t xml:space="preserve">FUNCTION: Plays a role in signal transduction by regulating the intracellular concentration of cyclic nucleotides cAMP and cGMP. Catalyzes the hydrolysis of both cAMP and cGMP to 5'-AMP and 5'- GMP, respectively. {ECO:0000269|PubMed:10725373, ECO:0000269|PubMed:10906126, ECO:0000269|PubMed:11050148}.; </t>
        </is>
      </c>
      <c r="AH646" t="inlineStr">
        <is>
          <t xml:space="preserve">DISEASE: Primary pigmented nodular adrenocortical disease 2 (PPNAD2) [MIM:610475]: A rare bilateral adrenal defect causing ACTH-independent Cushing syndrome. Macroscopic appearance of the adrenals is characteristic with small pigmented micronodules observed in the cortex. Adrenal glands show overall normal size and weight, and multiple small yellow-to-dark brown nodules surrounded by a cortex with a uniform appearance. Microscopically, there are moderate diffuse cortical hyperplasia with mostly nonpigmented nodules, multiple capsular deficits and massive circumscribed and infiltrating extra-adrenal cortical excrescences with micronodules. Clinical manifestations of Cushing syndrome include facial and truncal obesity, abdominal striae, muscular weakness, osteoporosis, arterial hypertension, diabetes. {ECO:0000269|PubMed:16767104}. Note=The disease is caused by mutations affecting the gene represented in this entry.; </t>
        </is>
      </c>
      <c r="AI646" t="inlineStr">
        <is>
          <t>.</t>
        </is>
      </c>
      <c r="AJ646" t="inlineStr">
        <is>
          <t>.</t>
        </is>
      </c>
      <c r="AK646" t="inlineStr">
        <is>
          <t>.</t>
        </is>
      </c>
      <c r="AL646" t="inlineStr">
        <is>
          <t>.</t>
        </is>
      </c>
    </row>
    <row r="647">
      <c r="A647" t="inlineStr"/>
      <c r="B647">
        <f>HYPERLINK("https://genome.ucsc.edu/cgi-bin/hgTracks?db=hg19&amp;position=chr2%3A179491240%2D179491240", "chr2:179491240")</f>
        <v/>
      </c>
      <c r="C647" t="inlineStr">
        <is>
          <t>chr2</t>
        </is>
      </c>
      <c r="D647" t="n">
        <v>179491240</v>
      </c>
      <c r="E647" t="n">
        <v>179491240</v>
      </c>
      <c r="F647" t="inlineStr">
        <is>
          <t>C</t>
        </is>
      </c>
      <c r="G647" t="inlineStr">
        <is>
          <t>T</t>
        </is>
      </c>
      <c r="H647" t="inlineStr">
        <is>
          <t>47.64</t>
        </is>
      </c>
      <c r="I647" t="inlineStr">
        <is>
          <t>8</t>
        </is>
      </c>
      <c r="J647" t="inlineStr">
        <is>
          <t>6,2</t>
        </is>
      </c>
      <c r="K647" t="inlineStr">
        <is>
          <t>.</t>
        </is>
      </c>
      <c r="L647" t="inlineStr">
        <is>
          <t>.</t>
        </is>
      </c>
      <c r="M647">
        <f>HYPERLINK("https://www.genecards.org/Search/Keyword?queryString=%5Baliases%5D(%20MIR548N%20)%20OR%20%5Baliases%5D(%20TTN%20)&amp;keywords=MIR548N,TTN", "MIR548N;TTN")</f>
        <v/>
      </c>
      <c r="N647" t="inlineStr">
        <is>
          <t>intronic;ncRNA_intronic</t>
        </is>
      </c>
      <c r="O647" t="inlineStr">
        <is>
          <t>.</t>
        </is>
      </c>
      <c r="P647" t="inlineStr">
        <is>
          <t>.</t>
        </is>
      </c>
      <c r="Q647" t="n">
        <v>-1</v>
      </c>
      <c r="R647" t="n">
        <v>-1</v>
      </c>
      <c r="S647" t="n">
        <v>-1</v>
      </c>
      <c r="T647" t="n">
        <v>-1</v>
      </c>
      <c r="U647" t="n">
        <v>-1</v>
      </c>
      <c r="V647" t="inlineStr">
        <is>
          <t>.</t>
        </is>
      </c>
      <c r="W647" t="inlineStr">
        <is>
          <t>.</t>
        </is>
      </c>
      <c r="X647" t="inlineStr">
        <is>
          <t>.</t>
        </is>
      </c>
      <c r="Y647" t="inlineStr">
        <is>
          <t>.</t>
        </is>
      </c>
      <c r="Z647" t="inlineStr">
        <is>
          <t>.</t>
        </is>
      </c>
      <c r="AA647" t="inlineStr">
        <is>
          <t>.</t>
        </is>
      </c>
      <c r="AB647" t="inlineStr">
        <is>
          <t>.</t>
        </is>
      </c>
      <c r="AC647" t="inlineStr">
        <is>
          <t>0/1</t>
        </is>
      </c>
      <c r="AD647" t="inlineStr">
        <is>
          <t>5;14</t>
        </is>
      </c>
      <c r="AE647" t="inlineStr">
        <is>
          <t>1.21111377105808e-32</t>
        </is>
      </c>
      <c r="AF647" t="inlineStr">
        <is>
          <t>microRNA 548n;titin</t>
        </is>
      </c>
      <c r="AG647" t="inlineStr">
        <is>
          <t xml:space="preserve">FUNCTION: Key component in the assembly and functioning of vertebrate striated muscles. By providing connections at the level of individual microfilaments, it contributes to the fine balance of forces between the two halves of the sarcomere. The size and extensibility of the cross-links are the main determinants of sarcomere extensibility properties of muscle. In non-muscle cells, seems to play a role in chromosome condensation and chromosome segregation during mitosis. Might link the lamina network to chromatin or nuclear actin, or both during interphase. {ECO:0000269|PubMed:9804419}.; </t>
        </is>
      </c>
      <c r="AH647" t="inlineStr">
        <is>
          <t xml:space="preserve">DISEASE: Hereditary myopathy with early respiratory failure (HMERF) [MIM:603689]: Autosomal dominant, adult-onset myopathy with early respiratory muscle involvement. {ECO:0000269|PubMed:15802564}. Note=The disease is caused by mutations affecting the gene represented in this entry.; DISEASE: Cardiomyopathy, familial hypertrophic 9 (CMH9) [MIM:613765]: A hereditary heart disorder characterized by ventricular hypertrophy, which is usually asymmetric and often involves the interventricular septum. The symptoms include dyspnea, syncope, collapse, palpitations, and chest pain. They can be readily provoked by exercise. The disorder has inter- and intrafamilial variability ranging from benign to malignant forms with high risk of cardiac failure and sudden cardiac death. {ECO:0000269|PubMed:10462489}. Note=The disease is caused by mutations affecting the gene represented in this entry.; DISEASE: Cardiomyopathy, dilated 1G (CMD1G) [MIM:604145]: A disorder characterized by ventricular dilation and impaired systolic function, resulting in congestive heart failure and arrhythmia. Patients are at risk of premature death. {ECO:0000269|PubMed:11788824, ECO:0000269|PubMed:11846417, ECO:0000269|PubMed:16465475}. Note=The disease is caused by mutations affecting the gene represented in this entry.; DISEASE: Tardive tibial muscular dystrophy (TMD) [MIM:600334]: Autosomal dominant, late-onset distal myopathy. Muscle weakness and atrophy are usually confined to the anterior compartment of the lower leg, in particular the tibialis anterior muscle. Clinical symptoms usually occur at age 35-45 years or much later. {ECO:0000269|PubMed:12145747, ECO:0000269|PubMed:12891679}. Note=The disease is caused by mutations affecting the gene represented in this entry.; DISEASE: Limb-girdle muscular dystrophy 2J (LGMD2J) [MIM:608807]: An autosomal recessive degenerative myopathy characterized by progressive weakness of the pelvic and shoulder girdle muscles. Severe disability is observed within 20 years of onset. {ECO:0000269|PubMed:12145747}. Note=The disease is caused by mutations affecting the gene represented in this entry.; DISEASE: Early-onset myopathy with fatal cardiomyopathy (EOMFC) [MIM:611705]: Early-onset myopathies are inherited muscle disorders that manifest typically from birth or infancy with hypotonia, muscle weakness, and delayed motor development. EOMFC is a titinopathy that, in contrast with the previously described examples, involves both heart and skeletal muscle, has a congenital onset, and is purely recessive. This phenotype is due to homozygous out-of-frame TTN deletions, which lead to a total absence of titin's C-terminal end from striated muscles and to secondary CAPN3 depletion. {ECO:0000269|PubMed:17444505}. Note=The disease is caused by mutations affecting the gene represented in this entry.; </t>
        </is>
      </c>
      <c r="AI647" t="inlineStr">
        <is>
          <t>.</t>
        </is>
      </c>
      <c r="AJ647" t="inlineStr">
        <is>
          <t>.</t>
        </is>
      </c>
      <c r="AK647" t="inlineStr">
        <is>
          <t>.</t>
        </is>
      </c>
      <c r="AL647" t="inlineStr">
        <is>
          <t>.</t>
        </is>
      </c>
    </row>
    <row r="648">
      <c r="A648" t="inlineStr"/>
      <c r="B648">
        <f>HYPERLINK("https://genome.ucsc.edu/cgi-bin/hgTracks?db=hg19&amp;position=chr2%3A179492661%2D179492661", "chr2:179492661")</f>
        <v/>
      </c>
      <c r="C648" t="inlineStr">
        <is>
          <t>chr2</t>
        </is>
      </c>
      <c r="D648" t="n">
        <v>179492661</v>
      </c>
      <c r="E648" t="n">
        <v>179492661</v>
      </c>
      <c r="F648" t="inlineStr">
        <is>
          <t>G</t>
        </is>
      </c>
      <c r="G648" t="inlineStr">
        <is>
          <t>A</t>
        </is>
      </c>
      <c r="H648" t="inlineStr">
        <is>
          <t>45.64</t>
        </is>
      </c>
      <c r="I648" t="inlineStr">
        <is>
          <t>10</t>
        </is>
      </c>
      <c r="J648" t="inlineStr">
        <is>
          <t>8,2</t>
        </is>
      </c>
      <c r="K648" t="inlineStr">
        <is>
          <t>.</t>
        </is>
      </c>
      <c r="L648" t="inlineStr">
        <is>
          <t>.</t>
        </is>
      </c>
      <c r="M648">
        <f>HYPERLINK("https://www.genecards.org/Search/Keyword?queryString=%5Baliases%5D(%20MIR548N%20)%20OR%20%5Baliases%5D(%20TTN%20)&amp;keywords=MIR548N,TTN", "MIR548N;TTN")</f>
        <v/>
      </c>
      <c r="N648" t="inlineStr">
        <is>
          <t>intronic;ncRNA_intronic</t>
        </is>
      </c>
      <c r="O648" t="inlineStr">
        <is>
          <t>.</t>
        </is>
      </c>
      <c r="P648" t="inlineStr">
        <is>
          <t>.</t>
        </is>
      </c>
      <c r="Q648" t="n">
        <v>-1</v>
      </c>
      <c r="R648" t="n">
        <v>-1</v>
      </c>
      <c r="S648" t="n">
        <v>-1</v>
      </c>
      <c r="T648" t="n">
        <v>-1</v>
      </c>
      <c r="U648" t="n">
        <v>-1</v>
      </c>
      <c r="V648" t="inlineStr">
        <is>
          <t>.</t>
        </is>
      </c>
      <c r="W648" t="inlineStr">
        <is>
          <t>.</t>
        </is>
      </c>
      <c r="X648" t="inlineStr">
        <is>
          <t>.</t>
        </is>
      </c>
      <c r="Y648" t="inlineStr">
        <is>
          <t>.</t>
        </is>
      </c>
      <c r="Z648" t="inlineStr">
        <is>
          <t>.</t>
        </is>
      </c>
      <c r="AA648" t="inlineStr">
        <is>
          <t>.</t>
        </is>
      </c>
      <c r="AB648" t="inlineStr">
        <is>
          <t>.</t>
        </is>
      </c>
      <c r="AC648" t="inlineStr">
        <is>
          <t>0/1</t>
        </is>
      </c>
      <c r="AD648" t="inlineStr">
        <is>
          <t>5;14</t>
        </is>
      </c>
      <c r="AE648" t="inlineStr">
        <is>
          <t>1.21111377105808e-32</t>
        </is>
      </c>
      <c r="AF648" t="inlineStr">
        <is>
          <t>microRNA 548n;titin</t>
        </is>
      </c>
      <c r="AG648" t="inlineStr">
        <is>
          <t xml:space="preserve">FUNCTION: Key component in the assembly and functioning of vertebrate striated muscles. By providing connections at the level of individual microfilaments, it contributes to the fine balance of forces between the two halves of the sarcomere. The size and extensibility of the cross-links are the main determinants of sarcomere extensibility properties of muscle. In non-muscle cells, seems to play a role in chromosome condensation and chromosome segregation during mitosis. Might link the lamina network to chromatin or nuclear actin, or both during interphase. {ECO:0000269|PubMed:9804419}.; </t>
        </is>
      </c>
      <c r="AH648" t="inlineStr">
        <is>
          <t xml:space="preserve">DISEASE: Hereditary myopathy with early respiratory failure (HMERF) [MIM:603689]: Autosomal dominant, adult-onset myopathy with early respiratory muscle involvement. {ECO:0000269|PubMed:15802564}. Note=The disease is caused by mutations affecting the gene represented in this entry.; DISEASE: Cardiomyopathy, familial hypertrophic 9 (CMH9) [MIM:613765]: A hereditary heart disorder characterized by ventricular hypertrophy, which is usually asymmetric and often involves the interventricular septum. The symptoms include dyspnea, syncope, collapse, palpitations, and chest pain. They can be readily provoked by exercise. The disorder has inter- and intrafamilial variability ranging from benign to malignant forms with high risk of cardiac failure and sudden cardiac death. {ECO:0000269|PubMed:10462489}. Note=The disease is caused by mutations affecting the gene represented in this entry.; DISEASE: Cardiomyopathy, dilated 1G (CMD1G) [MIM:604145]: A disorder characterized by ventricular dilation and impaired systolic function, resulting in congestive heart failure and arrhythmia. Patients are at risk of premature death. {ECO:0000269|PubMed:11788824, ECO:0000269|PubMed:11846417, ECO:0000269|PubMed:16465475}. Note=The disease is caused by mutations affecting the gene represented in this entry.; DISEASE: Tardive tibial muscular dystrophy (TMD) [MIM:600334]: Autosomal dominant, late-onset distal myopathy. Muscle weakness and atrophy are usually confined to the anterior compartment of the lower leg, in particular the tibialis anterior muscle. Clinical symptoms usually occur at age 35-45 years or much later. {ECO:0000269|PubMed:12145747, ECO:0000269|PubMed:12891679}. Note=The disease is caused by mutations affecting the gene represented in this entry.; DISEASE: Limb-girdle muscular dystrophy 2J (LGMD2J) [MIM:608807]: An autosomal recessive degenerative myopathy characterized by progressive weakness of the pelvic and shoulder girdle muscles. Severe disability is observed within 20 years of onset. {ECO:0000269|PubMed:12145747}. Note=The disease is caused by mutations affecting the gene represented in this entry.; DISEASE: Early-onset myopathy with fatal cardiomyopathy (EOMFC) [MIM:611705]: Early-onset myopathies are inherited muscle disorders that manifest typically from birth or infancy with hypotonia, muscle weakness, and delayed motor development. EOMFC is a titinopathy that, in contrast with the previously described examples, involves both heart and skeletal muscle, has a congenital onset, and is purely recessive. This phenotype is due to homozygous out-of-frame TTN deletions, which lead to a total absence of titin's C-terminal end from striated muscles and to secondary CAPN3 depletion. {ECO:0000269|PubMed:17444505}. Note=The disease is caused by mutations affecting the gene represented in this entry.; </t>
        </is>
      </c>
      <c r="AI648" t="inlineStr">
        <is>
          <t>.</t>
        </is>
      </c>
      <c r="AJ648" t="inlineStr">
        <is>
          <t>.</t>
        </is>
      </c>
      <c r="AK648" t="inlineStr">
        <is>
          <t>.</t>
        </is>
      </c>
      <c r="AL648" t="inlineStr">
        <is>
          <t>.</t>
        </is>
      </c>
    </row>
    <row r="649">
      <c r="A649" t="inlineStr"/>
      <c r="B649">
        <f>HYPERLINK("https://genome.ucsc.edu/cgi-bin/hgTracks?db=hg19&amp;position=chr2%3A179493047%2D179493047", "chr2:179493047")</f>
        <v/>
      </c>
      <c r="C649" t="inlineStr">
        <is>
          <t>chr2</t>
        </is>
      </c>
      <c r="D649" t="n">
        <v>179493047</v>
      </c>
      <c r="E649" t="n">
        <v>179493047</v>
      </c>
      <c r="F649" t="inlineStr">
        <is>
          <t>C</t>
        </is>
      </c>
      <c r="G649" t="inlineStr">
        <is>
          <t>T</t>
        </is>
      </c>
      <c r="H649" t="inlineStr">
        <is>
          <t>50.64</t>
        </is>
      </c>
      <c r="I649" t="inlineStr">
        <is>
          <t>8</t>
        </is>
      </c>
      <c r="J649" t="inlineStr">
        <is>
          <t>6,2</t>
        </is>
      </c>
      <c r="K649" t="inlineStr">
        <is>
          <t>.</t>
        </is>
      </c>
      <c r="L649" t="inlineStr">
        <is>
          <t>.</t>
        </is>
      </c>
      <c r="M649">
        <f>HYPERLINK("https://www.genecards.org/Search/Keyword?queryString=%5Baliases%5D(%20MIR548N%20)%20OR%20%5Baliases%5D(%20TTN%20)&amp;keywords=MIR548N,TTN", "MIR548N;TTN")</f>
        <v/>
      </c>
      <c r="N649" t="inlineStr">
        <is>
          <t>intronic;ncRNA_intronic</t>
        </is>
      </c>
      <c r="O649" t="inlineStr">
        <is>
          <t>.</t>
        </is>
      </c>
      <c r="P649" t="inlineStr">
        <is>
          <t>.</t>
        </is>
      </c>
      <c r="Q649" t="n">
        <v>-1</v>
      </c>
      <c r="R649" t="n">
        <v>-1</v>
      </c>
      <c r="S649" t="n">
        <v>-1</v>
      </c>
      <c r="T649" t="n">
        <v>-1</v>
      </c>
      <c r="U649" t="n">
        <v>-1</v>
      </c>
      <c r="V649" t="inlineStr">
        <is>
          <t>.</t>
        </is>
      </c>
      <c r="W649" t="inlineStr">
        <is>
          <t>.</t>
        </is>
      </c>
      <c r="X649" t="inlineStr">
        <is>
          <t>.</t>
        </is>
      </c>
      <c r="Y649" t="inlineStr">
        <is>
          <t>.</t>
        </is>
      </c>
      <c r="Z649" t="inlineStr">
        <is>
          <t>.</t>
        </is>
      </c>
      <c r="AA649" t="inlineStr">
        <is>
          <t>.</t>
        </is>
      </c>
      <c r="AB649" t="inlineStr">
        <is>
          <t>.</t>
        </is>
      </c>
      <c r="AC649" t="inlineStr">
        <is>
          <t>0/1</t>
        </is>
      </c>
      <c r="AD649" t="inlineStr">
        <is>
          <t>5;14</t>
        </is>
      </c>
      <c r="AE649" t="inlineStr">
        <is>
          <t>1.21111377105808e-32</t>
        </is>
      </c>
      <c r="AF649" t="inlineStr">
        <is>
          <t>microRNA 548n;titin</t>
        </is>
      </c>
      <c r="AG649" t="inlineStr">
        <is>
          <t xml:space="preserve">FUNCTION: Key component in the assembly and functioning of vertebrate striated muscles. By providing connections at the level of individual microfilaments, it contributes to the fine balance of forces between the two halves of the sarcomere. The size and extensibility of the cross-links are the main determinants of sarcomere extensibility properties of muscle. In non-muscle cells, seems to play a role in chromosome condensation and chromosome segregation during mitosis. Might link the lamina network to chromatin or nuclear actin, or both during interphase. {ECO:0000269|PubMed:9804419}.; </t>
        </is>
      </c>
      <c r="AH649" t="inlineStr">
        <is>
          <t xml:space="preserve">DISEASE: Hereditary myopathy with early respiratory failure (HMERF) [MIM:603689]: Autosomal dominant, adult-onset myopathy with early respiratory muscle involvement. {ECO:0000269|PubMed:15802564}. Note=The disease is caused by mutations affecting the gene represented in this entry.; DISEASE: Cardiomyopathy, familial hypertrophic 9 (CMH9) [MIM:613765]: A hereditary heart disorder characterized by ventricular hypertrophy, which is usually asymmetric and often involves the interventricular septum. The symptoms include dyspnea, syncope, collapse, palpitations, and chest pain. They can be readily provoked by exercise. The disorder has inter- and intrafamilial variability ranging from benign to malignant forms with high risk of cardiac failure and sudden cardiac death. {ECO:0000269|PubMed:10462489}. Note=The disease is caused by mutations affecting the gene represented in this entry.; DISEASE: Cardiomyopathy, dilated 1G (CMD1G) [MIM:604145]: A disorder characterized by ventricular dilation and impaired systolic function, resulting in congestive heart failure and arrhythmia. Patients are at risk of premature death. {ECO:0000269|PubMed:11788824, ECO:0000269|PubMed:11846417, ECO:0000269|PubMed:16465475}. Note=The disease is caused by mutations affecting the gene represented in this entry.; DISEASE: Tardive tibial muscular dystrophy (TMD) [MIM:600334]: Autosomal dominant, late-onset distal myopathy. Muscle weakness and atrophy are usually confined to the anterior compartment of the lower leg, in particular the tibialis anterior muscle. Clinical symptoms usually occur at age 35-45 years or much later. {ECO:0000269|PubMed:12145747, ECO:0000269|PubMed:12891679}. Note=The disease is caused by mutations affecting the gene represented in this entry.; DISEASE: Limb-girdle muscular dystrophy 2J (LGMD2J) [MIM:608807]: An autosomal recessive degenerative myopathy characterized by progressive weakness of the pelvic and shoulder girdle muscles. Severe disability is observed within 20 years of onset. {ECO:0000269|PubMed:12145747}. Note=The disease is caused by mutations affecting the gene represented in this entry.; DISEASE: Early-onset myopathy with fatal cardiomyopathy (EOMFC) [MIM:611705]: Early-onset myopathies are inherited muscle disorders that manifest typically from birth or infancy with hypotonia, muscle weakness, and delayed motor development. EOMFC is a titinopathy that, in contrast with the previously described examples, involves both heart and skeletal muscle, has a congenital onset, and is purely recessive. This phenotype is due to homozygous out-of-frame TTN deletions, which lead to a total absence of titin's C-terminal end from striated muscles and to secondary CAPN3 depletion. {ECO:0000269|PubMed:17444505}. Note=The disease is caused by mutations affecting the gene represented in this entry.; </t>
        </is>
      </c>
      <c r="AI649" t="inlineStr">
        <is>
          <t>.</t>
        </is>
      </c>
      <c r="AJ649" t="inlineStr">
        <is>
          <t>.</t>
        </is>
      </c>
      <c r="AK649" t="inlineStr">
        <is>
          <t>.</t>
        </is>
      </c>
      <c r="AL649" t="inlineStr">
        <is>
          <t>.</t>
        </is>
      </c>
    </row>
    <row r="650">
      <c r="A650" t="inlineStr"/>
      <c r="B650">
        <f>HYPERLINK("https://genome.ucsc.edu/cgi-bin/hgTracks?db=hg19&amp;position=chr2%3A179503284%2D179503286", "chr2:179503284")</f>
        <v/>
      </c>
      <c r="C650" t="inlineStr">
        <is>
          <t>chr2</t>
        </is>
      </c>
      <c r="D650" t="n">
        <v>179503284</v>
      </c>
      <c r="E650" t="n">
        <v>179503286</v>
      </c>
      <c r="F650" t="inlineStr">
        <is>
          <t>TTT</t>
        </is>
      </c>
      <c r="G650" t="inlineStr">
        <is>
          <t>-</t>
        </is>
      </c>
      <c r="H650" t="inlineStr">
        <is>
          <t>46.60</t>
        </is>
      </c>
      <c r="I650" t="inlineStr">
        <is>
          <t>12</t>
        </is>
      </c>
      <c r="J650" t="inlineStr">
        <is>
          <t>10,2</t>
        </is>
      </c>
      <c r="K650" t="inlineStr">
        <is>
          <t>.</t>
        </is>
      </c>
      <c r="L650" t="inlineStr">
        <is>
          <t>.</t>
        </is>
      </c>
      <c r="M650">
        <f>HYPERLINK("https://www.genecards.org/Search/Keyword?queryString=%5Baliases%5D(%20MIR548N%20)%20OR%20%5Baliases%5D(%20TTN%20)&amp;keywords=MIR548N,TTN", "MIR548N;TTN")</f>
        <v/>
      </c>
      <c r="N650" t="inlineStr">
        <is>
          <t>intronic;ncRNA_intronic</t>
        </is>
      </c>
      <c r="O650" t="inlineStr">
        <is>
          <t>.</t>
        </is>
      </c>
      <c r="P650" t="inlineStr">
        <is>
          <t>.</t>
        </is>
      </c>
      <c r="Q650" t="n">
        <v>-1</v>
      </c>
      <c r="R650" t="n">
        <v>-1</v>
      </c>
      <c r="S650" t="n">
        <v>-1</v>
      </c>
      <c r="T650" t="n">
        <v>-1</v>
      </c>
      <c r="U650" t="n">
        <v>-1</v>
      </c>
      <c r="V650" t="inlineStr">
        <is>
          <t>.</t>
        </is>
      </c>
      <c r="W650" t="inlineStr">
        <is>
          <t>.</t>
        </is>
      </c>
      <c r="X650" t="inlineStr">
        <is>
          <t>.</t>
        </is>
      </c>
      <c r="Y650" t="inlineStr">
        <is>
          <t>.</t>
        </is>
      </c>
      <c r="Z650" t="inlineStr">
        <is>
          <t>.</t>
        </is>
      </c>
      <c r="AA650" t="inlineStr">
        <is>
          <t>.</t>
        </is>
      </c>
      <c r="AB650" t="inlineStr">
        <is>
          <t>.</t>
        </is>
      </c>
      <c r="AC650" t="inlineStr">
        <is>
          <t>0/1</t>
        </is>
      </c>
      <c r="AD650" t="inlineStr">
        <is>
          <t>5;14</t>
        </is>
      </c>
      <c r="AE650" t="inlineStr">
        <is>
          <t>1.21111377105808e-32</t>
        </is>
      </c>
      <c r="AF650" t="inlineStr">
        <is>
          <t>microRNA 548n;titin</t>
        </is>
      </c>
      <c r="AG650" t="inlineStr">
        <is>
          <t xml:space="preserve">FUNCTION: Key component in the assembly and functioning of vertebrate striated muscles. By providing connections at the level of individual microfilaments, it contributes to the fine balance of forces between the two halves of the sarcomere. The size and extensibility of the cross-links are the main determinants of sarcomere extensibility properties of muscle. In non-muscle cells, seems to play a role in chromosome condensation and chromosome segregation during mitosis. Might link the lamina network to chromatin or nuclear actin, or both during interphase. {ECO:0000269|PubMed:9804419}.; </t>
        </is>
      </c>
      <c r="AH650" t="inlineStr">
        <is>
          <t xml:space="preserve">DISEASE: Hereditary myopathy with early respiratory failure (HMERF) [MIM:603689]: Autosomal dominant, adult-onset myopathy with early respiratory muscle involvement. {ECO:0000269|PubMed:15802564}. Note=The disease is caused by mutations affecting the gene represented in this entry.; DISEASE: Cardiomyopathy, familial hypertrophic 9 (CMH9) [MIM:613765]: A hereditary heart disorder characterized by ventricular hypertrophy, which is usually asymmetric and often involves the interventricular septum. The symptoms include dyspnea, syncope, collapse, palpitations, and chest pain. They can be readily provoked by exercise. The disorder has inter- and intrafamilial variability ranging from benign to malignant forms with high risk of cardiac failure and sudden cardiac death. {ECO:0000269|PubMed:10462489}. Note=The disease is caused by mutations affecting the gene represented in this entry.; DISEASE: Cardiomyopathy, dilated 1G (CMD1G) [MIM:604145]: A disorder characterized by ventricular dilation and impaired systolic function, resulting in congestive heart failure and arrhythmia. Patients are at risk of premature death. {ECO:0000269|PubMed:11788824, ECO:0000269|PubMed:11846417, ECO:0000269|PubMed:16465475}. Note=The disease is caused by mutations affecting the gene represented in this entry.; DISEASE: Tardive tibial muscular dystrophy (TMD) [MIM:600334]: Autosomal dominant, late-onset distal myopathy. Muscle weakness and atrophy are usually confined to the anterior compartment of the lower leg, in particular the tibialis anterior muscle. Clinical symptoms usually occur at age 35-45 years or much later. {ECO:0000269|PubMed:12145747, ECO:0000269|PubMed:12891679}. Note=The disease is caused by mutations affecting the gene represented in this entry.; DISEASE: Limb-girdle muscular dystrophy 2J (LGMD2J) [MIM:608807]: An autosomal recessive degenerative myopathy characterized by progressive weakness of the pelvic and shoulder girdle muscles. Severe disability is observed within 20 years of onset. {ECO:0000269|PubMed:12145747}. Note=The disease is caused by mutations affecting the gene represented in this entry.; DISEASE: Early-onset myopathy with fatal cardiomyopathy (EOMFC) [MIM:611705]: Early-onset myopathies are inherited muscle disorders that manifest typically from birth or infancy with hypotonia, muscle weakness, and delayed motor development. EOMFC is a titinopathy that, in contrast with the previously described examples, involves both heart and skeletal muscle, has a congenital onset, and is purely recessive. This phenotype is due to homozygous out-of-frame TTN deletions, which lead to a total absence of titin's C-terminal end from striated muscles and to secondary CAPN3 depletion. {ECO:0000269|PubMed:17444505}. Note=The disease is caused by mutations affecting the gene represented in this entry.; </t>
        </is>
      </c>
      <c r="AI650" t="inlineStr">
        <is>
          <t>.</t>
        </is>
      </c>
      <c r="AJ650" t="inlineStr">
        <is>
          <t>.</t>
        </is>
      </c>
      <c r="AK650" t="inlineStr">
        <is>
          <t>.</t>
        </is>
      </c>
      <c r="AL650" t="inlineStr">
        <is>
          <t>.</t>
        </is>
      </c>
    </row>
    <row r="651">
      <c r="A651" t="inlineStr"/>
      <c r="B651">
        <f>HYPERLINK("https://genome.ucsc.edu/cgi-bin/hgTracks?db=hg19&amp;position=chr2%3A179540087%2D179540088", "chr2:179540087")</f>
        <v/>
      </c>
      <c r="C651" t="inlineStr">
        <is>
          <t>chr2</t>
        </is>
      </c>
      <c r="D651" t="n">
        <v>179540087</v>
      </c>
      <c r="E651" t="n">
        <v>179540088</v>
      </c>
      <c r="F651" t="inlineStr">
        <is>
          <t>TT</t>
        </is>
      </c>
      <c r="G651" t="inlineStr">
        <is>
          <t>-</t>
        </is>
      </c>
      <c r="H651" t="inlineStr">
        <is>
          <t>42.60</t>
        </is>
      </c>
      <c r="I651" t="inlineStr">
        <is>
          <t>6</t>
        </is>
      </c>
      <c r="J651" t="inlineStr">
        <is>
          <t>4,2</t>
        </is>
      </c>
      <c r="K651" t="inlineStr">
        <is>
          <t>.</t>
        </is>
      </c>
      <c r="L651" t="inlineStr">
        <is>
          <t>.</t>
        </is>
      </c>
      <c r="M651">
        <f>HYPERLINK("https://www.genecards.org/Search/Keyword?queryString=%5Baliases%5D(%20MIR548N%20)%20OR%20%5Baliases%5D(%20TTN%20)&amp;keywords=MIR548N,TTN", "MIR548N;TTN")</f>
        <v/>
      </c>
      <c r="N651" t="inlineStr">
        <is>
          <t>intronic;ncRNA_intronic</t>
        </is>
      </c>
      <c r="O651" t="inlineStr">
        <is>
          <t>.</t>
        </is>
      </c>
      <c r="P651" t="inlineStr">
        <is>
          <t>.</t>
        </is>
      </c>
      <c r="Q651" t="n">
        <v>0.0053</v>
      </c>
      <c r="R651" t="n">
        <v>0.0003</v>
      </c>
      <c r="S651" t="n">
        <v>0.0007</v>
      </c>
      <c r="T651" t="n">
        <v>-1</v>
      </c>
      <c r="U651" t="n">
        <v>0.0005</v>
      </c>
      <c r="V651" t="inlineStr">
        <is>
          <t>.</t>
        </is>
      </c>
      <c r="W651" t="inlineStr">
        <is>
          <t>.</t>
        </is>
      </c>
      <c r="X651" t="inlineStr">
        <is>
          <t>.</t>
        </is>
      </c>
      <c r="Y651" t="inlineStr">
        <is>
          <t>.</t>
        </is>
      </c>
      <c r="Z651" t="inlineStr">
        <is>
          <t>.</t>
        </is>
      </c>
      <c r="AA651" t="inlineStr">
        <is>
          <t>.</t>
        </is>
      </c>
      <c r="AB651" t="inlineStr">
        <is>
          <t>.</t>
        </is>
      </c>
      <c r="AC651" t="inlineStr">
        <is>
          <t>0/1</t>
        </is>
      </c>
      <c r="AD651" t="inlineStr">
        <is>
          <t>5;14</t>
        </is>
      </c>
      <c r="AE651" t="inlineStr">
        <is>
          <t>1.21111377105808e-32</t>
        </is>
      </c>
      <c r="AF651" t="inlineStr">
        <is>
          <t>microRNA 548n;titin</t>
        </is>
      </c>
      <c r="AG651" t="inlineStr">
        <is>
          <t xml:space="preserve">FUNCTION: Key component in the assembly and functioning of vertebrate striated muscles. By providing connections at the level of individual microfilaments, it contributes to the fine balance of forces between the two halves of the sarcomere. The size and extensibility of the cross-links are the main determinants of sarcomere extensibility properties of muscle. In non-muscle cells, seems to play a role in chromosome condensation and chromosome segregation during mitosis. Might link the lamina network to chromatin or nuclear actin, or both during interphase. {ECO:0000269|PubMed:9804419}.; </t>
        </is>
      </c>
      <c r="AH651" t="inlineStr">
        <is>
          <t xml:space="preserve">DISEASE: Hereditary myopathy with early respiratory failure (HMERF) [MIM:603689]: Autosomal dominant, adult-onset myopathy with early respiratory muscle involvement. {ECO:0000269|PubMed:15802564}. Note=The disease is caused by mutations affecting the gene represented in this entry.; DISEASE: Cardiomyopathy, familial hypertrophic 9 (CMH9) [MIM:613765]: A hereditary heart disorder characterized by ventricular hypertrophy, which is usually asymmetric and often involves the interventricular septum. The symptoms include dyspnea, syncope, collapse, palpitations, and chest pain. They can be readily provoked by exercise. The disorder has inter- and intrafamilial variability ranging from benign to malignant forms with high risk of cardiac failure and sudden cardiac death. {ECO:0000269|PubMed:10462489}. Note=The disease is caused by mutations affecting the gene represented in this entry.; DISEASE: Cardiomyopathy, dilated 1G (CMD1G) [MIM:604145]: A disorder characterized by ventricular dilation and impaired systolic function, resulting in congestive heart failure and arrhythmia. Patients are at risk of premature death. {ECO:0000269|PubMed:11788824, ECO:0000269|PubMed:11846417, ECO:0000269|PubMed:16465475}. Note=The disease is caused by mutations affecting the gene represented in this entry.; DISEASE: Tardive tibial muscular dystrophy (TMD) [MIM:600334]: Autosomal dominant, late-onset distal myopathy. Muscle weakness and atrophy are usually confined to the anterior compartment of the lower leg, in particular the tibialis anterior muscle. Clinical symptoms usually occur at age 35-45 years or much later. {ECO:0000269|PubMed:12145747, ECO:0000269|PubMed:12891679}. Note=The disease is caused by mutations affecting the gene represented in this entry.; DISEASE: Limb-girdle muscular dystrophy 2J (LGMD2J) [MIM:608807]: An autosomal recessive degenerative myopathy characterized by progressive weakness of the pelvic and shoulder girdle muscles. Severe disability is observed within 20 years of onset. {ECO:0000269|PubMed:12145747}. Note=The disease is caused by mutations affecting the gene represented in this entry.; DISEASE: Early-onset myopathy with fatal cardiomyopathy (EOMFC) [MIM:611705]: Early-onset myopathies are inherited muscle disorders that manifest typically from birth or infancy with hypotonia, muscle weakness, and delayed motor development. EOMFC is a titinopathy that, in contrast with the previously described examples, involves both heart and skeletal muscle, has a congenital onset, and is purely recessive. This phenotype is due to homozygous out-of-frame TTN deletions, which lead to a total absence of titin's C-terminal end from striated muscles and to secondary CAPN3 depletion. {ECO:0000269|PubMed:17444505}. Note=The disease is caused by mutations affecting the gene represented in this entry.; </t>
        </is>
      </c>
      <c r="AI651" t="inlineStr">
        <is>
          <t>.</t>
        </is>
      </c>
      <c r="AJ651" t="inlineStr">
        <is>
          <t>.</t>
        </is>
      </c>
      <c r="AK651" t="inlineStr">
        <is>
          <t>.</t>
        </is>
      </c>
      <c r="AL651" t="inlineStr">
        <is>
          <t>.</t>
        </is>
      </c>
    </row>
    <row r="652">
      <c r="A652" t="inlineStr"/>
      <c r="B652">
        <f>HYPERLINK("https://genome.ucsc.edu/cgi-bin/hgTracks?db=hg19&amp;position=chr2%3A179548696%2D179548697", "chr2:179548696")</f>
        <v/>
      </c>
      <c r="C652" t="inlineStr">
        <is>
          <t>chr2</t>
        </is>
      </c>
      <c r="D652" t="n">
        <v>179548696</v>
      </c>
      <c r="E652" t="n">
        <v>179548697</v>
      </c>
      <c r="F652" t="inlineStr">
        <is>
          <t>TT</t>
        </is>
      </c>
      <c r="G652" t="inlineStr">
        <is>
          <t>-</t>
        </is>
      </c>
      <c r="H652" t="inlineStr">
        <is>
          <t>1042.02</t>
        </is>
      </c>
      <c r="I652" t="inlineStr">
        <is>
          <t>55</t>
        </is>
      </c>
      <c r="J652" t="inlineStr">
        <is>
          <t>3,10,36</t>
        </is>
      </c>
      <c r="K652" t="inlineStr">
        <is>
          <t>.</t>
        </is>
      </c>
      <c r="L652">
        <f>HYPERLINK("https://www.ncbi.nlm.nih.gov/snp/rs757150037", "rs757150037")</f>
        <v/>
      </c>
      <c r="M652">
        <f>HYPERLINK("https://www.genecards.org/Search/Keyword?queryString=%5Baliases%5D(%20TTN%20)&amp;keywords=TTN", "TTN")</f>
        <v/>
      </c>
      <c r="N652" t="inlineStr">
        <is>
          <t>intronic;ncRNA_intronic</t>
        </is>
      </c>
      <c r="O652" t="inlineStr">
        <is>
          <t>.</t>
        </is>
      </c>
      <c r="P652" t="inlineStr">
        <is>
          <t>.</t>
        </is>
      </c>
      <c r="Q652" t="n">
        <v>0.0072</v>
      </c>
      <c r="R652" t="n">
        <v>0.005</v>
      </c>
      <c r="S652" t="n">
        <v>0.0005999999999999999</v>
      </c>
      <c r="T652" t="n">
        <v>-1</v>
      </c>
      <c r="U652" t="n">
        <v>0.0017</v>
      </c>
      <c r="V652" t="inlineStr">
        <is>
          <t>.</t>
        </is>
      </c>
      <c r="W652" t="inlineStr">
        <is>
          <t>.</t>
        </is>
      </c>
      <c r="X652" t="inlineStr">
        <is>
          <t>.</t>
        </is>
      </c>
      <c r="Y652" t="inlineStr">
        <is>
          <t>.</t>
        </is>
      </c>
      <c r="Z652" t="inlineStr">
        <is>
          <t>.</t>
        </is>
      </c>
      <c r="AA652" t="inlineStr">
        <is>
          <t>.</t>
        </is>
      </c>
      <c r="AB652" t="inlineStr">
        <is>
          <t>.</t>
        </is>
      </c>
      <c r="AC652" t="inlineStr">
        <is>
          <t>1/2</t>
        </is>
      </c>
      <c r="AD652" t="inlineStr">
        <is>
          <t>14</t>
        </is>
      </c>
      <c r="AE652" t="inlineStr">
        <is>
          <t>1.21111377105808e-32</t>
        </is>
      </c>
      <c r="AF652" t="inlineStr">
        <is>
          <t>titin</t>
        </is>
      </c>
      <c r="AG652" t="inlineStr">
        <is>
          <t xml:space="preserve">FUNCTION: Key component in the assembly and functioning of vertebrate striated muscles. By providing connections at the level of individual microfilaments, it contributes to the fine balance of forces between the two halves of the sarcomere. The size and extensibility of the cross-links are the main determinants of sarcomere extensibility properties of muscle. In non-muscle cells, seems to play a role in chromosome condensation and chromosome segregation during mitosis. Might link the lamina network to chromatin or nuclear actin, or both during interphase. {ECO:0000269|PubMed:9804419}.; </t>
        </is>
      </c>
      <c r="AH652" t="inlineStr">
        <is>
          <t xml:space="preserve">DISEASE: Hereditary myopathy with early respiratory failure (HMERF) [MIM:603689]: Autosomal dominant, adult-onset myopathy with early respiratory muscle involvement. {ECO:0000269|PubMed:15802564}. Note=The disease is caused by mutations affecting the gene represented in this entry.; DISEASE: Cardiomyopathy, familial hypertrophic 9 (CMH9) [MIM:613765]: A hereditary heart disorder characterized by ventricular hypertrophy, which is usually asymmetric and often involves the interventricular septum. The symptoms include dyspnea, syncope, collapse, palpitations, and chest pain. They can be readily provoked by exercise. The disorder has inter- and intrafamilial variability ranging from benign to malignant forms with high risk of cardiac failure and sudden cardiac death. {ECO:0000269|PubMed:10462489}. Note=The disease is caused by mutations affecting the gene represented in this entry.; DISEASE: Cardiomyopathy, dilated 1G (CMD1G) [MIM:604145]: A disorder characterized by ventricular dilation and impaired systolic function, resulting in congestive heart failure and arrhythmia. Patients are at risk of premature death. {ECO:0000269|PubMed:11788824, ECO:0000269|PubMed:11846417, ECO:0000269|PubMed:16465475}. Note=The disease is caused by mutations affecting the gene represented in this entry.; DISEASE: Tardive tibial muscular dystrophy (TMD) [MIM:600334]: Autosomal dominant, late-onset distal myopathy. Muscle weakness and atrophy are usually confined to the anterior compartment of the lower leg, in particular the tibialis anterior muscle. Clinical symptoms usually occur at age 35-45 years or much later. {ECO:0000269|PubMed:12145747, ECO:0000269|PubMed:12891679}. Note=The disease is caused by mutations affecting the gene represented in this entry.; DISEASE: Limb-girdle muscular dystrophy 2J (LGMD2J) [MIM:608807]: An autosomal recessive degenerative myopathy characterized by progressive weakness of the pelvic and shoulder girdle muscles. Severe disability is observed within 20 years of onset. {ECO:0000269|PubMed:12145747}. Note=The disease is caused by mutations affecting the gene represented in this entry.; DISEASE: Early-onset myopathy with fatal cardiomyopathy (EOMFC) [MIM:611705]: Early-onset myopathies are inherited muscle disorders that manifest typically from birth or infancy with hypotonia, muscle weakness, and delayed motor development. EOMFC is a titinopathy that, in contrast with the previously described examples, involves both heart and skeletal muscle, has a congenital onset, and is purely recessive. This phenotype is due to homozygous out-of-frame TTN deletions, which lead to a total absence of titin's C-terminal end from striated muscles and to secondary CAPN3 depletion. {ECO:0000269|PubMed:17444505}. Note=The disease is caused by mutations affecting the gene represented in this entry.; </t>
        </is>
      </c>
      <c r="AI652" t="inlineStr">
        <is>
          <t>.</t>
        </is>
      </c>
      <c r="AJ652" t="inlineStr">
        <is>
          <t>.</t>
        </is>
      </c>
      <c r="AK652" t="inlineStr">
        <is>
          <t>.</t>
        </is>
      </c>
      <c r="AL652" t="inlineStr">
        <is>
          <t>.</t>
        </is>
      </c>
    </row>
    <row r="653">
      <c r="A653" t="inlineStr"/>
      <c r="B653">
        <f>HYPERLINK("https://genome.ucsc.edu/cgi-bin/hgTracks?db=hg19&amp;position=chr2%3A179548697%2D179548697", "chr2:179548697")</f>
        <v/>
      </c>
      <c r="C653" t="inlineStr">
        <is>
          <t>chr2</t>
        </is>
      </c>
      <c r="D653" t="n">
        <v>179548697</v>
      </c>
      <c r="E653" t="n">
        <v>179548697</v>
      </c>
      <c r="F653" t="inlineStr">
        <is>
          <t>T</t>
        </is>
      </c>
      <c r="G653" t="inlineStr">
        <is>
          <t>-</t>
        </is>
      </c>
      <c r="H653" t="inlineStr">
        <is>
          <t>1042.02</t>
        </is>
      </c>
      <c r="I653" t="inlineStr">
        <is>
          <t>55</t>
        </is>
      </c>
      <c r="J653" t="inlineStr">
        <is>
          <t>3,10,36</t>
        </is>
      </c>
      <c r="K653" t="inlineStr">
        <is>
          <t>.</t>
        </is>
      </c>
      <c r="L653" t="inlineStr">
        <is>
          <t>.</t>
        </is>
      </c>
      <c r="M653">
        <f>HYPERLINK("https://www.genecards.org/Search/Keyword?queryString=%5Baliases%5D(%20TTN%20)&amp;keywords=TTN", "TTN")</f>
        <v/>
      </c>
      <c r="N653" t="inlineStr">
        <is>
          <t>intronic;ncRNA_intronic</t>
        </is>
      </c>
      <c r="O653" t="inlineStr">
        <is>
          <t>.</t>
        </is>
      </c>
      <c r="P653" t="inlineStr">
        <is>
          <t>.</t>
        </is>
      </c>
      <c r="Q653" t="n">
        <v>-1</v>
      </c>
      <c r="R653" t="n">
        <v>-1</v>
      </c>
      <c r="S653" t="n">
        <v>-1</v>
      </c>
      <c r="T653" t="n">
        <v>-1</v>
      </c>
      <c r="U653" t="n">
        <v>-1</v>
      </c>
      <c r="V653" t="inlineStr">
        <is>
          <t>.</t>
        </is>
      </c>
      <c r="W653" t="inlineStr">
        <is>
          <t>.</t>
        </is>
      </c>
      <c r="X653" t="inlineStr">
        <is>
          <t>.</t>
        </is>
      </c>
      <c r="Y653" t="inlineStr">
        <is>
          <t>.</t>
        </is>
      </c>
      <c r="Z653" t="inlineStr">
        <is>
          <t>.</t>
        </is>
      </c>
      <c r="AA653" t="inlineStr">
        <is>
          <t>.</t>
        </is>
      </c>
      <c r="AB653" t="inlineStr">
        <is>
          <t>.</t>
        </is>
      </c>
      <c r="AC653" t="inlineStr">
        <is>
          <t>1/2</t>
        </is>
      </c>
      <c r="AD653" t="inlineStr">
        <is>
          <t>14</t>
        </is>
      </c>
      <c r="AE653" t="inlineStr">
        <is>
          <t>1.21111377105808e-32</t>
        </is>
      </c>
      <c r="AF653" t="inlineStr">
        <is>
          <t>titin</t>
        </is>
      </c>
      <c r="AG653" t="inlineStr">
        <is>
          <t xml:space="preserve">FUNCTION: Key component in the assembly and functioning of vertebrate striated muscles. By providing connections at the level of individual microfilaments, it contributes to the fine balance of forces between the two halves of the sarcomere. The size and extensibility of the cross-links are the main determinants of sarcomere extensibility properties of muscle. In non-muscle cells, seems to play a role in chromosome condensation and chromosome segregation during mitosis. Might link the lamina network to chromatin or nuclear actin, or both during interphase. {ECO:0000269|PubMed:9804419}.; </t>
        </is>
      </c>
      <c r="AH653" t="inlineStr">
        <is>
          <t xml:space="preserve">DISEASE: Hereditary myopathy with early respiratory failure (HMERF) [MIM:603689]: Autosomal dominant, adult-onset myopathy with early respiratory muscle involvement. {ECO:0000269|PubMed:15802564}. Note=The disease is caused by mutations affecting the gene represented in this entry.; DISEASE: Cardiomyopathy, familial hypertrophic 9 (CMH9) [MIM:613765]: A hereditary heart disorder characterized by ventricular hypertrophy, which is usually asymmetric and often involves the interventricular septum. The symptoms include dyspnea, syncope, collapse, palpitations, and chest pain. They can be readily provoked by exercise. The disorder has inter- and intrafamilial variability ranging from benign to malignant forms with high risk of cardiac failure and sudden cardiac death. {ECO:0000269|PubMed:10462489}. Note=The disease is caused by mutations affecting the gene represented in this entry.; DISEASE: Cardiomyopathy, dilated 1G (CMD1G) [MIM:604145]: A disorder characterized by ventricular dilation and impaired systolic function, resulting in congestive heart failure and arrhythmia. Patients are at risk of premature death. {ECO:0000269|PubMed:11788824, ECO:0000269|PubMed:11846417, ECO:0000269|PubMed:16465475}. Note=The disease is caused by mutations affecting the gene represented in this entry.; DISEASE: Tardive tibial muscular dystrophy (TMD) [MIM:600334]: Autosomal dominant, late-onset distal myopathy. Muscle weakness and atrophy are usually confined to the anterior compartment of the lower leg, in particular the tibialis anterior muscle. Clinical symptoms usually occur at age 35-45 years or much later. {ECO:0000269|PubMed:12145747, ECO:0000269|PubMed:12891679}. Note=The disease is caused by mutations affecting the gene represented in this entry.; DISEASE: Limb-girdle muscular dystrophy 2J (LGMD2J) [MIM:608807]: An autosomal recessive degenerative myopathy characterized by progressive weakness of the pelvic and shoulder girdle muscles. Severe disability is observed within 20 years of onset. {ECO:0000269|PubMed:12145747}. Note=The disease is caused by mutations affecting the gene represented in this entry.; DISEASE: Early-onset myopathy with fatal cardiomyopathy (EOMFC) [MIM:611705]: Early-onset myopathies are inherited muscle disorders that manifest typically from birth or infancy with hypotonia, muscle weakness, and delayed motor development. EOMFC is a titinopathy that, in contrast with the previously described examples, involves both heart and skeletal muscle, has a congenital onset, and is purely recessive. This phenotype is due to homozygous out-of-frame TTN deletions, which lead to a total absence of titin's C-terminal end from striated muscles and to secondary CAPN3 depletion. {ECO:0000269|PubMed:17444505}. Note=The disease is caused by mutations affecting the gene represented in this entry.; </t>
        </is>
      </c>
      <c r="AI653" t="inlineStr">
        <is>
          <t>.</t>
        </is>
      </c>
      <c r="AJ653" t="inlineStr">
        <is>
          <t>.</t>
        </is>
      </c>
      <c r="AK653" t="inlineStr">
        <is>
          <t>.</t>
        </is>
      </c>
      <c r="AL653" t="inlineStr">
        <is>
          <t>.</t>
        </is>
      </c>
    </row>
    <row r="654">
      <c r="A654" t="inlineStr"/>
      <c r="B654">
        <f>HYPERLINK("https://genome.ucsc.edu/cgi-bin/hgTracks?db=hg19&amp;position=chr2%3A179553731%2D179553731", "chr2:179553731")</f>
        <v/>
      </c>
      <c r="C654" t="inlineStr">
        <is>
          <t>chr2</t>
        </is>
      </c>
      <c r="D654" t="n">
        <v>179553731</v>
      </c>
      <c r="E654" t="n">
        <v>179553731</v>
      </c>
      <c r="F654" t="inlineStr">
        <is>
          <t>T</t>
        </is>
      </c>
      <c r="G654" t="inlineStr">
        <is>
          <t>-</t>
        </is>
      </c>
      <c r="H654" t="inlineStr">
        <is>
          <t>193.60</t>
        </is>
      </c>
      <c r="I654" t="inlineStr">
        <is>
          <t>36</t>
        </is>
      </c>
      <c r="J654" t="inlineStr">
        <is>
          <t>13,10</t>
        </is>
      </c>
      <c r="K654" t="inlineStr">
        <is>
          <t>.</t>
        </is>
      </c>
      <c r="L654">
        <f>HYPERLINK("https://www.ncbi.nlm.nih.gov/snp/rs35770337", "rs35770337")</f>
        <v/>
      </c>
      <c r="M654">
        <f>HYPERLINK("https://www.genecards.org/Search/Keyword?queryString=%5Baliases%5D(%20TTN%20)&amp;keywords=TTN", "TTN")</f>
        <v/>
      </c>
      <c r="N654" t="inlineStr">
        <is>
          <t>intronic;ncRNA_intronic</t>
        </is>
      </c>
      <c r="O654" t="inlineStr">
        <is>
          <t>.</t>
        </is>
      </c>
      <c r="P654" t="inlineStr">
        <is>
          <t>.</t>
        </is>
      </c>
      <c r="Q654" t="n">
        <v>1.94e-05</v>
      </c>
      <c r="R654" t="n">
        <v>-1</v>
      </c>
      <c r="S654" t="n">
        <v>-1</v>
      </c>
      <c r="T654" t="n">
        <v>-1</v>
      </c>
      <c r="U654" t="n">
        <v>-1</v>
      </c>
      <c r="V654" t="inlineStr">
        <is>
          <t>.</t>
        </is>
      </c>
      <c r="W654" t="inlineStr">
        <is>
          <t>.</t>
        </is>
      </c>
      <c r="X654" t="inlineStr">
        <is>
          <t>.</t>
        </is>
      </c>
      <c r="Y654" t="inlineStr">
        <is>
          <t>.</t>
        </is>
      </c>
      <c r="Z654" t="inlineStr">
        <is>
          <t>.</t>
        </is>
      </c>
      <c r="AA654" t="inlineStr">
        <is>
          <t>.</t>
        </is>
      </c>
      <c r="AB654" t="inlineStr">
        <is>
          <t>.</t>
        </is>
      </c>
      <c r="AC654" t="inlineStr">
        <is>
          <t>0/1</t>
        </is>
      </c>
      <c r="AD654" t="inlineStr">
        <is>
          <t>14</t>
        </is>
      </c>
      <c r="AE654" t="inlineStr">
        <is>
          <t>1.21111377105808e-32</t>
        </is>
      </c>
      <c r="AF654" t="inlineStr">
        <is>
          <t>titin</t>
        </is>
      </c>
      <c r="AG654" t="inlineStr">
        <is>
          <t xml:space="preserve">FUNCTION: Key component in the assembly and functioning of vertebrate striated muscles. By providing connections at the level of individual microfilaments, it contributes to the fine balance of forces between the two halves of the sarcomere. The size and extensibility of the cross-links are the main determinants of sarcomere extensibility properties of muscle. In non-muscle cells, seems to play a role in chromosome condensation and chromosome segregation during mitosis. Might link the lamina network to chromatin or nuclear actin, or both during interphase. {ECO:0000269|PubMed:9804419}.; </t>
        </is>
      </c>
      <c r="AH654" t="inlineStr">
        <is>
          <t xml:space="preserve">DISEASE: Hereditary myopathy with early respiratory failure (HMERF) [MIM:603689]: Autosomal dominant, adult-onset myopathy with early respiratory muscle involvement. {ECO:0000269|PubMed:15802564}. Note=The disease is caused by mutations affecting the gene represented in this entry.; DISEASE: Cardiomyopathy, familial hypertrophic 9 (CMH9) [MIM:613765]: A hereditary heart disorder characterized by ventricular hypertrophy, which is usually asymmetric and often involves the interventricular septum. The symptoms include dyspnea, syncope, collapse, palpitations, and chest pain. They can be readily provoked by exercise. The disorder has inter- and intrafamilial variability ranging from benign to malignant forms with high risk of cardiac failure and sudden cardiac death. {ECO:0000269|PubMed:10462489}. Note=The disease is caused by mutations affecting the gene represented in this entry.; DISEASE: Cardiomyopathy, dilated 1G (CMD1G) [MIM:604145]: A disorder characterized by ventricular dilation and impaired systolic function, resulting in congestive heart failure and arrhythmia. Patients are at risk of premature death. {ECO:0000269|PubMed:11788824, ECO:0000269|PubMed:11846417, ECO:0000269|PubMed:16465475}. Note=The disease is caused by mutations affecting the gene represented in this entry.; DISEASE: Tardive tibial muscular dystrophy (TMD) [MIM:600334]: Autosomal dominant, late-onset distal myopathy. Muscle weakness and atrophy are usually confined to the anterior compartment of the lower leg, in particular the tibialis anterior muscle. Clinical symptoms usually occur at age 35-45 years or much later. {ECO:0000269|PubMed:12145747, ECO:0000269|PubMed:12891679}. Note=The disease is caused by mutations affecting the gene represented in this entry.; DISEASE: Limb-girdle muscular dystrophy 2J (LGMD2J) [MIM:608807]: An autosomal recessive degenerative myopathy characterized by progressive weakness of the pelvic and shoulder girdle muscles. Severe disability is observed within 20 years of onset. {ECO:0000269|PubMed:12145747}. Note=The disease is caused by mutations affecting the gene represented in this entry.; DISEASE: Early-onset myopathy with fatal cardiomyopathy (EOMFC) [MIM:611705]: Early-onset myopathies are inherited muscle disorders that manifest typically from birth or infancy with hypotonia, muscle weakness, and delayed motor development. EOMFC is a titinopathy that, in contrast with the previously described examples, involves both heart and skeletal muscle, has a congenital onset, and is purely recessive. This phenotype is due to homozygous out-of-frame TTN deletions, which lead to a total absence of titin's C-terminal end from striated muscles and to secondary CAPN3 depletion. {ECO:0000269|PubMed:17444505}. Note=The disease is caused by mutations affecting the gene represented in this entry.; </t>
        </is>
      </c>
      <c r="AI654" t="inlineStr">
        <is>
          <t>.</t>
        </is>
      </c>
      <c r="AJ654" t="inlineStr">
        <is>
          <t>.</t>
        </is>
      </c>
      <c r="AK654" t="inlineStr">
        <is>
          <t>.</t>
        </is>
      </c>
      <c r="AL654" t="inlineStr">
        <is>
          <t>.</t>
        </is>
      </c>
    </row>
    <row r="655">
      <c r="A655" t="inlineStr"/>
      <c r="B655">
        <f>HYPERLINK("https://genome.ucsc.edu/cgi-bin/hgTracks?db=hg19&amp;position=chr2%3A179572088%2D179572088", "chr2:179572088")</f>
        <v/>
      </c>
      <c r="C655" t="inlineStr">
        <is>
          <t>chr2</t>
        </is>
      </c>
      <c r="D655" t="n">
        <v>179572088</v>
      </c>
      <c r="E655" t="n">
        <v>179572088</v>
      </c>
      <c r="F655" t="inlineStr">
        <is>
          <t>T</t>
        </is>
      </c>
      <c r="G655" t="inlineStr">
        <is>
          <t>C</t>
        </is>
      </c>
      <c r="H655" t="inlineStr">
        <is>
          <t>307.64</t>
        </is>
      </c>
      <c r="I655" t="inlineStr">
        <is>
          <t>15</t>
        </is>
      </c>
      <c r="J655" t="inlineStr">
        <is>
          <t>6,9</t>
        </is>
      </c>
      <c r="K655" t="inlineStr">
        <is>
          <t>.</t>
        </is>
      </c>
      <c r="L655">
        <f>HYPERLINK("https://www.ncbi.nlm.nih.gov/snp/rs77643383", "rs77643383")</f>
        <v/>
      </c>
      <c r="M655">
        <f>HYPERLINK("https://www.genecards.org/Search/Keyword?queryString=%5Baliases%5D(%20TTN%20)&amp;keywords=TTN", "TTN")</f>
        <v/>
      </c>
      <c r="N655" t="inlineStr">
        <is>
          <t>intronic;ncRNA_intronic</t>
        </is>
      </c>
      <c r="O655" t="inlineStr">
        <is>
          <t>.</t>
        </is>
      </c>
      <c r="P655" t="inlineStr">
        <is>
          <t>.</t>
        </is>
      </c>
      <c r="Q655" t="n">
        <v>0.0196</v>
      </c>
      <c r="R655" t="n">
        <v>0.0197</v>
      </c>
      <c r="S655" t="n">
        <v>0.0192</v>
      </c>
      <c r="T655" t="n">
        <v>-1</v>
      </c>
      <c r="U655" t="n">
        <v>0.0165</v>
      </c>
      <c r="V655" t="inlineStr">
        <is>
          <t>.</t>
        </is>
      </c>
      <c r="W655" t="inlineStr">
        <is>
          <t>.</t>
        </is>
      </c>
      <c r="X655" t="inlineStr">
        <is>
          <t>B</t>
        </is>
      </c>
      <c r="Y655" t="inlineStr">
        <is>
          <t>off</t>
        </is>
      </c>
      <c r="Z655" t="inlineStr">
        <is>
          <t>.</t>
        </is>
      </c>
      <c r="AA655" t="inlineStr">
        <is>
          <t>.</t>
        </is>
      </c>
      <c r="AB655" t="inlineStr">
        <is>
          <t>.</t>
        </is>
      </c>
      <c r="AC655" t="inlineStr">
        <is>
          <t>0/1</t>
        </is>
      </c>
      <c r="AD655" t="inlineStr">
        <is>
          <t>14</t>
        </is>
      </c>
      <c r="AE655" t="inlineStr">
        <is>
          <t>1.21111377105808e-32</t>
        </is>
      </c>
      <c r="AF655" t="inlineStr">
        <is>
          <t>titin</t>
        </is>
      </c>
      <c r="AG655" t="inlineStr">
        <is>
          <t xml:space="preserve">FUNCTION: Key component in the assembly and functioning of vertebrate striated muscles. By providing connections at the level of individual microfilaments, it contributes to the fine balance of forces between the two halves of the sarcomere. The size and extensibility of the cross-links are the main determinants of sarcomere extensibility properties of muscle. In non-muscle cells, seems to play a role in chromosome condensation and chromosome segregation during mitosis. Might link the lamina network to chromatin or nuclear actin, or both during interphase. {ECO:0000269|PubMed:9804419}.; </t>
        </is>
      </c>
      <c r="AH655" t="inlineStr">
        <is>
          <t xml:space="preserve">DISEASE: Hereditary myopathy with early respiratory failure (HMERF) [MIM:603689]: Autosomal dominant, adult-onset myopathy with early respiratory muscle involvement. {ECO:0000269|PubMed:15802564}. Note=The disease is caused by mutations affecting the gene represented in this entry.; DISEASE: Cardiomyopathy, familial hypertrophic 9 (CMH9) [MIM:613765]: A hereditary heart disorder characterized by ventricular hypertrophy, which is usually asymmetric and often involves the interventricular septum. The symptoms include dyspnea, syncope, collapse, palpitations, and chest pain. They can be readily provoked by exercise. The disorder has inter- and intrafamilial variability ranging from benign to malignant forms with high risk of cardiac failure and sudden cardiac death. {ECO:0000269|PubMed:10462489}. Note=The disease is caused by mutations affecting the gene represented in this entry.; DISEASE: Cardiomyopathy, dilated 1G (CMD1G) [MIM:604145]: A disorder characterized by ventricular dilation and impaired systolic function, resulting in congestive heart failure and arrhythmia. Patients are at risk of premature death. {ECO:0000269|PubMed:11788824, ECO:0000269|PubMed:11846417, ECO:0000269|PubMed:16465475}. Note=The disease is caused by mutations affecting the gene represented in this entry.; DISEASE: Tardive tibial muscular dystrophy (TMD) [MIM:600334]: Autosomal dominant, late-onset distal myopathy. Muscle weakness and atrophy are usually confined to the anterior compartment of the lower leg, in particular the tibialis anterior muscle. Clinical symptoms usually occur at age 35-45 years or much later. {ECO:0000269|PubMed:12145747, ECO:0000269|PubMed:12891679}. Note=The disease is caused by mutations affecting the gene represented in this entry.; DISEASE: Limb-girdle muscular dystrophy 2J (LGMD2J) [MIM:608807]: An autosomal recessive degenerative myopathy characterized by progressive weakness of the pelvic and shoulder girdle muscles. Severe disability is observed within 20 years of onset. {ECO:0000269|PubMed:12145747}. Note=The disease is caused by mutations affecting the gene represented in this entry.; DISEASE: Early-onset myopathy with fatal cardiomyopathy (EOMFC) [MIM:611705]: Early-onset myopathies are inherited muscle disorders that manifest typically from birth or infancy with hypotonia, muscle weakness, and delayed motor development. EOMFC is a titinopathy that, in contrast with the previously described examples, involves both heart and skeletal muscle, has a congenital onset, and is purely recessive. This phenotype is due to homozygous out-of-frame TTN deletions, which lead to a total absence of titin's C-terminal end from striated muscles and to secondary CAPN3 depletion. {ECO:0000269|PubMed:17444505}. Note=The disease is caused by mutations affecting the gene represented in this entry.; </t>
        </is>
      </c>
      <c r="AI655" t="inlineStr">
        <is>
          <t>.</t>
        </is>
      </c>
      <c r="AJ655" t="inlineStr">
        <is>
          <t>.</t>
        </is>
      </c>
      <c r="AK655" t="inlineStr">
        <is>
          <t>.</t>
        </is>
      </c>
      <c r="AL655" t="inlineStr">
        <is>
          <t>.</t>
        </is>
      </c>
    </row>
    <row r="656">
      <c r="A656" t="inlineStr"/>
      <c r="B656">
        <f>HYPERLINK("https://genome.ucsc.edu/cgi-bin/hgTracks?db=hg19&amp;position=chr2%3A179589703%2D179589703", "chr2:179589703")</f>
        <v/>
      </c>
      <c r="C656" t="inlineStr">
        <is>
          <t>chr2</t>
        </is>
      </c>
      <c r="D656" t="n">
        <v>179589703</v>
      </c>
      <c r="E656" t="n">
        <v>179589703</v>
      </c>
      <c r="F656" t="inlineStr">
        <is>
          <t>T</t>
        </is>
      </c>
      <c r="G656" t="inlineStr">
        <is>
          <t>C</t>
        </is>
      </c>
      <c r="H656" t="inlineStr">
        <is>
          <t>34.64</t>
        </is>
      </c>
      <c r="I656" t="inlineStr">
        <is>
          <t>9</t>
        </is>
      </c>
      <c r="J656" t="inlineStr">
        <is>
          <t>7,2</t>
        </is>
      </c>
      <c r="K656" t="inlineStr">
        <is>
          <t>.</t>
        </is>
      </c>
      <c r="L656" t="inlineStr">
        <is>
          <t>.</t>
        </is>
      </c>
      <c r="M656">
        <f>HYPERLINK("https://www.genecards.org/Search/Keyword?queryString=%5Baliases%5D(%20TTN%20)&amp;keywords=TTN", "TTN")</f>
        <v/>
      </c>
      <c r="N656" t="inlineStr">
        <is>
          <t>intronic;ncRNA_exonic</t>
        </is>
      </c>
      <c r="O656" t="inlineStr">
        <is>
          <t>.</t>
        </is>
      </c>
      <c r="P656" t="inlineStr">
        <is>
          <t>.</t>
        </is>
      </c>
      <c r="Q656" t="n">
        <v>-1</v>
      </c>
      <c r="R656" t="n">
        <v>-1</v>
      </c>
      <c r="S656" t="n">
        <v>-1</v>
      </c>
      <c r="T656" t="n">
        <v>-1</v>
      </c>
      <c r="U656" t="n">
        <v>-1</v>
      </c>
      <c r="V656" t="inlineStr">
        <is>
          <t>.</t>
        </is>
      </c>
      <c r="W656" t="inlineStr">
        <is>
          <t>.</t>
        </is>
      </c>
      <c r="X656" t="inlineStr">
        <is>
          <t>.</t>
        </is>
      </c>
      <c r="Y656" t="inlineStr">
        <is>
          <t>.</t>
        </is>
      </c>
      <c r="Z656" t="inlineStr">
        <is>
          <t>.</t>
        </is>
      </c>
      <c r="AA656" t="inlineStr">
        <is>
          <t>.</t>
        </is>
      </c>
      <c r="AB656" t="inlineStr">
        <is>
          <t>.</t>
        </is>
      </c>
      <c r="AC656" t="inlineStr">
        <is>
          <t>0/1</t>
        </is>
      </c>
      <c r="AD656" t="inlineStr">
        <is>
          <t>14</t>
        </is>
      </c>
      <c r="AE656" t="inlineStr">
        <is>
          <t>1.21111377105808e-32</t>
        </is>
      </c>
      <c r="AF656" t="inlineStr">
        <is>
          <t>titin</t>
        </is>
      </c>
      <c r="AG656" t="inlineStr">
        <is>
          <t xml:space="preserve">FUNCTION: Key component in the assembly and functioning of vertebrate striated muscles. By providing connections at the level of individual microfilaments, it contributes to the fine balance of forces between the two halves of the sarcomere. The size and extensibility of the cross-links are the main determinants of sarcomere extensibility properties of muscle. In non-muscle cells, seems to play a role in chromosome condensation and chromosome segregation during mitosis. Might link the lamina network to chromatin or nuclear actin, or both during interphase. {ECO:0000269|PubMed:9804419}.; </t>
        </is>
      </c>
      <c r="AH656" t="inlineStr">
        <is>
          <t xml:space="preserve">DISEASE: Hereditary myopathy with early respiratory failure (HMERF) [MIM:603689]: Autosomal dominant, adult-onset myopathy with early respiratory muscle involvement. {ECO:0000269|PubMed:15802564}. Note=The disease is caused by mutations affecting the gene represented in this entry.; DISEASE: Cardiomyopathy, familial hypertrophic 9 (CMH9) [MIM:613765]: A hereditary heart disorder characterized by ventricular hypertrophy, which is usually asymmetric and often involves the interventricular septum. The symptoms include dyspnea, syncope, collapse, palpitations, and chest pain. They can be readily provoked by exercise. The disorder has inter- and intrafamilial variability ranging from benign to malignant forms with high risk of cardiac failure and sudden cardiac death. {ECO:0000269|PubMed:10462489}. Note=The disease is caused by mutations affecting the gene represented in this entry.; DISEASE: Cardiomyopathy, dilated 1G (CMD1G) [MIM:604145]: A disorder characterized by ventricular dilation and impaired systolic function, resulting in congestive heart failure and arrhythmia. Patients are at risk of premature death. {ECO:0000269|PubMed:11788824, ECO:0000269|PubMed:11846417, ECO:0000269|PubMed:16465475}. Note=The disease is caused by mutations affecting the gene represented in this entry.; DISEASE: Tardive tibial muscular dystrophy (TMD) [MIM:600334]: Autosomal dominant, late-onset distal myopathy. Muscle weakness and atrophy are usually confined to the anterior compartment of the lower leg, in particular the tibialis anterior muscle. Clinical symptoms usually occur at age 35-45 years or much later. {ECO:0000269|PubMed:12145747, ECO:0000269|PubMed:12891679}. Note=The disease is caused by mutations affecting the gene represented in this entry.; DISEASE: Limb-girdle muscular dystrophy 2J (LGMD2J) [MIM:608807]: An autosomal recessive degenerative myopathy characterized by progressive weakness of the pelvic and shoulder girdle muscles. Severe disability is observed within 20 years of onset. {ECO:0000269|PubMed:12145747}. Note=The disease is caused by mutations affecting the gene represented in this entry.; DISEASE: Early-onset myopathy with fatal cardiomyopathy (EOMFC) [MIM:611705]: Early-onset myopathies are inherited muscle disorders that manifest typically from birth or infancy with hypotonia, muscle weakness, and delayed motor development. EOMFC is a titinopathy that, in contrast with the previously described examples, involves both heart and skeletal muscle, has a congenital onset, and is purely recessive. This phenotype is due to homozygous out-of-frame TTN deletions, which lead to a total absence of titin's C-terminal end from striated muscles and to secondary CAPN3 depletion. {ECO:0000269|PubMed:17444505}. Note=The disease is caused by mutations affecting the gene represented in this entry.; </t>
        </is>
      </c>
      <c r="AI656" t="inlineStr">
        <is>
          <t>.</t>
        </is>
      </c>
      <c r="AJ656" t="inlineStr">
        <is>
          <t>.</t>
        </is>
      </c>
      <c r="AK656" t="inlineStr">
        <is>
          <t>.</t>
        </is>
      </c>
      <c r="AL656" t="inlineStr">
        <is>
          <t>.</t>
        </is>
      </c>
    </row>
    <row r="657">
      <c r="A657" t="inlineStr"/>
      <c r="B657">
        <f>HYPERLINK("https://genome.ucsc.edu/cgi-bin/hgTracks?db=hg19&amp;position=chr2%3A179594767%2D179594767", "chr2:179594767")</f>
        <v/>
      </c>
      <c r="C657" t="inlineStr">
        <is>
          <t>chr2</t>
        </is>
      </c>
      <c r="D657" t="n">
        <v>179594767</v>
      </c>
      <c r="E657" t="n">
        <v>179594767</v>
      </c>
      <c r="F657" t="inlineStr">
        <is>
          <t>C</t>
        </is>
      </c>
      <c r="G657" t="inlineStr">
        <is>
          <t>A</t>
        </is>
      </c>
      <c r="H657" t="inlineStr">
        <is>
          <t>189.64</t>
        </is>
      </c>
      <c r="I657" t="inlineStr">
        <is>
          <t>58</t>
        </is>
      </c>
      <c r="J657" t="inlineStr">
        <is>
          <t>45,13</t>
        </is>
      </c>
      <c r="K657" t="inlineStr">
        <is>
          <t>.</t>
        </is>
      </c>
      <c r="L657" t="inlineStr">
        <is>
          <t>.</t>
        </is>
      </c>
      <c r="M657">
        <f>HYPERLINK("https://www.genecards.org/Search/Keyword?queryString=%5Baliases%5D(%20TTN%20)&amp;keywords=TTN", "TTN")</f>
        <v/>
      </c>
      <c r="N657" t="inlineStr">
        <is>
          <t>intronic;ncRNA_intronic</t>
        </is>
      </c>
      <c r="O657" t="inlineStr">
        <is>
          <t>.</t>
        </is>
      </c>
      <c r="P657" t="inlineStr">
        <is>
          <t>.</t>
        </is>
      </c>
      <c r="Q657" t="n">
        <v>-1</v>
      </c>
      <c r="R657" t="n">
        <v>-1</v>
      </c>
      <c r="S657" t="n">
        <v>-1</v>
      </c>
      <c r="T657" t="n">
        <v>-1</v>
      </c>
      <c r="U657" t="n">
        <v>-1</v>
      </c>
      <c r="V657" t="inlineStr">
        <is>
          <t>.</t>
        </is>
      </c>
      <c r="W657" t="inlineStr">
        <is>
          <t>.</t>
        </is>
      </c>
      <c r="X657" t="inlineStr">
        <is>
          <t>B</t>
        </is>
      </c>
      <c r="Y657" t="inlineStr">
        <is>
          <t>off</t>
        </is>
      </c>
      <c r="Z657" t="inlineStr">
        <is>
          <t>.</t>
        </is>
      </c>
      <c r="AA657" t="inlineStr">
        <is>
          <t>.</t>
        </is>
      </c>
      <c r="AB657" t="inlineStr">
        <is>
          <t>.</t>
        </is>
      </c>
      <c r="AC657" t="inlineStr">
        <is>
          <t>0/1</t>
        </is>
      </c>
      <c r="AD657" t="inlineStr">
        <is>
          <t>14</t>
        </is>
      </c>
      <c r="AE657" t="inlineStr">
        <is>
          <t>1.21111377105808e-32</t>
        </is>
      </c>
      <c r="AF657" t="inlineStr">
        <is>
          <t>titin</t>
        </is>
      </c>
      <c r="AG657" t="inlineStr">
        <is>
          <t xml:space="preserve">FUNCTION: Key component in the assembly and functioning of vertebrate striated muscles. By providing connections at the level of individual microfilaments, it contributes to the fine balance of forces between the two halves of the sarcomere. The size and extensibility of the cross-links are the main determinants of sarcomere extensibility properties of muscle. In non-muscle cells, seems to play a role in chromosome condensation and chromosome segregation during mitosis. Might link the lamina network to chromatin or nuclear actin, or both during interphase. {ECO:0000269|PubMed:9804419}.; </t>
        </is>
      </c>
      <c r="AH657" t="inlineStr">
        <is>
          <t xml:space="preserve">DISEASE: Hereditary myopathy with early respiratory failure (HMERF) [MIM:603689]: Autosomal dominant, adult-onset myopathy with early respiratory muscle involvement. {ECO:0000269|PubMed:15802564}. Note=The disease is caused by mutations affecting the gene represented in this entry.; DISEASE: Cardiomyopathy, familial hypertrophic 9 (CMH9) [MIM:613765]: A hereditary heart disorder characterized by ventricular hypertrophy, which is usually asymmetric and often involves the interventricular septum. The symptoms include dyspnea, syncope, collapse, palpitations, and chest pain. They can be readily provoked by exercise. The disorder has inter- and intrafamilial variability ranging from benign to malignant forms with high risk of cardiac failure and sudden cardiac death. {ECO:0000269|PubMed:10462489}. Note=The disease is caused by mutations affecting the gene represented in this entry.; DISEASE: Cardiomyopathy, dilated 1G (CMD1G) [MIM:604145]: A disorder characterized by ventricular dilation and impaired systolic function, resulting in congestive heart failure and arrhythmia. Patients are at risk of premature death. {ECO:0000269|PubMed:11788824, ECO:0000269|PubMed:11846417, ECO:0000269|PubMed:16465475}. Note=The disease is caused by mutations affecting the gene represented in this entry.; DISEASE: Tardive tibial muscular dystrophy (TMD) [MIM:600334]: Autosomal dominant, late-onset distal myopathy. Muscle weakness and atrophy are usually confined to the anterior compartment of the lower leg, in particular the tibialis anterior muscle. Clinical symptoms usually occur at age 35-45 years or much later. {ECO:0000269|PubMed:12145747, ECO:0000269|PubMed:12891679}. Note=The disease is caused by mutations affecting the gene represented in this entry.; DISEASE: Limb-girdle muscular dystrophy 2J (LGMD2J) [MIM:608807]: An autosomal recessive degenerative myopathy characterized by progressive weakness of the pelvic and shoulder girdle muscles. Severe disability is observed within 20 years of onset. {ECO:0000269|PubMed:12145747}. Note=The disease is caused by mutations affecting the gene represented in this entry.; DISEASE: Early-onset myopathy with fatal cardiomyopathy (EOMFC) [MIM:611705]: Early-onset myopathies are inherited muscle disorders that manifest typically from birth or infancy with hypotonia, muscle weakness, and delayed motor development. EOMFC is a titinopathy that, in contrast with the previously described examples, involves both heart and skeletal muscle, has a congenital onset, and is purely recessive. This phenotype is due to homozygous out-of-frame TTN deletions, which lead to a total absence of titin's C-terminal end from striated muscles and to secondary CAPN3 depletion. {ECO:0000269|PubMed:17444505}. Note=The disease is caused by mutations affecting the gene represented in this entry.; </t>
        </is>
      </c>
      <c r="AI657" t="inlineStr">
        <is>
          <t>.</t>
        </is>
      </c>
      <c r="AJ657" t="inlineStr">
        <is>
          <t>.</t>
        </is>
      </c>
      <c r="AK657" t="inlineStr">
        <is>
          <t>.</t>
        </is>
      </c>
      <c r="AL657" t="inlineStr">
        <is>
          <t>.</t>
        </is>
      </c>
    </row>
    <row r="658">
      <c r="A658" t="inlineStr"/>
      <c r="B658">
        <f>HYPERLINK("https://genome.ucsc.edu/cgi-bin/hgTracks?db=hg19&amp;position=chr2%3A179632155%2D179632155", "chr2:179632155")</f>
        <v/>
      </c>
      <c r="C658" t="inlineStr">
        <is>
          <t>chr2</t>
        </is>
      </c>
      <c r="D658" t="n">
        <v>179632155</v>
      </c>
      <c r="E658" t="n">
        <v>179632155</v>
      </c>
      <c r="F658" t="inlineStr">
        <is>
          <t>T</t>
        </is>
      </c>
      <c r="G658" t="inlineStr">
        <is>
          <t>A</t>
        </is>
      </c>
      <c r="H658" t="inlineStr">
        <is>
          <t>35.64</t>
        </is>
      </c>
      <c r="I658" t="inlineStr">
        <is>
          <t>12</t>
        </is>
      </c>
      <c r="J658" t="inlineStr">
        <is>
          <t>10,2</t>
        </is>
      </c>
      <c r="K658" t="inlineStr">
        <is>
          <t>.</t>
        </is>
      </c>
      <c r="L658" t="inlineStr">
        <is>
          <t>.</t>
        </is>
      </c>
      <c r="M658">
        <f>HYPERLINK("https://www.genecards.org/Search/Keyword?queryString=%5Baliases%5D(%20TTN%20)&amp;keywords=TTN", "TTN")</f>
        <v/>
      </c>
      <c r="N658" t="inlineStr">
        <is>
          <t>intronic;ncRNA_intronic</t>
        </is>
      </c>
      <c r="O658" t="inlineStr">
        <is>
          <t>.</t>
        </is>
      </c>
      <c r="P658" t="inlineStr">
        <is>
          <t>.</t>
        </is>
      </c>
      <c r="Q658" t="n">
        <v>-1</v>
      </c>
      <c r="R658" t="n">
        <v>-1</v>
      </c>
      <c r="S658" t="n">
        <v>-1</v>
      </c>
      <c r="T658" t="n">
        <v>-1</v>
      </c>
      <c r="U658" t="n">
        <v>-1</v>
      </c>
      <c r="V658" t="inlineStr">
        <is>
          <t>.</t>
        </is>
      </c>
      <c r="W658" t="inlineStr">
        <is>
          <t>.</t>
        </is>
      </c>
      <c r="X658" t="inlineStr">
        <is>
          <t>.</t>
        </is>
      </c>
      <c r="Y658" t="inlineStr">
        <is>
          <t>.</t>
        </is>
      </c>
      <c r="Z658" t="inlineStr">
        <is>
          <t>.</t>
        </is>
      </c>
      <c r="AA658" t="inlineStr">
        <is>
          <t>.</t>
        </is>
      </c>
      <c r="AB658" t="inlineStr">
        <is>
          <t>.</t>
        </is>
      </c>
      <c r="AC658" t="inlineStr">
        <is>
          <t>0/1</t>
        </is>
      </c>
      <c r="AD658" t="inlineStr">
        <is>
          <t>14</t>
        </is>
      </c>
      <c r="AE658" t="inlineStr">
        <is>
          <t>1.21111377105808e-32</t>
        </is>
      </c>
      <c r="AF658" t="inlineStr">
        <is>
          <t>titin</t>
        </is>
      </c>
      <c r="AG658" t="inlineStr">
        <is>
          <t xml:space="preserve">FUNCTION: Key component in the assembly and functioning of vertebrate striated muscles. By providing connections at the level of individual microfilaments, it contributes to the fine balance of forces between the two halves of the sarcomere. The size and extensibility of the cross-links are the main determinants of sarcomere extensibility properties of muscle. In non-muscle cells, seems to play a role in chromosome condensation and chromosome segregation during mitosis. Might link the lamina network to chromatin or nuclear actin, or both during interphase. {ECO:0000269|PubMed:9804419}.; </t>
        </is>
      </c>
      <c r="AH658" t="inlineStr">
        <is>
          <t xml:space="preserve">DISEASE: Hereditary myopathy with early respiratory failure (HMERF) [MIM:603689]: Autosomal dominant, adult-onset myopathy with early respiratory muscle involvement. {ECO:0000269|PubMed:15802564}. Note=The disease is caused by mutations affecting the gene represented in this entry.; DISEASE: Cardiomyopathy, familial hypertrophic 9 (CMH9) [MIM:613765]: A hereditary heart disorder characterized by ventricular hypertrophy, which is usually asymmetric and often involves the interventricular septum. The symptoms include dyspnea, syncope, collapse, palpitations, and chest pain. They can be readily provoked by exercise. The disorder has inter- and intrafamilial variability ranging from benign to malignant forms with high risk of cardiac failure and sudden cardiac death. {ECO:0000269|PubMed:10462489}. Note=The disease is caused by mutations affecting the gene represented in this entry.; DISEASE: Cardiomyopathy, dilated 1G (CMD1G) [MIM:604145]: A disorder characterized by ventricular dilation and impaired systolic function, resulting in congestive heart failure and arrhythmia. Patients are at risk of premature death. {ECO:0000269|PubMed:11788824, ECO:0000269|PubMed:11846417, ECO:0000269|PubMed:16465475}. Note=The disease is caused by mutations affecting the gene represented in this entry.; DISEASE: Tardive tibial muscular dystrophy (TMD) [MIM:600334]: Autosomal dominant, late-onset distal myopathy. Muscle weakness and atrophy are usually confined to the anterior compartment of the lower leg, in particular the tibialis anterior muscle. Clinical symptoms usually occur at age 35-45 years or much later. {ECO:0000269|PubMed:12145747, ECO:0000269|PubMed:12891679}. Note=The disease is caused by mutations affecting the gene represented in this entry.; DISEASE: Limb-girdle muscular dystrophy 2J (LGMD2J) [MIM:608807]: An autosomal recessive degenerative myopathy characterized by progressive weakness of the pelvic and shoulder girdle muscles. Severe disability is observed within 20 years of onset. {ECO:0000269|PubMed:12145747}. Note=The disease is caused by mutations affecting the gene represented in this entry.; DISEASE: Early-onset myopathy with fatal cardiomyopathy (EOMFC) [MIM:611705]: Early-onset myopathies are inherited muscle disorders that manifest typically from birth or infancy with hypotonia, muscle weakness, and delayed motor development. EOMFC is a titinopathy that, in contrast with the previously described examples, involves both heart and skeletal muscle, has a congenital onset, and is purely recessive. This phenotype is due to homozygous out-of-frame TTN deletions, which lead to a total absence of titin's C-terminal end from striated muscles and to secondary CAPN3 depletion. {ECO:0000269|PubMed:17444505}. Note=The disease is caused by mutations affecting the gene represented in this entry.; </t>
        </is>
      </c>
      <c r="AI658" t="inlineStr">
        <is>
          <t>.</t>
        </is>
      </c>
      <c r="AJ658" t="inlineStr">
        <is>
          <t>.</t>
        </is>
      </c>
      <c r="AK658" t="inlineStr">
        <is>
          <t>.</t>
        </is>
      </c>
      <c r="AL658" t="inlineStr">
        <is>
          <t>.</t>
        </is>
      </c>
    </row>
    <row r="659">
      <c r="A659" t="inlineStr"/>
      <c r="B659">
        <f>HYPERLINK("https://genome.ucsc.edu/cgi-bin/hgTracks?db=hg19&amp;position=chr2%3A179633186%2D179633186", "chr2:179633186")</f>
        <v/>
      </c>
      <c r="C659" t="inlineStr">
        <is>
          <t>chr2</t>
        </is>
      </c>
      <c r="D659" t="n">
        <v>179633186</v>
      </c>
      <c r="E659" t="n">
        <v>179633186</v>
      </c>
      <c r="F659" t="inlineStr">
        <is>
          <t>G</t>
        </is>
      </c>
      <c r="G659" t="inlineStr">
        <is>
          <t>C</t>
        </is>
      </c>
      <c r="H659" t="inlineStr">
        <is>
          <t>37.64</t>
        </is>
      </c>
      <c r="I659" t="inlineStr">
        <is>
          <t>11</t>
        </is>
      </c>
      <c r="J659" t="inlineStr">
        <is>
          <t>9,2</t>
        </is>
      </c>
      <c r="K659" t="inlineStr">
        <is>
          <t>.</t>
        </is>
      </c>
      <c r="L659" t="inlineStr">
        <is>
          <t>.</t>
        </is>
      </c>
      <c r="M659">
        <f>HYPERLINK("https://www.genecards.org/Search/Keyword?queryString=%5Baliases%5D(%20TTN%20)&amp;keywords=TTN", "TTN")</f>
        <v/>
      </c>
      <c r="N659" t="inlineStr">
        <is>
          <t>intronic;ncRNA_intronic</t>
        </is>
      </c>
      <c r="O659" t="inlineStr">
        <is>
          <t>.</t>
        </is>
      </c>
      <c r="P659" t="inlineStr">
        <is>
          <t>.</t>
        </is>
      </c>
      <c r="Q659" t="n">
        <v>-1</v>
      </c>
      <c r="R659" t="n">
        <v>-1</v>
      </c>
      <c r="S659" t="n">
        <v>-1</v>
      </c>
      <c r="T659" t="n">
        <v>-1</v>
      </c>
      <c r="U659" t="n">
        <v>-1</v>
      </c>
      <c r="V659" t="inlineStr">
        <is>
          <t>.</t>
        </is>
      </c>
      <c r="W659" t="inlineStr">
        <is>
          <t>.</t>
        </is>
      </c>
      <c r="X659" t="inlineStr">
        <is>
          <t>B</t>
        </is>
      </c>
      <c r="Y659" t="inlineStr">
        <is>
          <t>off</t>
        </is>
      </c>
      <c r="Z659" t="inlineStr">
        <is>
          <t>.</t>
        </is>
      </c>
      <c r="AA659" t="inlineStr">
        <is>
          <t>.</t>
        </is>
      </c>
      <c r="AB659" t="inlineStr">
        <is>
          <t>.</t>
        </is>
      </c>
      <c r="AC659" t="inlineStr">
        <is>
          <t>0/1</t>
        </is>
      </c>
      <c r="AD659" t="inlineStr">
        <is>
          <t>14</t>
        </is>
      </c>
      <c r="AE659" t="inlineStr">
        <is>
          <t>1.21111377105808e-32</t>
        </is>
      </c>
      <c r="AF659" t="inlineStr">
        <is>
          <t>titin</t>
        </is>
      </c>
      <c r="AG659" t="inlineStr">
        <is>
          <t xml:space="preserve">FUNCTION: Key component in the assembly and functioning of vertebrate striated muscles. By providing connections at the level of individual microfilaments, it contributes to the fine balance of forces between the two halves of the sarcomere. The size and extensibility of the cross-links are the main determinants of sarcomere extensibility properties of muscle. In non-muscle cells, seems to play a role in chromosome condensation and chromosome segregation during mitosis. Might link the lamina network to chromatin or nuclear actin, or both during interphase. {ECO:0000269|PubMed:9804419}.; </t>
        </is>
      </c>
      <c r="AH659" t="inlineStr">
        <is>
          <t xml:space="preserve">DISEASE: Hereditary myopathy with early respiratory failure (HMERF) [MIM:603689]: Autosomal dominant, adult-onset myopathy with early respiratory muscle involvement. {ECO:0000269|PubMed:15802564}. Note=The disease is caused by mutations affecting the gene represented in this entry.; DISEASE: Cardiomyopathy, familial hypertrophic 9 (CMH9) [MIM:613765]: A hereditary heart disorder characterized by ventricular hypertrophy, which is usually asymmetric and often involves the interventricular septum. The symptoms include dyspnea, syncope, collapse, palpitations, and chest pain. They can be readily provoked by exercise. The disorder has inter- and intrafamilial variability ranging from benign to malignant forms with high risk of cardiac failure and sudden cardiac death. {ECO:0000269|PubMed:10462489}. Note=The disease is caused by mutations affecting the gene represented in this entry.; DISEASE: Cardiomyopathy, dilated 1G (CMD1G) [MIM:604145]: A disorder characterized by ventricular dilation and impaired systolic function, resulting in congestive heart failure and arrhythmia. Patients are at risk of premature death. {ECO:0000269|PubMed:11788824, ECO:0000269|PubMed:11846417, ECO:0000269|PubMed:16465475}. Note=The disease is caused by mutations affecting the gene represented in this entry.; DISEASE: Tardive tibial muscular dystrophy (TMD) [MIM:600334]: Autosomal dominant, late-onset distal myopathy. Muscle weakness and atrophy are usually confined to the anterior compartment of the lower leg, in particular the tibialis anterior muscle. Clinical symptoms usually occur at age 35-45 years or much later. {ECO:0000269|PubMed:12145747, ECO:0000269|PubMed:12891679}. Note=The disease is caused by mutations affecting the gene represented in this entry.; DISEASE: Limb-girdle muscular dystrophy 2J (LGMD2J) [MIM:608807]: An autosomal recessive degenerative myopathy characterized by progressive weakness of the pelvic and shoulder girdle muscles. Severe disability is observed within 20 years of onset. {ECO:0000269|PubMed:12145747}. Note=The disease is caused by mutations affecting the gene represented in this entry.; DISEASE: Early-onset myopathy with fatal cardiomyopathy (EOMFC) [MIM:611705]: Early-onset myopathies are inherited muscle disorders that manifest typically from birth or infancy with hypotonia, muscle weakness, and delayed motor development. EOMFC is a titinopathy that, in contrast with the previously described examples, involves both heart and skeletal muscle, has a congenital onset, and is purely recessive. This phenotype is due to homozygous out-of-frame TTN deletions, which lead to a total absence of titin's C-terminal end from striated muscles and to secondary CAPN3 depletion. {ECO:0000269|PubMed:17444505}. Note=The disease is caused by mutations affecting the gene represented in this entry.; </t>
        </is>
      </c>
      <c r="AI659" t="inlineStr">
        <is>
          <t>.</t>
        </is>
      </c>
      <c r="AJ659" t="inlineStr">
        <is>
          <t>.</t>
        </is>
      </c>
      <c r="AK659" t="inlineStr">
        <is>
          <t>.</t>
        </is>
      </c>
      <c r="AL659" t="inlineStr">
        <is>
          <t>.</t>
        </is>
      </c>
    </row>
    <row r="660">
      <c r="A660" t="inlineStr"/>
      <c r="B660">
        <f>HYPERLINK("https://genome.ucsc.edu/cgi-bin/hgTracks?db=hg19&amp;position=chr2%3A179634539%2D179634539", "chr2:179634539")</f>
        <v/>
      </c>
      <c r="C660" t="inlineStr">
        <is>
          <t>chr2</t>
        </is>
      </c>
      <c r="D660" t="n">
        <v>179634539</v>
      </c>
      <c r="E660" t="n">
        <v>179634539</v>
      </c>
      <c r="F660" t="inlineStr">
        <is>
          <t>C</t>
        </is>
      </c>
      <c r="G660" t="inlineStr">
        <is>
          <t>G</t>
        </is>
      </c>
      <c r="H660" t="inlineStr">
        <is>
          <t>1145.64</t>
        </is>
      </c>
      <c r="I660" t="inlineStr">
        <is>
          <t>206</t>
        </is>
      </c>
      <c r="J660" t="inlineStr">
        <is>
          <t>144,62</t>
        </is>
      </c>
      <c r="K660" t="inlineStr">
        <is>
          <t>.</t>
        </is>
      </c>
      <c r="L660" t="inlineStr">
        <is>
          <t>.</t>
        </is>
      </c>
      <c r="M660">
        <f>HYPERLINK("https://www.genecards.org/Search/Keyword?queryString=%5Baliases%5D(%20TTN%20)&amp;keywords=TTN", "TTN")</f>
        <v/>
      </c>
      <c r="N660" t="inlineStr">
        <is>
          <t>exonic</t>
        </is>
      </c>
      <c r="O660" t="inlineStr">
        <is>
          <t>nonsynonymous SNV</t>
        </is>
      </c>
      <c r="P660" t="inlineStr">
        <is>
          <t>TTN:NM_003319:exon36:c.G8631C:p.M2877I,TTN:NM_133432:exon36:c.G8631C:p.M2877I,TTN:NM_133437:exon36:c.G8631C:p.M2877I,TTN:NM_001256850:exon37:c.G8769C:p.M2923I,TTN:NM_001267550:exon37:c.G8769C:p.M2923I,TTN:NM_133378:exon37:c.G8769C:p.M2923I,TTN:NM_133379:exon37:c.G8769C:p.M2923I;TTN:uc021vsz.2:exon36:c.G8631C:p.M2877I,TTN:uc021vta.2:exon36:c.G8631C:p.M2877I,TTN:uc021vtb.2:exon36:c.G8631C:p.M2877I,TTN:uc002unb.3:exon37:c.G8769C:p.M2923I,TTN:uc021vsy.2:exon37:c.G8769C:p.M2923I,TTN:uc031rqc.1:exon37:c.G8769C:p.M2923I,TTN:uc031rqd.1:exon37:c.G8769C:p.M2923I;TTN:ENST00000342175.11_3:exon35:c.G8631C:p.M2877I,TTN:ENST00000359218.10_3:exon35:c.G8631C:p.M2877I,TTN:ENST00000460472.6_5:exon36:c.G8631C:p.M2877I,TTN:ENST00000342992.11_6:exon37:c.G8769C:p.M2923I,TTN:ENST00000360870.10_7:exon37:c.G8769C:p.M2923I,TTN:ENST00000589042.5_7:exon37:c.G8769C:p.M2923I,TTN:ENST00000591111.5_5:exon37:c.G8769C:p.M2923I</t>
        </is>
      </c>
      <c r="Q660" t="n">
        <v>-1</v>
      </c>
      <c r="R660" t="n">
        <v>-1</v>
      </c>
      <c r="S660" t="n">
        <v>-1</v>
      </c>
      <c r="T660" t="n">
        <v>-1</v>
      </c>
      <c r="U660" t="n">
        <v>-1</v>
      </c>
      <c r="V660" t="inlineStr">
        <is>
          <t>5/10</t>
        </is>
      </c>
      <c r="W660" t="inlineStr">
        <is>
          <t>.</t>
        </is>
      </c>
      <c r="X660" t="inlineStr">
        <is>
          <t>.</t>
        </is>
      </c>
      <c r="Y660" t="inlineStr">
        <is>
          <t>.</t>
        </is>
      </c>
      <c r="Z660" t="inlineStr">
        <is>
          <t>4/7</t>
        </is>
      </c>
      <c r="AA660" t="inlineStr">
        <is>
          <t>Uncertain significance</t>
        </is>
      </c>
      <c r="AB660" t="inlineStr">
        <is>
          <t>.</t>
        </is>
      </c>
      <c r="AC660" t="inlineStr">
        <is>
          <t>0/1</t>
        </is>
      </c>
      <c r="AD660" t="inlineStr">
        <is>
          <t>14</t>
        </is>
      </c>
      <c r="AE660" t="inlineStr">
        <is>
          <t>1.21111377105808e-32</t>
        </is>
      </c>
      <c r="AF660" t="inlineStr">
        <is>
          <t>titin</t>
        </is>
      </c>
      <c r="AG660" t="inlineStr">
        <is>
          <t xml:space="preserve">FUNCTION: Key component in the assembly and functioning of vertebrate striated muscles. By providing connections at the level of individual microfilaments, it contributes to the fine balance of forces between the two halves of the sarcomere. The size and extensibility of the cross-links are the main determinants of sarcomere extensibility properties of muscle. In non-muscle cells, seems to play a role in chromosome condensation and chromosome segregation during mitosis. Might link the lamina network to chromatin or nuclear actin, or both during interphase. {ECO:0000269|PubMed:9804419}.; </t>
        </is>
      </c>
      <c r="AH660" t="inlineStr">
        <is>
          <t xml:space="preserve">DISEASE: Hereditary myopathy with early respiratory failure (HMERF) [MIM:603689]: Autosomal dominant, adult-onset myopathy with early respiratory muscle involvement. {ECO:0000269|PubMed:15802564}. Note=The disease is caused by mutations affecting the gene represented in this entry.; DISEASE: Cardiomyopathy, familial hypertrophic 9 (CMH9) [MIM:613765]: A hereditary heart disorder characterized by ventricular hypertrophy, which is usually asymmetric and often involves the interventricular septum. The symptoms include dyspnea, syncope, collapse, palpitations, and chest pain. They can be readily provoked by exercise. The disorder has inter- and intrafamilial variability ranging from benign to malignant forms with high risk of cardiac failure and sudden cardiac death. {ECO:0000269|PubMed:10462489}. Note=The disease is caused by mutations affecting the gene represented in this entry.; DISEASE: Cardiomyopathy, dilated 1G (CMD1G) [MIM:604145]: A disorder characterized by ventricular dilation and impaired systolic function, resulting in congestive heart failure and arrhythmia. Patients are at risk of premature death. {ECO:0000269|PubMed:11788824, ECO:0000269|PubMed:11846417, ECO:0000269|PubMed:16465475}. Note=The disease is caused by mutations affecting the gene represented in this entry.; DISEASE: Tardive tibial muscular dystrophy (TMD) [MIM:600334]: Autosomal dominant, late-onset distal myopathy. Muscle weakness and atrophy are usually confined to the anterior compartment of the lower leg, in particular the tibialis anterior muscle. Clinical symptoms usually occur at age 35-45 years or much later. {ECO:0000269|PubMed:12145747, ECO:0000269|PubMed:12891679}. Note=The disease is caused by mutations affecting the gene represented in this entry.; DISEASE: Limb-girdle muscular dystrophy 2J (LGMD2J) [MIM:608807]: An autosomal recessive degenerative myopathy characterized by progressive weakness of the pelvic and shoulder girdle muscles. Severe disability is observed within 20 years of onset. {ECO:0000269|PubMed:12145747}. Note=The disease is caused by mutations affecting the gene represented in this entry.; DISEASE: Early-onset myopathy with fatal cardiomyopathy (EOMFC) [MIM:611705]: Early-onset myopathies are inherited muscle disorders that manifest typically from birth or infancy with hypotonia, muscle weakness, and delayed motor development. EOMFC is a titinopathy that, in contrast with the previously described examples, involves both heart and skeletal muscle, has a congenital onset, and is purely recessive. This phenotype is due to homozygous out-of-frame TTN deletions, which lead to a total absence of titin's C-terminal end from striated muscles and to secondary CAPN3 depletion. {ECO:0000269|PubMed:17444505}. Note=The disease is caused by mutations affecting the gene represented in this entry.; </t>
        </is>
      </c>
      <c r="AI660" t="inlineStr">
        <is>
          <t>.</t>
        </is>
      </c>
      <c r="AJ660" t="inlineStr">
        <is>
          <t>.</t>
        </is>
      </c>
      <c r="AK660" t="inlineStr">
        <is>
          <t>.</t>
        </is>
      </c>
      <c r="AL660" t="inlineStr">
        <is>
          <t>.</t>
        </is>
      </c>
    </row>
    <row r="661">
      <c r="A661" t="inlineStr"/>
      <c r="B661">
        <f>HYPERLINK("https://genome.ucsc.edu/cgi-bin/hgTracks?db=hg19&amp;position=chr2%3A182757509%2D182757509", "chr2:182757509")</f>
        <v/>
      </c>
      <c r="C661" t="inlineStr">
        <is>
          <t>chr2</t>
        </is>
      </c>
      <c r="D661" t="n">
        <v>182757509</v>
      </c>
      <c r="E661" t="n">
        <v>182757509</v>
      </c>
      <c r="F661" t="inlineStr">
        <is>
          <t>G</t>
        </is>
      </c>
      <c r="G661" t="inlineStr">
        <is>
          <t>C</t>
        </is>
      </c>
      <c r="H661" t="inlineStr">
        <is>
          <t>193.64</t>
        </is>
      </c>
      <c r="I661" t="inlineStr">
        <is>
          <t>17</t>
        </is>
      </c>
      <c r="J661" t="inlineStr">
        <is>
          <t>10,7</t>
        </is>
      </c>
      <c r="K661" t="inlineStr">
        <is>
          <t>.</t>
        </is>
      </c>
      <c r="L661">
        <f>HYPERLINK("https://www.ncbi.nlm.nih.gov/snp/rs537031867", "rs537031867")</f>
        <v/>
      </c>
      <c r="M661">
        <f>HYPERLINK("https://www.genecards.org/Search/Keyword?queryString=%5Baliases%5D(%20ITPRID2%20)%20OR%20%5Baliases%5D(%20SSFA2%20)&amp;keywords=ITPRID2,SSFA2", "ITPRID2;SSFA2")</f>
        <v/>
      </c>
      <c r="N661" t="inlineStr">
        <is>
          <t>UTR3;intronic</t>
        </is>
      </c>
      <c r="O661" t="inlineStr">
        <is>
          <t>.</t>
        </is>
      </c>
      <c r="P661" t="inlineStr">
        <is>
          <t>NM_001287505:c.*118G&gt;C;uc010zfn.1:c.*118G&gt;C</t>
        </is>
      </c>
      <c r="Q661" t="n">
        <v>0.0262</v>
      </c>
      <c r="R661" t="n">
        <v>0.0108</v>
      </c>
      <c r="S661" t="n">
        <v>0.009900000000000001</v>
      </c>
      <c r="T661" t="n">
        <v>-1</v>
      </c>
      <c r="U661" t="n">
        <v>0.0136</v>
      </c>
      <c r="V661" t="inlineStr">
        <is>
          <t>.</t>
        </is>
      </c>
      <c r="W661" t="inlineStr">
        <is>
          <t>.</t>
        </is>
      </c>
      <c r="X661" t="inlineStr">
        <is>
          <t>D</t>
        </is>
      </c>
      <c r="Y661" t="inlineStr">
        <is>
          <t>off</t>
        </is>
      </c>
      <c r="Z661" t="inlineStr">
        <is>
          <t>.</t>
        </is>
      </c>
      <c r="AA661" t="inlineStr">
        <is>
          <t>.</t>
        </is>
      </c>
      <c r="AB661" t="inlineStr">
        <is>
          <t>.</t>
        </is>
      </c>
      <c r="AC661" t="inlineStr">
        <is>
          <t>0/1</t>
        </is>
      </c>
      <c r="AD661" t="inlineStr">
        <is>
          <t>1;1</t>
        </is>
      </c>
      <c r="AE661" t="inlineStr">
        <is>
          <t>7.68386262291993e-05</t>
        </is>
      </c>
      <c r="AF661" t="inlineStr">
        <is>
          <t>sperm specific antigen 2</t>
        </is>
      </c>
      <c r="AG661" t="inlineStr">
        <is>
          <t>.</t>
        </is>
      </c>
      <c r="AH661" t="inlineStr">
        <is>
          <t>.</t>
        </is>
      </c>
      <c r="AI661" t="inlineStr">
        <is>
          <t>.</t>
        </is>
      </c>
      <c r="AJ661" t="inlineStr">
        <is>
          <t>.</t>
        </is>
      </c>
      <c r="AK661" t="inlineStr">
        <is>
          <t>.</t>
        </is>
      </c>
      <c r="AL661" t="inlineStr">
        <is>
          <t>.</t>
        </is>
      </c>
    </row>
    <row r="662">
      <c r="A662" t="inlineStr"/>
      <c r="B662">
        <f>HYPERLINK("https://genome.ucsc.edu/cgi-bin/hgTracks?db=hg19&amp;position=chr2%3A183050660%2D183050660", "chr2:183050660")</f>
        <v/>
      </c>
      <c r="C662" t="inlineStr">
        <is>
          <t>chr2</t>
        </is>
      </c>
      <c r="D662" t="n">
        <v>183050660</v>
      </c>
      <c r="E662" t="n">
        <v>183050660</v>
      </c>
      <c r="F662" t="inlineStr">
        <is>
          <t>A</t>
        </is>
      </c>
      <c r="G662" t="inlineStr">
        <is>
          <t>C</t>
        </is>
      </c>
      <c r="H662" t="inlineStr">
        <is>
          <t>220.64</t>
        </is>
      </c>
      <c r="I662" t="inlineStr">
        <is>
          <t>82</t>
        </is>
      </c>
      <c r="J662" t="inlineStr">
        <is>
          <t>67,15</t>
        </is>
      </c>
      <c r="K662" t="inlineStr">
        <is>
          <t>.</t>
        </is>
      </c>
      <c r="L662" t="inlineStr">
        <is>
          <t>.</t>
        </is>
      </c>
      <c r="M662">
        <f>HYPERLINK("https://www.genecards.org/Search/Keyword?queryString=%5Baliases%5D(%20PDE1A%20)&amp;keywords=PDE1A", "PDE1A")</f>
        <v/>
      </c>
      <c r="N662" t="inlineStr">
        <is>
          <t>exonic</t>
        </is>
      </c>
      <c r="O662" t="inlineStr">
        <is>
          <t>nonsynonymous SNV</t>
        </is>
      </c>
      <c r="P662" t="inlineStr">
        <is>
          <t>PDE1A:NM_001258314:exon12:c.T1421G:p.I474S,PDE1A:NM_001258313:exon13:c.T1475G:p.I492S,PDE1A:NM_001363871:exon13:c.T1475G:p.I492S,PDE1A:NM_005019:exon13:c.T1523G:p.I508S,PDE1A:NM_001003683:exon14:c.T1523G:p.I508S,PDE1A:NM_001258312:exon14:c.T1535G:p.I512S;PDE1A:uc002uou.4:exon12:c.T1421G:p.I474S,PDE1A:uc002uoq.2:exon13:c.T1523G:p.I508S,PDE1A:uc002uor.4:exon13:c.T1475G:p.I492S,PDE1A:uc002uos.4:exon14:c.T1523G:p.I508S,PDE1A:uc010zfp.2:exon14:c.T1211G:p.I404S,PDE1A:uc010zfq.2:exon14:c.T1535G:p.I512S;PDE1A:ENST00000358139.6_5:exon12:c.T1421G:p.I474S,PDE1A:ENST00000351439.10_8:exon13:c.T1475G:p.I492S,PDE1A:ENST00000409365.6_9:exon13:c.T1475G:p.I492S,PDE1A:ENST00000435564.6_7:exon13:c.T1523G:p.I508S,PDE1A:ENST00000410103.2_7:exon14:c.T1523G:p.I508S,PDE1A:ENST00000482782.6_4:exon14:c.T1523G:p.I508S,PDE1A:ENST00000495511.2_4:exon14:c.T1523G:p.I508S</t>
        </is>
      </c>
      <c r="Q662" t="n">
        <v>-1</v>
      </c>
      <c r="R662" t="n">
        <v>-1</v>
      </c>
      <c r="S662" t="n">
        <v>-1</v>
      </c>
      <c r="T662" t="n">
        <v>-1</v>
      </c>
      <c r="U662" t="n">
        <v>-1</v>
      </c>
      <c r="V662" t="inlineStr">
        <is>
          <t>8/12</t>
        </is>
      </c>
      <c r="W662" t="inlineStr">
        <is>
          <t>.</t>
        </is>
      </c>
      <c r="X662" t="inlineStr">
        <is>
          <t>.</t>
        </is>
      </c>
      <c r="Y662" t="inlineStr">
        <is>
          <t>.</t>
        </is>
      </c>
      <c r="Z662" t="inlineStr">
        <is>
          <t>6/7</t>
        </is>
      </c>
      <c r="AA662" t="inlineStr">
        <is>
          <t>Uncertain significance</t>
        </is>
      </c>
      <c r="AB662" t="inlineStr">
        <is>
          <t>.</t>
        </is>
      </c>
      <c r="AC662" t="inlineStr">
        <is>
          <t>0/1</t>
        </is>
      </c>
      <c r="AD662" t="inlineStr">
        <is>
          <t>1</t>
        </is>
      </c>
      <c r="AE662" t="inlineStr">
        <is>
          <t>0.730656355381448</t>
        </is>
      </c>
      <c r="AF662" t="inlineStr">
        <is>
          <t>phosphodiesterase 1A</t>
        </is>
      </c>
      <c r="AG662" t="inlineStr">
        <is>
          <t xml:space="preserve">FUNCTION: Cyclic nucleotide phosphodiesterase with a dual- specificity for the second messengers cAMP and cGMP, which are key regulators of many important physiological processes. Has a higher affinity for cGMP than for cAMP.; </t>
        </is>
      </c>
      <c r="AH662" t="inlineStr">
        <is>
          <t>.</t>
        </is>
      </c>
      <c r="AI662" t="inlineStr">
        <is>
          <t>.</t>
        </is>
      </c>
      <c r="AJ662" t="inlineStr">
        <is>
          <t>.</t>
        </is>
      </c>
      <c r="AK662" t="inlineStr">
        <is>
          <t>.</t>
        </is>
      </c>
      <c r="AL662" t="inlineStr">
        <is>
          <t>.</t>
        </is>
      </c>
    </row>
    <row r="663">
      <c r="A663" t="inlineStr"/>
      <c r="B663">
        <f>HYPERLINK("https://genome.ucsc.edu/cgi-bin/hgTracks?db=hg19&amp;position=chr2%3A190603228%2D190603228", "chr2:190603228")</f>
        <v/>
      </c>
      <c r="C663" t="inlineStr">
        <is>
          <t>chr2</t>
        </is>
      </c>
      <c r="D663" t="n">
        <v>190603228</v>
      </c>
      <c r="E663" t="n">
        <v>190603228</v>
      </c>
      <c r="F663" t="inlineStr">
        <is>
          <t>C</t>
        </is>
      </c>
      <c r="G663" t="inlineStr">
        <is>
          <t>G</t>
        </is>
      </c>
      <c r="H663" t="inlineStr">
        <is>
          <t>46.64</t>
        </is>
      </c>
      <c r="I663" t="inlineStr">
        <is>
          <t>12</t>
        </is>
      </c>
      <c r="J663" t="inlineStr">
        <is>
          <t>10,2</t>
        </is>
      </c>
      <c r="K663" t="inlineStr">
        <is>
          <t>.</t>
        </is>
      </c>
      <c r="L663" t="inlineStr">
        <is>
          <t>.</t>
        </is>
      </c>
      <c r="M663">
        <f>HYPERLINK("https://www.genecards.org/Search/Keyword?queryString=%5Baliases%5D(%20ANKAR%20)&amp;keywords=ANKAR", "ANKAR")</f>
        <v/>
      </c>
      <c r="N663" t="inlineStr">
        <is>
          <t>intronic</t>
        </is>
      </c>
      <c r="O663" t="inlineStr">
        <is>
          <t>.</t>
        </is>
      </c>
      <c r="P663" t="inlineStr">
        <is>
          <t>.</t>
        </is>
      </c>
      <c r="Q663" t="n">
        <v>-1</v>
      </c>
      <c r="R663" t="n">
        <v>-1</v>
      </c>
      <c r="S663" t="n">
        <v>-1</v>
      </c>
      <c r="T663" t="n">
        <v>-1</v>
      </c>
      <c r="U663" t="n">
        <v>-1</v>
      </c>
      <c r="V663" t="inlineStr">
        <is>
          <t>.</t>
        </is>
      </c>
      <c r="W663" t="inlineStr">
        <is>
          <t>.</t>
        </is>
      </c>
      <c r="X663" t="inlineStr">
        <is>
          <t>D</t>
        </is>
      </c>
      <c r="Y663" t="inlineStr">
        <is>
          <t>off</t>
        </is>
      </c>
      <c r="Z663" t="inlineStr">
        <is>
          <t>.</t>
        </is>
      </c>
      <c r="AA663" t="inlineStr">
        <is>
          <t>.</t>
        </is>
      </c>
      <c r="AB663" t="inlineStr">
        <is>
          <t>.</t>
        </is>
      </c>
      <c r="AC663" t="inlineStr">
        <is>
          <t>.</t>
        </is>
      </c>
      <c r="AD663" t="inlineStr">
        <is>
          <t>1</t>
        </is>
      </c>
      <c r="AE663" t="inlineStr">
        <is>
          <t>6.6124241759396e-24</t>
        </is>
      </c>
      <c r="AF663" t="inlineStr">
        <is>
          <t>ankyrin and armadillo repeat containing</t>
        </is>
      </c>
      <c r="AG663" t="inlineStr">
        <is>
          <t>.</t>
        </is>
      </c>
      <c r="AH663" t="inlineStr">
        <is>
          <t>.</t>
        </is>
      </c>
      <c r="AI663" t="inlineStr">
        <is>
          <t>.</t>
        </is>
      </c>
      <c r="AJ663" t="inlineStr">
        <is>
          <t>.</t>
        </is>
      </c>
      <c r="AK663" t="inlineStr">
        <is>
          <t>.</t>
        </is>
      </c>
      <c r="AL663" t="inlineStr">
        <is>
          <t>.</t>
        </is>
      </c>
    </row>
    <row r="664">
      <c r="A664" t="inlineStr"/>
      <c r="B664">
        <f>HYPERLINK("https://genome.ucsc.edu/cgi-bin/hgTracks?db=hg19&amp;position=chr2%3A196602773%2D196602773", "chr2:196602773")</f>
        <v/>
      </c>
      <c r="C664" t="inlineStr">
        <is>
          <t>chr2</t>
        </is>
      </c>
      <c r="D664" t="n">
        <v>196602773</v>
      </c>
      <c r="E664" t="n">
        <v>196602773</v>
      </c>
      <c r="F664" t="inlineStr">
        <is>
          <t>G</t>
        </is>
      </c>
      <c r="G664" t="inlineStr">
        <is>
          <t>A</t>
        </is>
      </c>
      <c r="H664" t="inlineStr">
        <is>
          <t>2693.06</t>
        </is>
      </c>
      <c r="I664" t="inlineStr">
        <is>
          <t>83</t>
        </is>
      </c>
      <c r="J664" t="inlineStr">
        <is>
          <t>0,83</t>
        </is>
      </c>
      <c r="K664" t="inlineStr">
        <is>
          <t>.</t>
        </is>
      </c>
      <c r="L664">
        <f>HYPERLINK("https://www.ncbi.nlm.nih.gov/snp/rs114621989", "rs114621989")</f>
        <v/>
      </c>
      <c r="M664">
        <f>HYPERLINK("https://www.genecards.org/Search/Keyword?queryString=%5Baliases%5D(%20DNAH7%20)&amp;keywords=DNAH7", "DNAH7")</f>
        <v/>
      </c>
      <c r="N664" t="inlineStr">
        <is>
          <t>exonic</t>
        </is>
      </c>
      <c r="O664" t="inlineStr">
        <is>
          <t>nonsynonymous SNV</t>
        </is>
      </c>
      <c r="P664" t="inlineStr">
        <is>
          <t>DNAH7:NM_018897:exon65:c.C11947T:p.R3983W;DNAH7:uc002uti.4:exon10:c.C1396T:p.R466W,DNAH7:uc002utj.4:exon65:c.C11947T:p.R3983W;DNAH7:ENST00000409063.5_3:exon10:c.C1396T:p.R466W,DNAH7:ENST00000312428.11_5:exon65:c.C11947T:p.R3983W</t>
        </is>
      </c>
      <c r="Q664" t="n">
        <v>0.0118</v>
      </c>
      <c r="R664" t="n">
        <v>0.0097</v>
      </c>
      <c r="S664" t="n">
        <v>0.009599999999999999</v>
      </c>
      <c r="T664" t="n">
        <v>-1</v>
      </c>
      <c r="U664" t="n">
        <v>0.0122</v>
      </c>
      <c r="V664" t="inlineStr">
        <is>
          <t>6/10</t>
        </is>
      </c>
      <c r="W664" t="inlineStr">
        <is>
          <t>.</t>
        </is>
      </c>
      <c r="X664" t="inlineStr">
        <is>
          <t>.</t>
        </is>
      </c>
      <c r="Y664" t="inlineStr">
        <is>
          <t>.</t>
        </is>
      </c>
      <c r="Z664" t="inlineStr">
        <is>
          <t>1/7</t>
        </is>
      </c>
      <c r="AA664" t="inlineStr">
        <is>
          <t>Uncertain significance</t>
        </is>
      </c>
      <c r="AB664" t="inlineStr">
        <is>
          <t>Benign</t>
        </is>
      </c>
      <c r="AC664" t="inlineStr">
        <is>
          <t>HOMO</t>
        </is>
      </c>
      <c r="AD664" t="inlineStr">
        <is>
          <t>1</t>
        </is>
      </c>
      <c r="AE664" t="inlineStr">
        <is>
          <t>1.0373966005542e-47</t>
        </is>
      </c>
      <c r="AF664" t="inlineStr">
        <is>
          <t>dynein axonemal heavy chain 7</t>
        </is>
      </c>
      <c r="AG664" t="inlineStr">
        <is>
          <t xml:space="preserve">FUNCTION: Force generating protein of respiratory cilia. Produces force towards the minus ends of microtubules. Dynein has ATPase activity; the force-producing power stroke is thought to occur on release of ADP (By similarity). {ECO:0000250}.; </t>
        </is>
      </c>
      <c r="AH664" t="inlineStr">
        <is>
          <t>.</t>
        </is>
      </c>
      <c r="AI664" t="inlineStr">
        <is>
          <t>.</t>
        </is>
      </c>
      <c r="AJ664" t="inlineStr">
        <is>
          <t>.</t>
        </is>
      </c>
      <c r="AK664" t="inlineStr">
        <is>
          <t>.</t>
        </is>
      </c>
      <c r="AL664" t="inlineStr">
        <is>
          <t>.</t>
        </is>
      </c>
    </row>
    <row r="665">
      <c r="A665" t="inlineStr"/>
      <c r="B665">
        <f>HYPERLINK("https://genome.ucsc.edu/cgi-bin/hgTracks?db=hg19&amp;position=chr2%3A200797806%2D200797806", "chr2:200797806")</f>
        <v/>
      </c>
      <c r="C665" t="inlineStr">
        <is>
          <t>chr2</t>
        </is>
      </c>
      <c r="D665" t="n">
        <v>200797806</v>
      </c>
      <c r="E665" t="n">
        <v>200797806</v>
      </c>
      <c r="F665" t="inlineStr">
        <is>
          <t>C</t>
        </is>
      </c>
      <c r="G665" t="inlineStr">
        <is>
          <t>T</t>
        </is>
      </c>
      <c r="H665" t="inlineStr">
        <is>
          <t>1814.06</t>
        </is>
      </c>
      <c r="I665" t="inlineStr">
        <is>
          <t>60</t>
        </is>
      </c>
      <c r="J665" t="inlineStr">
        <is>
          <t>1,59</t>
        </is>
      </c>
      <c r="K665" t="inlineStr">
        <is>
          <t>.</t>
        </is>
      </c>
      <c r="L665">
        <f>HYPERLINK("https://www.ncbi.nlm.nih.gov/snp/rs202219828", "rs202219828")</f>
        <v/>
      </c>
      <c r="M665">
        <f>HYPERLINK("https://www.genecards.org/Search/Keyword?queryString=%5Baliases%5D(%20TYW5%20)&amp;keywords=TYW5", "TYW5")</f>
        <v/>
      </c>
      <c r="N665" t="inlineStr">
        <is>
          <t>exonic</t>
        </is>
      </c>
      <c r="O665" t="inlineStr">
        <is>
          <t>nonsynonymous SNV</t>
        </is>
      </c>
      <c r="P665" t="inlineStr">
        <is>
          <t>TYW5:NM_001039693:exon8:c.G932A:p.S311N;TYW5:uc010fss.3:exon7:c.G443A:p.S148N,TYW5:uc002uvi.4:exon8:c.G932A:p.S311N,TYW5:uc002uvj.4:exon8:c.G443A:p.S148N;TYW5:ENST00000354611.9_5:exon8:c.G932A:p.S311N</t>
        </is>
      </c>
      <c r="Q665" t="n">
        <v>0.000821</v>
      </c>
      <c r="R665" t="n">
        <v>0.0004</v>
      </c>
      <c r="S665" t="n">
        <v>0.0004</v>
      </c>
      <c r="T665" t="n">
        <v>-1</v>
      </c>
      <c r="U665" t="n">
        <v>0.0007</v>
      </c>
      <c r="V665" t="inlineStr">
        <is>
          <t>4/11</t>
        </is>
      </c>
      <c r="W665" t="inlineStr">
        <is>
          <t>.</t>
        </is>
      </c>
      <c r="X665" t="inlineStr">
        <is>
          <t>.</t>
        </is>
      </c>
      <c r="Y665" t="inlineStr">
        <is>
          <t>.</t>
        </is>
      </c>
      <c r="Z665" t="inlineStr">
        <is>
          <t>4/7</t>
        </is>
      </c>
      <c r="AA665" t="inlineStr">
        <is>
          <t>Uncertain significance</t>
        </is>
      </c>
      <c r="AB665" t="inlineStr">
        <is>
          <t>.</t>
        </is>
      </c>
      <c r="AC665" t="inlineStr">
        <is>
          <t>HOMO</t>
        </is>
      </c>
      <c r="AD665" t="inlineStr">
        <is>
          <t>1</t>
        </is>
      </c>
      <c r="AE665" t="inlineStr">
        <is>
          <t>2.19729035112119e-07</t>
        </is>
      </c>
      <c r="AF665" t="inlineStr">
        <is>
          <t>tRNA-yW synthesizing protein 5</t>
        </is>
      </c>
      <c r="AG665" t="inlineStr">
        <is>
          <t xml:space="preserve">FUNCTION: tRNA hydroxylase that acts as a component of the wybutosine biosynthesis pathway. Wybutosine is a hyper modified guanosine with a tricyclic base found at the 3'-position adjacent to the anticodon of eukaryotic phenylalanine tRNA. Catalyzes the hydroxylation of 7-(a-amino-a-carboxypropyl)wyosine (yW-72) into undermodified hydroxywybutosine (OHyW*). OHyW* being further transformed into hydroxywybutosine (OHyW) by LCMT2/TYW4. OHyW is a derivative of wybutosine found in higher eukaryotes. {ECO:0000269|PubMed:20739293}.; </t>
        </is>
      </c>
      <c r="AH665" t="inlineStr">
        <is>
          <t>.</t>
        </is>
      </c>
      <c r="AI665" t="inlineStr">
        <is>
          <t>.</t>
        </is>
      </c>
      <c r="AJ665" t="inlineStr">
        <is>
          <t>.</t>
        </is>
      </c>
      <c r="AK665" t="inlineStr">
        <is>
          <t>.</t>
        </is>
      </c>
      <c r="AL665" t="inlineStr">
        <is>
          <t>.</t>
        </is>
      </c>
    </row>
    <row r="666">
      <c r="A666" t="inlineStr"/>
      <c r="B666">
        <f>HYPERLINK("https://genome.ucsc.edu/cgi-bin/hgTracks?db=hg19&amp;position=chr2%3A204066300%2D204066300", "chr2:204066300")</f>
        <v/>
      </c>
      <c r="C666" t="inlineStr">
        <is>
          <t>chr2</t>
        </is>
      </c>
      <c r="D666" t="n">
        <v>204066300</v>
      </c>
      <c r="E666" t="n">
        <v>204066300</v>
      </c>
      <c r="F666" t="inlineStr">
        <is>
          <t>G</t>
        </is>
      </c>
      <c r="G666" t="inlineStr">
        <is>
          <t>A</t>
        </is>
      </c>
      <c r="H666" t="inlineStr">
        <is>
          <t>2584.06</t>
        </is>
      </c>
      <c r="I666" t="inlineStr">
        <is>
          <t>83</t>
        </is>
      </c>
      <c r="J666" t="inlineStr">
        <is>
          <t>1,82</t>
        </is>
      </c>
      <c r="K666" t="inlineStr">
        <is>
          <t>.</t>
        </is>
      </c>
      <c r="L666">
        <f>HYPERLINK("https://www.ncbi.nlm.nih.gov/snp/rs534421309", "rs534421309")</f>
        <v/>
      </c>
      <c r="M666">
        <f>HYPERLINK("https://www.genecards.org/Search/Keyword?queryString=%5Baliases%5D(%20NBEAL1%20)&amp;keywords=NBEAL1", "NBEAL1")</f>
        <v/>
      </c>
      <c r="N666" t="inlineStr">
        <is>
          <t>exonic</t>
        </is>
      </c>
      <c r="O666" t="inlineStr">
        <is>
          <t>nonsynonymous SNV</t>
        </is>
      </c>
      <c r="P666" t="inlineStr">
        <is>
          <t>NBEAL1:NM_001114132:exon49:c.G7186A:p.G2396R,NBEAL1:NM_001378026:exon50:c.G7273A:p.G2425R;NBEAL1:uc021vvj.1:exon21:c.G3088A:p.G1030R,NBEAL1:uc002uzt.3:exon49:c.G7186A:p.G2396R;NBEAL1:ENST00000682108.1_1:exon47:c.G7069A:p.G2357R,NBEAL1:ENST00000449802.5_4:exon49:c.G7186A:p.G2396R,NBEAL1:ENST00000683969.1_1:exon50:c.G7273A:p.G2425R</t>
        </is>
      </c>
      <c r="Q666" t="n">
        <v>0.0008</v>
      </c>
      <c r="R666" t="n">
        <v>-1</v>
      </c>
      <c r="S666" t="n">
        <v>-1</v>
      </c>
      <c r="T666" t="n">
        <v>-1</v>
      </c>
      <c r="U666" t="n">
        <v>-1</v>
      </c>
      <c r="V666" t="inlineStr">
        <is>
          <t>8/12</t>
        </is>
      </c>
      <c r="W666" t="inlineStr">
        <is>
          <t>.</t>
        </is>
      </c>
      <c r="X666" t="inlineStr">
        <is>
          <t>.</t>
        </is>
      </c>
      <c r="Y666" t="inlineStr">
        <is>
          <t>.</t>
        </is>
      </c>
      <c r="Z666" t="inlineStr">
        <is>
          <t>5/7</t>
        </is>
      </c>
      <c r="AA666" t="inlineStr">
        <is>
          <t>Uncertain significance</t>
        </is>
      </c>
      <c r="AB666" t="inlineStr">
        <is>
          <t>.</t>
        </is>
      </c>
      <c r="AC666" t="inlineStr">
        <is>
          <t>HOMO</t>
        </is>
      </c>
      <c r="AD666" t="inlineStr">
        <is>
          <t>1</t>
        </is>
      </c>
      <c r="AE666" t="inlineStr">
        <is>
          <t>1.09294225815105e-10</t>
        </is>
      </c>
      <c r="AF666" t="inlineStr">
        <is>
          <t>neurobeachin like 1</t>
        </is>
      </c>
      <c r="AG666" t="inlineStr">
        <is>
          <t>.</t>
        </is>
      </c>
      <c r="AH666" t="inlineStr">
        <is>
          <t>.</t>
        </is>
      </c>
      <c r="AI666" t="inlineStr">
        <is>
          <t>.</t>
        </is>
      </c>
      <c r="AJ666" t="inlineStr">
        <is>
          <t>.</t>
        </is>
      </c>
      <c r="AK666" t="inlineStr">
        <is>
          <t>.</t>
        </is>
      </c>
      <c r="AL666" t="inlineStr">
        <is>
          <t>.</t>
        </is>
      </c>
    </row>
    <row r="667">
      <c r="A667" t="inlineStr"/>
      <c r="B667">
        <f>HYPERLINK("https://genome.ucsc.edu/cgi-bin/hgTracks?db=hg19&amp;position=chr2%3A208795892%2D208795892", "chr2:208795892")</f>
        <v/>
      </c>
      <c r="C667" t="inlineStr">
        <is>
          <t>chr2</t>
        </is>
      </c>
      <c r="D667" t="n">
        <v>208795892</v>
      </c>
      <c r="E667" t="n">
        <v>208795892</v>
      </c>
      <c r="F667" t="inlineStr">
        <is>
          <t>C</t>
        </is>
      </c>
      <c r="G667" t="inlineStr">
        <is>
          <t>T</t>
        </is>
      </c>
      <c r="H667" t="inlineStr">
        <is>
          <t>404.98</t>
        </is>
      </c>
      <c r="I667" t="inlineStr">
        <is>
          <t>16</t>
        </is>
      </c>
      <c r="J667" t="inlineStr">
        <is>
          <t>1,15</t>
        </is>
      </c>
      <c r="K667" t="inlineStr">
        <is>
          <t>.</t>
        </is>
      </c>
      <c r="L667">
        <f>HYPERLINK("https://www.ncbi.nlm.nih.gov/snp/rs78087286", "rs78087286")</f>
        <v/>
      </c>
      <c r="M667">
        <f>HYPERLINK("https://www.genecards.org/Search/Keyword?queryString=%5Baliases%5D(%20PLEKHM3%20)&amp;keywords=PLEKHM3", "PLEKHM3")</f>
        <v/>
      </c>
      <c r="N667" t="inlineStr">
        <is>
          <t>intronic</t>
        </is>
      </c>
      <c r="O667" t="inlineStr">
        <is>
          <t>.</t>
        </is>
      </c>
      <c r="P667" t="inlineStr">
        <is>
          <t>.</t>
        </is>
      </c>
      <c r="Q667" t="n">
        <v>0.0128</v>
      </c>
      <c r="R667" t="n">
        <v>0.0128</v>
      </c>
      <c r="S667" t="n">
        <v>0.0132</v>
      </c>
      <c r="T667" t="n">
        <v>-1</v>
      </c>
      <c r="U667" t="n">
        <v>0.012</v>
      </c>
      <c r="V667" t="inlineStr">
        <is>
          <t>.</t>
        </is>
      </c>
      <c r="W667" t="inlineStr">
        <is>
          <t>.</t>
        </is>
      </c>
      <c r="X667" t="inlineStr">
        <is>
          <t>PD</t>
        </is>
      </c>
      <c r="Y667" t="inlineStr">
        <is>
          <t>off</t>
        </is>
      </c>
      <c r="Z667" t="inlineStr">
        <is>
          <t>.</t>
        </is>
      </c>
      <c r="AA667" t="inlineStr">
        <is>
          <t>.</t>
        </is>
      </c>
      <c r="AB667" t="inlineStr">
        <is>
          <t>.</t>
        </is>
      </c>
      <c r="AC667" t="inlineStr">
        <is>
          <t>HOMO</t>
        </is>
      </c>
      <c r="AD667" t="inlineStr">
        <is>
          <t>1</t>
        </is>
      </c>
      <c r="AE667" t="inlineStr">
        <is>
          <t>0.76624837589687</t>
        </is>
      </c>
      <c r="AF667" t="inlineStr">
        <is>
          <t>pleckstrin homology domain containing M3</t>
        </is>
      </c>
      <c r="AG667" t="inlineStr">
        <is>
          <t>.</t>
        </is>
      </c>
      <c r="AH667" t="inlineStr">
        <is>
          <t>.</t>
        </is>
      </c>
      <c r="AI667" t="inlineStr">
        <is>
          <t>.</t>
        </is>
      </c>
      <c r="AJ667" t="inlineStr">
        <is>
          <t>.</t>
        </is>
      </c>
      <c r="AK667" t="inlineStr">
        <is>
          <t>.</t>
        </is>
      </c>
      <c r="AL667" t="inlineStr">
        <is>
          <t>.</t>
        </is>
      </c>
    </row>
    <row r="668">
      <c r="A668" t="inlineStr"/>
      <c r="B668">
        <f>HYPERLINK("https://genome.ucsc.edu/cgi-bin/hgTracks?db=hg19&amp;position=chr2%3A209308266%2D209308266", "chr2:209308266")</f>
        <v/>
      </c>
      <c r="C668" t="inlineStr">
        <is>
          <t>chr2</t>
        </is>
      </c>
      <c r="D668" t="n">
        <v>209308266</v>
      </c>
      <c r="E668" t="n">
        <v>209308266</v>
      </c>
      <c r="F668" t="inlineStr">
        <is>
          <t>A</t>
        </is>
      </c>
      <c r="G668" t="inlineStr">
        <is>
          <t>G</t>
        </is>
      </c>
      <c r="H668" t="inlineStr">
        <is>
          <t>462.64</t>
        </is>
      </c>
      <c r="I668" t="inlineStr">
        <is>
          <t>41</t>
        </is>
      </c>
      <c r="J668" t="inlineStr">
        <is>
          <t>21,20</t>
        </is>
      </c>
      <c r="K668" t="inlineStr">
        <is>
          <t>.</t>
        </is>
      </c>
      <c r="L668" t="inlineStr">
        <is>
          <t>.</t>
        </is>
      </c>
      <c r="M668">
        <f>HYPERLINK("https://www.genecards.org/Search/Keyword?queryString=%5Baliases%5D(%20PTH2R%20)&amp;keywords=PTH2R", "PTH2R")</f>
        <v/>
      </c>
      <c r="N668" t="inlineStr">
        <is>
          <t>intronic</t>
        </is>
      </c>
      <c r="O668" t="inlineStr">
        <is>
          <t>.</t>
        </is>
      </c>
      <c r="P668" t="inlineStr">
        <is>
          <t>.</t>
        </is>
      </c>
      <c r="Q668" t="n">
        <v>-1</v>
      </c>
      <c r="R668" t="n">
        <v>-1</v>
      </c>
      <c r="S668" t="n">
        <v>-1</v>
      </c>
      <c r="T668" t="n">
        <v>-1</v>
      </c>
      <c r="U668" t="n">
        <v>-1</v>
      </c>
      <c r="V668" t="inlineStr">
        <is>
          <t>.</t>
        </is>
      </c>
      <c r="W668" t="inlineStr">
        <is>
          <t>D</t>
        </is>
      </c>
      <c r="X668" t="inlineStr">
        <is>
          <t>D</t>
        </is>
      </c>
      <c r="Y668" t="inlineStr">
        <is>
          <t>on</t>
        </is>
      </c>
      <c r="Z668" t="inlineStr">
        <is>
          <t>.</t>
        </is>
      </c>
      <c r="AA668" t="inlineStr">
        <is>
          <t>.</t>
        </is>
      </c>
      <c r="AB668" t="inlineStr">
        <is>
          <t>.</t>
        </is>
      </c>
      <c r="AC668" t="inlineStr">
        <is>
          <t>0/1</t>
        </is>
      </c>
      <c r="AD668" t="inlineStr">
        <is>
          <t>1</t>
        </is>
      </c>
      <c r="AE668" t="inlineStr">
        <is>
          <t>1.3161518374435e-15</t>
        </is>
      </c>
      <c r="AF668" t="inlineStr">
        <is>
          <t>parathyroid hormone 2 receptor</t>
        </is>
      </c>
      <c r="AG668" t="inlineStr">
        <is>
          <t xml:space="preserve">FUNCTION: This is a specific receptor for parathyroid hormone. The activity of this receptor is mediated by G proteins which activate adenylyl cyclase. PTH2R may be responsible for PTH effects in a number of physiological systems. It may play a significant role in pancreatic function. PTH2R presence in neurons indicates that it may function as a neurotransmitter receptor (By similarity). {ECO:0000250}.; </t>
        </is>
      </c>
      <c r="AH668" t="inlineStr">
        <is>
          <t>.</t>
        </is>
      </c>
      <c r="AI668" t="inlineStr">
        <is>
          <t>.</t>
        </is>
      </c>
      <c r="AJ668" t="inlineStr">
        <is>
          <t>.</t>
        </is>
      </c>
      <c r="AK668" t="inlineStr">
        <is>
          <t>.</t>
        </is>
      </c>
      <c r="AL668" t="inlineStr">
        <is>
          <t>.</t>
        </is>
      </c>
    </row>
    <row r="669">
      <c r="A669" t="inlineStr"/>
      <c r="B669">
        <f>HYPERLINK("https://genome.ucsc.edu/cgi-bin/hgTracks?db=hg19&amp;position=chr2%3A211070475%2D211070475", "chr2:211070475")</f>
        <v/>
      </c>
      <c r="C669" t="inlineStr">
        <is>
          <t>chr2</t>
        </is>
      </c>
      <c r="D669" t="n">
        <v>211070475</v>
      </c>
      <c r="E669" t="n">
        <v>211070475</v>
      </c>
      <c r="F669" t="inlineStr">
        <is>
          <t>C</t>
        </is>
      </c>
      <c r="G669" t="inlineStr">
        <is>
          <t>A</t>
        </is>
      </c>
      <c r="H669" t="inlineStr">
        <is>
          <t>1273.64</t>
        </is>
      </c>
      <c r="I669" t="inlineStr">
        <is>
          <t>111</t>
        </is>
      </c>
      <c r="J669" t="inlineStr">
        <is>
          <t>57,54</t>
        </is>
      </c>
      <c r="K669" t="inlineStr">
        <is>
          <t>.</t>
        </is>
      </c>
      <c r="L669" t="inlineStr">
        <is>
          <t>.</t>
        </is>
      </c>
      <c r="M669">
        <f>HYPERLINK("https://www.genecards.org/Search/Keyword?queryString=%5Baliases%5D(%20ACADL%20)&amp;keywords=ACADL", "ACADL")</f>
        <v/>
      </c>
      <c r="N669" t="inlineStr">
        <is>
          <t>exonic</t>
        </is>
      </c>
      <c r="O669" t="inlineStr">
        <is>
          <t>nonsynonymous SNV</t>
        </is>
      </c>
      <c r="P669" t="inlineStr">
        <is>
          <t>ACADL:NM_001608:exon6:c.G649T:p.A217S;ACADL:uc002vdz.4:exon6:c.G649T:p.A217S;ACADL:ENST00000233710.4_5:exon6:c.G649T:p.A217S</t>
        </is>
      </c>
      <c r="Q669" t="n">
        <v>-1</v>
      </c>
      <c r="R669" t="n">
        <v>-1</v>
      </c>
      <c r="S669" t="n">
        <v>-1</v>
      </c>
      <c r="T669" t="n">
        <v>-1</v>
      </c>
      <c r="U669" t="n">
        <v>-1</v>
      </c>
      <c r="V669" t="inlineStr">
        <is>
          <t>10/12</t>
        </is>
      </c>
      <c r="W669" t="inlineStr">
        <is>
          <t>.</t>
        </is>
      </c>
      <c r="X669" t="inlineStr">
        <is>
          <t>.</t>
        </is>
      </c>
      <c r="Y669" t="inlineStr">
        <is>
          <t>.</t>
        </is>
      </c>
      <c r="Z669" t="inlineStr">
        <is>
          <t>0/7</t>
        </is>
      </c>
      <c r="AA669" t="inlineStr">
        <is>
          <t>Uncertain significance</t>
        </is>
      </c>
      <c r="AB669" t="inlineStr">
        <is>
          <t>.</t>
        </is>
      </c>
      <c r="AC669" t="inlineStr">
        <is>
          <t>0/1</t>
        </is>
      </c>
      <c r="AD669" t="inlineStr">
        <is>
          <t>1</t>
        </is>
      </c>
      <c r="AE669" t="inlineStr">
        <is>
          <t>3.5917982569485e-08</t>
        </is>
      </c>
      <c r="AF669" t="inlineStr">
        <is>
          <t>acyl-CoA dehydrogenase, long chain</t>
        </is>
      </c>
      <c r="AG669" t="inlineStr">
        <is>
          <t>.</t>
        </is>
      </c>
      <c r="AH669" t="inlineStr">
        <is>
          <t xml:space="preserve">DISEASE: Acyl-CoA dehydrogenase very long-chain deficiency (ACADVLD) [MIM:201475]: An inborn error of mitochondrial fatty acid beta-oxidation which leads to impaired long-chain fatty acid beta-oxidation. It is clinically heterogeneous, with three major phenotypes: a severe childhood form characterized by early onset, high mortality and high incidence of cardiomyopathy; a milder childhood form with later onset, characterized by hypoketotic hypoglycemia, low mortality and rare cardiomyopathy; an adult form, with isolated skeletal muscle involvement, rhabdomyolysis and myoglobinuria, usually triggered by exercise or fasting. Note=The disease is caused by mutations affecting the gene represented in this entry.; </t>
        </is>
      </c>
      <c r="AI669" t="inlineStr">
        <is>
          <t>.</t>
        </is>
      </c>
      <c r="AJ669" t="inlineStr">
        <is>
          <t>.</t>
        </is>
      </c>
      <c r="AK669" t="inlineStr">
        <is>
          <t>.</t>
        </is>
      </c>
      <c r="AL669" t="inlineStr">
        <is>
          <t>.</t>
        </is>
      </c>
    </row>
    <row r="670">
      <c r="A670" t="inlineStr"/>
      <c r="B670">
        <f>HYPERLINK("https://genome.ucsc.edu/cgi-bin/hgTracks?db=hg19&amp;position=chr2%3A214174802%2D214174802", "chr2:214174802")</f>
        <v/>
      </c>
      <c r="C670" t="inlineStr">
        <is>
          <t>chr2</t>
        </is>
      </c>
      <c r="D670" t="n">
        <v>214174802</v>
      </c>
      <c r="E670" t="n">
        <v>214174802</v>
      </c>
      <c r="F670" t="inlineStr">
        <is>
          <t>C</t>
        </is>
      </c>
      <c r="G670" t="inlineStr">
        <is>
          <t>A</t>
        </is>
      </c>
      <c r="H670" t="inlineStr">
        <is>
          <t>554.64</t>
        </is>
      </c>
      <c r="I670" t="inlineStr">
        <is>
          <t>45</t>
        </is>
      </c>
      <c r="J670" t="inlineStr">
        <is>
          <t>24,21</t>
        </is>
      </c>
      <c r="K670" t="inlineStr">
        <is>
          <t>.</t>
        </is>
      </c>
      <c r="L670" t="inlineStr">
        <is>
          <t>.</t>
        </is>
      </c>
      <c r="M670">
        <f>HYPERLINK("https://www.genecards.org/Search/Keyword?queryString=%5Baliases%5D(%20SPAG16%20)&amp;keywords=SPAG16", "SPAG16")</f>
        <v/>
      </c>
      <c r="N670" t="inlineStr">
        <is>
          <t>exonic</t>
        </is>
      </c>
      <c r="O670" t="inlineStr">
        <is>
          <t>nonsynonymous SNV</t>
        </is>
      </c>
      <c r="P670" t="inlineStr">
        <is>
          <t>SPAG16:NM_001025436:exon4:c.C299A:p.P100H,SPAG16:NM_024532:exon4:c.C299A:p.P100H;SPAG16:uc002ves.1:exon3:c.C206A:p.P69H,SPAG16:uc002veo.4:exon4:c.C299A:p.P100H,SPAG16:uc002veq.4:exon4:c.C299A:p.P100H,SPAG16:uc002ver.4:exon6:c.C137A:p.P46H;SPAG16:ENST00000413312.5_1:exon3:c.C206A:p.P69H,SPAG16:ENST00000331683.10_3:exon4:c.C299A:p.P100H,SPAG16:ENST00000432529.6_1:exon4:c.C299A:p.P100H,SPAG16:ENST00000447990.1_1:exon4:c.C299A:p.P100H</t>
        </is>
      </c>
      <c r="Q670" t="n">
        <v>-1</v>
      </c>
      <c r="R670" t="n">
        <v>-1</v>
      </c>
      <c r="S670" t="n">
        <v>-1</v>
      </c>
      <c r="T670" t="n">
        <v>-1</v>
      </c>
      <c r="U670" t="n">
        <v>-1</v>
      </c>
      <c r="V670" t="inlineStr">
        <is>
          <t>6/12</t>
        </is>
      </c>
      <c r="W670" t="inlineStr">
        <is>
          <t>.</t>
        </is>
      </c>
      <c r="X670" t="inlineStr">
        <is>
          <t>.</t>
        </is>
      </c>
      <c r="Y670" t="inlineStr">
        <is>
          <t>.</t>
        </is>
      </c>
      <c r="Z670" t="inlineStr">
        <is>
          <t>2/7</t>
        </is>
      </c>
      <c r="AA670" t="inlineStr">
        <is>
          <t>Uncertain significance</t>
        </is>
      </c>
      <c r="AB670" t="inlineStr">
        <is>
          <t>.</t>
        </is>
      </c>
      <c r="AC670" t="inlineStr">
        <is>
          <t>0/1</t>
        </is>
      </c>
      <c r="AD670" t="inlineStr">
        <is>
          <t>1</t>
        </is>
      </c>
      <c r="AE670" t="inlineStr">
        <is>
          <t>3.65639735304229e-20</t>
        </is>
      </c>
      <c r="AF670" t="inlineStr">
        <is>
          <t>sperm associated antigen 16</t>
        </is>
      </c>
      <c r="AG670" t="inlineStr">
        <is>
          <t xml:space="preserve">FUNCTION: Necessary for sperm flagellar function. Plays a role in motile ciliogenesis. May help to recruit STK36 to the cilium or apical surface of the cell to initiate subsequent steps of construction of the central pair apparatus of motile cilia (By similarity). {ECO:0000250}.; </t>
        </is>
      </c>
      <c r="AH670" t="inlineStr">
        <is>
          <t>.</t>
        </is>
      </c>
      <c r="AI670" t="inlineStr">
        <is>
          <t>.</t>
        </is>
      </c>
      <c r="AJ670" t="inlineStr">
        <is>
          <t>.</t>
        </is>
      </c>
      <c r="AK670" t="inlineStr">
        <is>
          <t>.</t>
        </is>
      </c>
      <c r="AL670" t="inlineStr">
        <is>
          <t>.</t>
        </is>
      </c>
    </row>
    <row r="671">
      <c r="A671" t="inlineStr"/>
      <c r="B671">
        <f>HYPERLINK("https://genome.ucsc.edu/cgi-bin/hgTracks?db=hg19&amp;position=chr2%3A215940283%2D215940283", "chr2:215940283")</f>
        <v/>
      </c>
      <c r="C671" t="inlineStr">
        <is>
          <t>chr2</t>
        </is>
      </c>
      <c r="D671" t="n">
        <v>215940283</v>
      </c>
      <c r="E671" t="n">
        <v>215940283</v>
      </c>
      <c r="F671" t="inlineStr">
        <is>
          <t>-</t>
        </is>
      </c>
      <c r="G671" t="inlineStr">
        <is>
          <t>A</t>
        </is>
      </c>
      <c r="H671" t="inlineStr">
        <is>
          <t>40.60</t>
        </is>
      </c>
      <c r="I671" t="inlineStr">
        <is>
          <t>89</t>
        </is>
      </c>
      <c r="J671" t="inlineStr">
        <is>
          <t>67,11</t>
        </is>
      </c>
      <c r="K671" t="inlineStr">
        <is>
          <t>.</t>
        </is>
      </c>
      <c r="L671">
        <f>HYPERLINK("https://www.ncbi.nlm.nih.gov/snp/rs770508455", "rs770508455")</f>
        <v/>
      </c>
      <c r="M671">
        <f>HYPERLINK("https://www.genecards.org/Search/Keyword?queryString=%5Baliases%5D(%20ABCA12%20)&amp;keywords=ABCA12", "ABCA12")</f>
        <v/>
      </c>
      <c r="N671" t="inlineStr">
        <is>
          <t>exonic;intronic</t>
        </is>
      </c>
      <c r="O671" t="inlineStr">
        <is>
          <t>frameshift insertion</t>
        </is>
      </c>
      <c r="P671" t="inlineStr">
        <is>
          <t>ABCA12:ENST00000412081.1_3:exon3:c.220dupT:p.S74Ffs*5</t>
        </is>
      </c>
      <c r="Q671" t="n">
        <v>0.0263</v>
      </c>
      <c r="R671" t="n">
        <v>0.0128</v>
      </c>
      <c r="S671" t="n">
        <v>0.0105</v>
      </c>
      <c r="T671" t="n">
        <v>-1</v>
      </c>
      <c r="U671" t="n">
        <v>0.025</v>
      </c>
      <c r="V671" t="inlineStr">
        <is>
          <t>.</t>
        </is>
      </c>
      <c r="W671" t="inlineStr">
        <is>
          <t>.</t>
        </is>
      </c>
      <c r="X671" t="inlineStr">
        <is>
          <t>.</t>
        </is>
      </c>
      <c r="Y671" t="inlineStr">
        <is>
          <t>.</t>
        </is>
      </c>
      <c r="Z671" t="inlineStr">
        <is>
          <t>.</t>
        </is>
      </c>
      <c r="AA671" t="inlineStr">
        <is>
          <t>.</t>
        </is>
      </c>
      <c r="AB671" t="inlineStr">
        <is>
          <t>.</t>
        </is>
      </c>
      <c r="AC671" t="inlineStr">
        <is>
          <t>0/1</t>
        </is>
      </c>
      <c r="AD671" t="inlineStr">
        <is>
          <t>1</t>
        </is>
      </c>
      <c r="AE671" t="inlineStr">
        <is>
          <t>2.02270864482359e-07</t>
        </is>
      </c>
      <c r="AF671" t="inlineStr">
        <is>
          <t>ATP binding cassette subfamily A member 12</t>
        </is>
      </c>
      <c r="AG671" t="inlineStr">
        <is>
          <t xml:space="preserve">FUNCTION: Probable transporter involved in lipid homeostasis.; </t>
        </is>
      </c>
      <c r="AH671" t="inlineStr">
        <is>
          <t xml:space="preserve">DISEASE: Ichthyosis, congenital, autosomal recessive 4A (ARCI4A) [MIM:601277]: A form of autosomal recessive congenital ichthyosis, a disorder of keratinization with abnormal differentiation and desquamation of the epidermis, resulting in abnormal skin scaling over the whole body. The main skin phenotypes are lamellar ichthyosis (LI) and non-bullous congenital ichthyosiform erythroderma (NCIE), although phenotypic overlap within the same patient or among patients from the same family can occur. Lamellar ichthyosis is a condition often associated with an embedment in a collodion-like membrane at birth; skin scales later develop, covering the entire body surface. Non-bullous congenital ichthyosiform erythroderma characterized by fine whitish scaling on an erythrodermal background; larger brownish scales are present on the buttocks, neck and legs. {ECO:0000269|PubMed:12915478, ECO:0000269|PubMed:17508018, ECO:0000269|PubMed:18284401, ECO:0000269|PubMed:19262603, ECO:0000269|PubMed:22257947}. Note=The disease is caused by mutations affecting the gene represented in this entry.; DISEASE: Ichthyosis, congenital, autosomal recessive 4B (ARCI4B) [MIM:242500]: A rare, very severe form of congenital ichthyosis, in which the neonate is born with a thick covering of armor-like scales. The skin dries out to form hard diamond-shaped plaques separated by fissures, resembling 'armor plating'. The normal facial features are severely affected, with distortion of the lips (eclabion), eyelids (ectropion), ears, and nostrils. Affected babies are often born prematurely and rarely survive the perinatal period. Babies who survive into infancy and beyond develop skin changes resembling severe non-bullous congenital ichthyosiform erythroderma. {ECO:0000269|PubMed:15756637, ECO:0000269|PubMed:16675967, ECO:0000269|PubMed:16902423}. Note=The disease is caused by mutations affecting the gene represented in this entry.; </t>
        </is>
      </c>
      <c r="AI671" t="inlineStr">
        <is>
          <t>.</t>
        </is>
      </c>
      <c r="AJ671" t="inlineStr">
        <is>
          <t>.</t>
        </is>
      </c>
      <c r="AK671" t="inlineStr">
        <is>
          <t>.</t>
        </is>
      </c>
      <c r="AL671" t="inlineStr">
        <is>
          <t>.</t>
        </is>
      </c>
    </row>
    <row r="672">
      <c r="A672" t="inlineStr"/>
      <c r="B672">
        <f>HYPERLINK("https://genome.ucsc.edu/cgi-bin/hgTracks?db=hg19&amp;position=chr2%3A220159706%2D220159706", "chr2:220159706")</f>
        <v/>
      </c>
      <c r="C672" t="inlineStr">
        <is>
          <t>chr2</t>
        </is>
      </c>
      <c r="D672" t="n">
        <v>220159706</v>
      </c>
      <c r="E672" t="n">
        <v>220159706</v>
      </c>
      <c r="F672" t="inlineStr">
        <is>
          <t>-</t>
        </is>
      </c>
      <c r="G672" t="inlineStr">
        <is>
          <t>CCAGC</t>
        </is>
      </c>
      <c r="H672" t="inlineStr">
        <is>
          <t>40.60</t>
        </is>
      </c>
      <c r="I672" t="inlineStr">
        <is>
          <t>14</t>
        </is>
      </c>
      <c r="J672" t="inlineStr">
        <is>
          <t>12,2</t>
        </is>
      </c>
      <c r="K672" t="inlineStr">
        <is>
          <t>.</t>
        </is>
      </c>
      <c r="L672" t="inlineStr">
        <is>
          <t>.</t>
        </is>
      </c>
      <c r="M672">
        <f>HYPERLINK("https://www.genecards.org/Search/Keyword?queryString=%5Baliases%5D(%20PTPRN%20)&amp;keywords=PTPRN", "PTPRN")</f>
        <v/>
      </c>
      <c r="N672" t="inlineStr">
        <is>
          <t>exonic</t>
        </is>
      </c>
      <c r="O672" t="inlineStr">
        <is>
          <t>frameshift insertion</t>
        </is>
      </c>
      <c r="P672" t="inlineStr">
        <is>
          <t>PTPRN:NM_001199763:exon18:c.2578_2579insGCTGG:p.D860Gfs*8,PTPRN:NM_001199764:exon19:c.2395_2396insGCTGG:p.D799Gfs*8,PTPRN:NM_002846:exon19:c.2665_2666insGCTGG:p.D889Gfs*8;PTPRN:uc002vla.3:exon18:c.2578_2579insGCTGG:p.D860Gfs*8,PTPRN:uc002vkz.3:exon19:c.2665_2666insGCTGG:p.D889Gfs*8,PTPRN:uc010zlc.2:exon19:c.2395_2396insGCTGG:p.D799Gfs*8;PTPRN:ENST00000409251.7_3:exon18:c.2578_2579insGCTGG:p.D860Gfs*8,PTPRN:ENST00000295718.7_5:exon19:c.2665_2666insGCTGG:p.D889Gfs*8,PTPRN:ENST00000423636.6_3:exon19:c.2395_2396insGCTGG:p.D799Gfs*8</t>
        </is>
      </c>
      <c r="Q672" t="n">
        <v>-1</v>
      </c>
      <c r="R672" t="n">
        <v>-1</v>
      </c>
      <c r="S672" t="n">
        <v>-1</v>
      </c>
      <c r="T672" t="n">
        <v>-1</v>
      </c>
      <c r="U672" t="n">
        <v>-1</v>
      </c>
      <c r="V672" t="inlineStr">
        <is>
          <t>.</t>
        </is>
      </c>
      <c r="W672" t="inlineStr">
        <is>
          <t>.</t>
        </is>
      </c>
      <c r="X672" t="inlineStr">
        <is>
          <t>.</t>
        </is>
      </c>
      <c r="Y672" t="inlineStr">
        <is>
          <t>.</t>
        </is>
      </c>
      <c r="Z672" t="inlineStr">
        <is>
          <t>.</t>
        </is>
      </c>
      <c r="AA672" t="inlineStr">
        <is>
          <t>.</t>
        </is>
      </c>
      <c r="AB672" t="inlineStr">
        <is>
          <t>.</t>
        </is>
      </c>
      <c r="AC672" t="inlineStr">
        <is>
          <t>0/1</t>
        </is>
      </c>
      <c r="AD672" t="inlineStr">
        <is>
          <t>1</t>
        </is>
      </c>
      <c r="AE672" t="inlineStr">
        <is>
          <t>0.021748200630743</t>
        </is>
      </c>
      <c r="AF672" t="inlineStr">
        <is>
          <t>protein tyrosine phosphatase, receptor type N</t>
        </is>
      </c>
      <c r="AG672" t="inlineStr">
        <is>
          <t xml:space="preserve">FUNCTION: Plays a role in vesicle-mediated secretory processes (PubMed:24843546). Required for normal accumulation of secretory vesicles in hippocampus, pituitary and pancreatic islets (By similarity). Required for the accumulation of normal levels of insulin-containing vesicles and preventing their degradation (PubMed:24843546). Plays a role in insulin secretion in response to glucose stimuli (PubMed:24843546). Required for normal accumulation of the neurotransmitters norepinephrine, dopamine and serotonin in the brain (By similarity). In females, but not in males, required for normal accumulation and secretion of pituitary hormones, such as luteinizing hormone (LH) and follicle- stimulating hormone (FSH) (By similarity). Seems to lack intrinsic enzyme activity (By similarity). {ECO:0000250|UniProtKB:Q60673, ECO:0000269|PubMed:24843546}.; </t>
        </is>
      </c>
      <c r="AH672" t="inlineStr">
        <is>
          <t xml:space="preserve">DISEASE: Note=Autoantigen in insulin-dependent diabetes mellitus (IDDM). {ECO:0000269|PubMed:8144912, ECO:0000269|PubMed:8641276}.; </t>
        </is>
      </c>
      <c r="AI672" t="inlineStr">
        <is>
          <t>.</t>
        </is>
      </c>
      <c r="AJ672" t="inlineStr">
        <is>
          <t>.</t>
        </is>
      </c>
      <c r="AK672" t="inlineStr">
        <is>
          <t>.</t>
        </is>
      </c>
      <c r="AL672" t="inlineStr">
        <is>
          <t>.</t>
        </is>
      </c>
    </row>
    <row r="673">
      <c r="A673" t="inlineStr"/>
      <c r="B673">
        <f>HYPERLINK("https://genome.ucsc.edu/cgi-bin/hgTracks?db=hg19&amp;position=chr2%3A220347143%2D220347143", "chr2:220347143")</f>
        <v/>
      </c>
      <c r="C673" t="inlineStr">
        <is>
          <t>chr2</t>
        </is>
      </c>
      <c r="D673" t="n">
        <v>220347143</v>
      </c>
      <c r="E673" t="n">
        <v>220347143</v>
      </c>
      <c r="F673" t="inlineStr">
        <is>
          <t>C</t>
        </is>
      </c>
      <c r="G673" t="inlineStr">
        <is>
          <t>G</t>
        </is>
      </c>
      <c r="H673" t="inlineStr">
        <is>
          <t>52.64</t>
        </is>
      </c>
      <c r="I673" t="inlineStr">
        <is>
          <t>6</t>
        </is>
      </c>
      <c r="J673" t="inlineStr">
        <is>
          <t>4,2</t>
        </is>
      </c>
      <c r="K673" t="inlineStr">
        <is>
          <t>.</t>
        </is>
      </c>
      <c r="L673" t="inlineStr">
        <is>
          <t>.</t>
        </is>
      </c>
      <c r="M673">
        <f>HYPERLINK("https://www.genecards.org/Search/Keyword?queryString=%5Baliases%5D(%20SPEG%20)&amp;keywords=SPEG", "SPEG")</f>
        <v/>
      </c>
      <c r="N673" t="inlineStr">
        <is>
          <t>intronic;ncRNA_intronic</t>
        </is>
      </c>
      <c r="O673" t="inlineStr">
        <is>
          <t>.</t>
        </is>
      </c>
      <c r="P673" t="inlineStr">
        <is>
          <t>.</t>
        </is>
      </c>
      <c r="Q673" t="n">
        <v>-1</v>
      </c>
      <c r="R673" t="n">
        <v>-1</v>
      </c>
      <c r="S673" t="n">
        <v>-1</v>
      </c>
      <c r="T673" t="n">
        <v>-1</v>
      </c>
      <c r="U673" t="n">
        <v>-1</v>
      </c>
      <c r="V673" t="inlineStr">
        <is>
          <t>.</t>
        </is>
      </c>
      <c r="W673" t="inlineStr">
        <is>
          <t>.</t>
        </is>
      </c>
      <c r="X673" t="inlineStr">
        <is>
          <t>.</t>
        </is>
      </c>
      <c r="Y673" t="inlineStr">
        <is>
          <t>.</t>
        </is>
      </c>
      <c r="Z673" t="inlineStr">
        <is>
          <t>.</t>
        </is>
      </c>
      <c r="AA673" t="inlineStr">
        <is>
          <t>.</t>
        </is>
      </c>
      <c r="AB673" t="inlineStr">
        <is>
          <t>.</t>
        </is>
      </c>
      <c r="AC673" t="inlineStr">
        <is>
          <t>0/1</t>
        </is>
      </c>
      <c r="AD673" t="inlineStr">
        <is>
          <t>1</t>
        </is>
      </c>
      <c r="AE673" t="inlineStr">
        <is>
          <t>0.999790421916053</t>
        </is>
      </c>
      <c r="AF673" t="inlineStr">
        <is>
          <t>SPEG complex locus</t>
        </is>
      </c>
      <c r="AG673" t="inlineStr">
        <is>
          <t xml:space="preserve">FUNCTION: Isoform 3 may have a role in regulating the growth and differentiation of arterial smooth muscle cells.; </t>
        </is>
      </c>
      <c r="AH673" t="inlineStr">
        <is>
          <t xml:space="preserve">DISEASE: Myopathy, centronuclear, 5 (CNM5) [MIM:615959]: A form of centronuclear myopathy, a congenital muscle disorder characterized by progressive muscular weakness and wasting involving mainly limb girdle, trunk, and neck muscles. It may also affect distal muscles. Weakness may be present during childhood or adolescence or may not become evident until the third decade of life. Ptosis is a frequent clinical feature. The most prominent histopathologic features include high frequency of centrally located nuclei in muscle fibers not secondary to regeneration, radial arrangement of sarcoplasmic strands around the central nuclei, and predominance and hypotrophy of type 1 fibers. CNM5 features include severe neonatal hypotonia with respiratory insufficiency, difficulty feeding, and delayed motor development. Some patients die in infancy, and some develop dilated cardiomyopathy. {ECO:0000269|PubMed:25087613}. Note=The disease is caused by mutations affecting the gene represented in this entry.; </t>
        </is>
      </c>
      <c r="AI673" t="inlineStr">
        <is>
          <t>.</t>
        </is>
      </c>
      <c r="AJ673" t="inlineStr">
        <is>
          <t>.</t>
        </is>
      </c>
      <c r="AK673" t="inlineStr">
        <is>
          <t>.</t>
        </is>
      </c>
      <c r="AL673" t="inlineStr">
        <is>
          <t>.</t>
        </is>
      </c>
    </row>
    <row r="674">
      <c r="A674" t="inlineStr"/>
      <c r="B674">
        <f>HYPERLINK("https://genome.ucsc.edu/cgi-bin/hgTracks?db=hg19&amp;position=chr2%3A225337632%2D225337632", "chr2:225337632")</f>
        <v/>
      </c>
      <c r="C674" t="inlineStr">
        <is>
          <t>chr2</t>
        </is>
      </c>
      <c r="D674" t="n">
        <v>225337632</v>
      </c>
      <c r="E674" t="n">
        <v>225337632</v>
      </c>
      <c r="F674" t="inlineStr">
        <is>
          <t>T</t>
        </is>
      </c>
      <c r="G674" t="inlineStr">
        <is>
          <t>C</t>
        </is>
      </c>
      <c r="H674" t="inlineStr">
        <is>
          <t>33.64</t>
        </is>
      </c>
      <c r="I674" t="inlineStr">
        <is>
          <t>13</t>
        </is>
      </c>
      <c r="J674" t="inlineStr">
        <is>
          <t>11,2</t>
        </is>
      </c>
      <c r="K674" t="inlineStr">
        <is>
          <t>.</t>
        </is>
      </c>
      <c r="L674" t="inlineStr">
        <is>
          <t>.</t>
        </is>
      </c>
      <c r="M674">
        <f>HYPERLINK("https://www.genecards.org/Search/Keyword?queryString=%5Baliases%5D(%20CUL3%20)&amp;keywords=CUL3", "CUL3")</f>
        <v/>
      </c>
      <c r="N674" t="inlineStr">
        <is>
          <t>UTR3;ncRNA_intronic</t>
        </is>
      </c>
      <c r="O674" t="inlineStr">
        <is>
          <t>.</t>
        </is>
      </c>
      <c r="P674" t="inlineStr">
        <is>
          <t>NM_001257198:c.*1330A&gt;G;NM_003590:c.*1330A&gt;G;NM_001257197:c.*1330A&gt;G;uc010fwy.2:c.*1330A&gt;G;uc002vny.3:c.*1330A&gt;G;uc010zls.2:c.*1330A&gt;G</t>
        </is>
      </c>
      <c r="Q674" t="n">
        <v>-1</v>
      </c>
      <c r="R674" t="n">
        <v>-1</v>
      </c>
      <c r="S674" t="n">
        <v>-1</v>
      </c>
      <c r="T674" t="n">
        <v>-1</v>
      </c>
      <c r="U674" t="n">
        <v>-1</v>
      </c>
      <c r="V674" t="inlineStr">
        <is>
          <t>.</t>
        </is>
      </c>
      <c r="W674" t="inlineStr">
        <is>
          <t>.</t>
        </is>
      </c>
      <c r="X674" t="inlineStr">
        <is>
          <t>.</t>
        </is>
      </c>
      <c r="Y674" t="inlineStr">
        <is>
          <t>.</t>
        </is>
      </c>
      <c r="Z674" t="inlineStr">
        <is>
          <t>.</t>
        </is>
      </c>
      <c r="AA674" t="inlineStr">
        <is>
          <t>.</t>
        </is>
      </c>
      <c r="AB674" t="inlineStr">
        <is>
          <t>.</t>
        </is>
      </c>
      <c r="AC674" t="inlineStr">
        <is>
          <t>0/1</t>
        </is>
      </c>
      <c r="AD674" t="inlineStr">
        <is>
          <t>1</t>
        </is>
      </c>
      <c r="AE674" t="inlineStr">
        <is>
          <t>0.974063405438851</t>
        </is>
      </c>
      <c r="AF674" t="inlineStr">
        <is>
          <t>cullin 3</t>
        </is>
      </c>
      <c r="AG674" t="inlineStr">
        <is>
          <t xml:space="preserve">FUNCTION: Core component of multiple cullin-RING-based BCR (BTB- CUL3-RBX1) E3 ubiquitin-protein ligase complexes which mediate the ubiquitination and subsequent proteasomal degradation of target proteins. As a scaffold protein may contribute to catalysis through positioning of the substrate and the ubiquitin-conjugating enzyme. The E3 ubiquitin-protein ligase activity of the complex is dependent on the neddylation of the cullin subunit and is inhibited by the association of the deneddylated cullin subunit with TIP120A/CAND1 (By similarity). The functional specificity of the BCR complex depends on the BTB domain-containing protein as the substrate recognition component. BCR(KLHL42) is involved in ubiquitination of KATNA1. BCR(SPOP) is involved in ubiquitination of BMI1/PCGF4, BRMS1, H2AFY and DAXX, GLI2 and GLI3. Can also form a cullin-RING-based BCR (BTB-CUL3-RBX1) E3 ubiquitin-protein ligase complex containing homodimeric SPOPL or the heterodimer formed by SPOP and SPOPL; these complexes have lower ubiquitin ligase activity. BCR(KLHL9-KLHL13) controls the dynamic behavior of AURKB on mitotic chromosomes and thereby coordinates faithful mitotic progression and completion of cytokinesis. BCR(KLHL12) is involved in ER-Golgi transport by regulating the size of COPII coats, thereby playing a key role in collagen export, which is required for embryonic stem (ES) cells division: BCR(KLHL12) acts by mediating monoubiquitination of SEC31 (SEC31A or SEC31B). BCR(KLHL3) acts as a regulator of ion transport in the distal nephron; by mediating ubiquitination of WNK4. The BCR(KLHL20) E3 ubiquitin ligase complex is involved in interferon response and anterograde Golgi to endosome transport: it mediates both ubiquitination leading to degradation and 'Lys-33'-linked ubiquitination (PubMed:20389280, PubMed:21840486, PubMed:21670212, PubMed:24768539). The BCR(KLHL21) E3 ubiquitin ligase complex regulates localization of the chromosomal passenger complex (CPC) from chromosomes to the spindle midzone in anaphase and mediates the ubiquitination of AURKB. The BCR(KLHL22) ubiquitin ligase complex mediates monoubiquitination of PLK1, leading to PLK1 dissociation from phosphoreceptor proteins and subsequent removal from kinetochores, allowing silencing of the spindle assembly checkpoint (SAC) and chromosome segregation. The BCR(KLHL25) ubiquitin ligase complex is involved in translational homeostasis by mediating ubiquitination and subsequent degradation of hypophosphorylated EIF4EBP1 (4E-BP1). Involved in ubiquitination of cyclin E and of cyclin D1 (in vitro) thus involved in regulation of G1/S transition. Involved in the ubiquitination of KEAP1, ENC1 and KLHL41. In concert with ATF2 and RBX1, promotes degradation of KAT5 thereby attenuating its ability to acetylate and activate ATM. The BCR(KCTD17) E3 ubiquitin ligase complex mediates ubiquitination and degradation of TCHP, a down-regulator of cilium assembly, thereby inducing ciliogenesis (PubMed:25270598). {ECO:0000250, ECO:0000269|PubMed:10500095, ECO:0000269|PubMed:11311237, ECO:0000269|PubMed:15897469, ECO:0000269|PubMed:15983046, ECO:0000269|PubMed:16524876, ECO:0000269|PubMed:17543862, ECO:0000269|PubMed:18397884, ECO:0000269|PubMed:19261606, ECO:0000269|PubMed:19995937, ECO:0000269|PubMed:20389280, ECO:0000269|PubMed:21670212, ECO:0000269|PubMed:21840486, ECO:0000269|PubMed:22085717, ECO:0000269|PubMed:22358839, ECO:0000269|PubMed:22578813, ECO:0000269|PubMed:22632832, ECO:0000269|PubMed:23387299, ECO:0000269|PubMed:23453970, ECO:0000269|PubMed:23455478, ECO:0000269|PubMed:23576762, ECO:0000269|PubMed:24768539, ECO:0000269|PubMed:25270598}.; </t>
        </is>
      </c>
      <c r="AH674" t="inlineStr">
        <is>
          <t xml:space="preserve">DISEASE: Pseudohypoaldosteronism 2E (PHA2E) [MIM:614496]: An autosomal dominant disorder characterized by severe hypertension, hyperkalemia, hyperchloremia, hyperchloremic metabolic acidosis, and correction of physiologic abnormalities by thiazide diuretics. {ECO:0000269|PubMed:22266938}. Note=The disease is caused by mutations affecting the gene represented in this entry.; </t>
        </is>
      </c>
      <c r="AI674" t="inlineStr">
        <is>
          <t>.</t>
        </is>
      </c>
      <c r="AJ674" t="inlineStr">
        <is>
          <t>.</t>
        </is>
      </c>
      <c r="AK674" t="inlineStr">
        <is>
          <t>.</t>
        </is>
      </c>
      <c r="AL674" t="inlineStr">
        <is>
          <t>.</t>
        </is>
      </c>
    </row>
    <row r="675">
      <c r="A675" t="inlineStr"/>
      <c r="B675">
        <f>HYPERLINK("https://genome.ucsc.edu/cgi-bin/hgTracks?db=hg19&amp;position=chr2%3A226447157%2D226447157", "chr2:226447157")</f>
        <v/>
      </c>
      <c r="C675" t="inlineStr">
        <is>
          <t>chr2</t>
        </is>
      </c>
      <c r="D675" t="n">
        <v>226447157</v>
      </c>
      <c r="E675" t="n">
        <v>226447157</v>
      </c>
      <c r="F675" t="inlineStr">
        <is>
          <t>G</t>
        </is>
      </c>
      <c r="G675" t="inlineStr">
        <is>
          <t>C</t>
        </is>
      </c>
      <c r="H675" t="inlineStr">
        <is>
          <t>114.64</t>
        </is>
      </c>
      <c r="I675" t="inlineStr">
        <is>
          <t>32</t>
        </is>
      </c>
      <c r="J675" t="inlineStr">
        <is>
          <t>22,10</t>
        </is>
      </c>
      <c r="K675" t="inlineStr">
        <is>
          <t>.</t>
        </is>
      </c>
      <c r="L675">
        <f>HYPERLINK("https://www.ncbi.nlm.nih.gov/snp/rs761168029", "rs761168029")</f>
        <v/>
      </c>
      <c r="M675">
        <f>HYPERLINK("https://www.genecards.org/Search/Keyword?queryString=%5Baliases%5D(%20NYAP2%20)&amp;keywords=NYAP2", "NYAP2")</f>
        <v/>
      </c>
      <c r="N675" t="inlineStr">
        <is>
          <t>exonic</t>
        </is>
      </c>
      <c r="O675" t="inlineStr">
        <is>
          <t>nonsynonymous SNV</t>
        </is>
      </c>
      <c r="P675" t="inlineStr">
        <is>
          <t>NYAP2:NM_020864:exon4:c.G1024C:p.A342P,NYAP2:NM_001371273:exon5:c.G1024C:p.A342P;NYAP2:uc002vof.1:exon1:c.G334C:p.A112P,NYAP2:uc002voe.2:exon4:c.G1024C:p.A342P;NYAP2:ENST00000272907.8_4:exon5:c.G1024C:p.A342P,NYAP2:ENST00000636099.1_3:exon5:c.G1024C:p.A342P</t>
        </is>
      </c>
      <c r="Q675" t="n">
        <v>0.029557</v>
      </c>
      <c r="R675" t="n">
        <v>0.0147</v>
      </c>
      <c r="S675" t="n">
        <v>0.005</v>
      </c>
      <c r="T675" t="n">
        <v>-1</v>
      </c>
      <c r="U675" t="n">
        <v>0.0135</v>
      </c>
      <c r="V675" t="inlineStr">
        <is>
          <t>8/11</t>
        </is>
      </c>
      <c r="W675" t="inlineStr">
        <is>
          <t>.</t>
        </is>
      </c>
      <c r="X675" t="inlineStr">
        <is>
          <t>.</t>
        </is>
      </c>
      <c r="Y675" t="inlineStr">
        <is>
          <t>.</t>
        </is>
      </c>
      <c r="Z675" t="inlineStr">
        <is>
          <t>5/7</t>
        </is>
      </c>
      <c r="AA675" t="inlineStr">
        <is>
          <t>Uncertain significance</t>
        </is>
      </c>
      <c r="AB675" t="inlineStr">
        <is>
          <t>.</t>
        </is>
      </c>
      <c r="AC675" t="inlineStr">
        <is>
          <t>0/1</t>
        </is>
      </c>
      <c r="AD675" t="inlineStr">
        <is>
          <t>1</t>
        </is>
      </c>
      <c r="AE675" t="inlineStr">
        <is>
          <t>0.906196258132315</t>
        </is>
      </c>
      <c r="AF675" t="inlineStr">
        <is>
          <t>neuronal tyrosine-phosphorylated phosphoinositide-3-kinase adaptor 2</t>
        </is>
      </c>
      <c r="AG675" t="inlineStr">
        <is>
          <t xml:space="preserve">FUNCTION: Activates PI3K and concomitantly recruits the WAVE1 complex to the close vicinity of PI3K and regulates neuronal morphogenesis. {ECO:0000250}.; </t>
        </is>
      </c>
      <c r="AH675" t="inlineStr">
        <is>
          <t>.</t>
        </is>
      </c>
      <c r="AI675" t="inlineStr">
        <is>
          <t>GenotypeConflict</t>
        </is>
      </c>
      <c r="AJ675" t="inlineStr">
        <is>
          <t>.</t>
        </is>
      </c>
      <c r="AK675" t="inlineStr">
        <is>
          <t>.</t>
        </is>
      </c>
      <c r="AL675" t="inlineStr">
        <is>
          <t>.</t>
        </is>
      </c>
    </row>
    <row r="676">
      <c r="A676" t="inlineStr"/>
      <c r="B676">
        <f>HYPERLINK("https://genome.ucsc.edu/cgi-bin/hgTracks?db=hg19&amp;position=chr2%3A230377708%2D230377708", "chr2:230377708")</f>
        <v/>
      </c>
      <c r="C676" t="inlineStr">
        <is>
          <t>chr2</t>
        </is>
      </c>
      <c r="D676" t="n">
        <v>230377708</v>
      </c>
      <c r="E676" t="n">
        <v>230377708</v>
      </c>
      <c r="F676" t="inlineStr">
        <is>
          <t>T</t>
        </is>
      </c>
      <c r="G676" t="inlineStr">
        <is>
          <t>C</t>
        </is>
      </c>
      <c r="H676" t="inlineStr">
        <is>
          <t>825.06</t>
        </is>
      </c>
      <c r="I676" t="inlineStr">
        <is>
          <t>24</t>
        </is>
      </c>
      <c r="J676" t="inlineStr">
        <is>
          <t>0,24</t>
        </is>
      </c>
      <c r="K676" t="inlineStr">
        <is>
          <t>.</t>
        </is>
      </c>
      <c r="L676">
        <f>HYPERLINK("https://www.ncbi.nlm.nih.gov/snp/rs184208282", "rs184208282")</f>
        <v/>
      </c>
      <c r="M676">
        <f>HYPERLINK("https://www.genecards.org/Search/Keyword?queryString=%5Baliases%5D(%20DNER%20)&amp;keywords=DNER", "DNER")</f>
        <v/>
      </c>
      <c r="N676" t="inlineStr">
        <is>
          <t>intronic</t>
        </is>
      </c>
      <c r="O676" t="inlineStr">
        <is>
          <t>.</t>
        </is>
      </c>
      <c r="P676" t="inlineStr">
        <is>
          <t>.</t>
        </is>
      </c>
      <c r="Q676" t="n">
        <v>0.0043</v>
      </c>
      <c r="R676" t="n">
        <v>0.0012</v>
      </c>
      <c r="S676" t="n">
        <v>0.0018</v>
      </c>
      <c r="T676" t="n">
        <v>-1</v>
      </c>
      <c r="U676" t="n">
        <v>0.0004</v>
      </c>
      <c r="V676" t="inlineStr">
        <is>
          <t>.</t>
        </is>
      </c>
      <c r="W676" t="inlineStr">
        <is>
          <t>.</t>
        </is>
      </c>
      <c r="X676" t="inlineStr">
        <is>
          <t>PD</t>
        </is>
      </c>
      <c r="Y676" t="inlineStr">
        <is>
          <t>off</t>
        </is>
      </c>
      <c r="Z676" t="inlineStr">
        <is>
          <t>.</t>
        </is>
      </c>
      <c r="AA676" t="inlineStr">
        <is>
          <t>.</t>
        </is>
      </c>
      <c r="AB676" t="inlineStr">
        <is>
          <t>.</t>
        </is>
      </c>
      <c r="AC676" t="inlineStr">
        <is>
          <t>HOMO</t>
        </is>
      </c>
      <c r="AD676" t="inlineStr">
        <is>
          <t>2</t>
        </is>
      </c>
      <c r="AE676" t="inlineStr">
        <is>
          <t>0.785502089513872</t>
        </is>
      </c>
      <c r="AF676" t="inlineStr">
        <is>
          <t>delta/notch like EGF repeat containing</t>
        </is>
      </c>
      <c r="AG676" t="inlineStr">
        <is>
          <t xml:space="preserve">FUNCTION: Activator of the NOTCH1 pathway. May mediate neuron-glia interaction during astrocytogenesis (By similarity). {ECO:0000250}.; </t>
        </is>
      </c>
      <c r="AH676" t="inlineStr">
        <is>
          <t>.</t>
        </is>
      </c>
      <c r="AI676" t="inlineStr">
        <is>
          <t>.</t>
        </is>
      </c>
      <c r="AJ676" t="inlineStr">
        <is>
          <t>.</t>
        </is>
      </c>
      <c r="AK676" t="inlineStr">
        <is>
          <t>.</t>
        </is>
      </c>
      <c r="AL676" t="inlineStr">
        <is>
          <t>.</t>
        </is>
      </c>
    </row>
    <row r="677">
      <c r="A677" t="inlineStr"/>
      <c r="B677">
        <f>HYPERLINK("https://genome.ucsc.edu/cgi-bin/hgTracks?db=hg19&amp;position=chr2%3A230456778%2D230456778", "chr2:230456778")</f>
        <v/>
      </c>
      <c r="C677" t="inlineStr">
        <is>
          <t>chr2</t>
        </is>
      </c>
      <c r="D677" t="n">
        <v>230456778</v>
      </c>
      <c r="E677" t="n">
        <v>230456778</v>
      </c>
      <c r="F677" t="inlineStr">
        <is>
          <t>G</t>
        </is>
      </c>
      <c r="G677" t="inlineStr">
        <is>
          <t>T</t>
        </is>
      </c>
      <c r="H677" t="inlineStr">
        <is>
          <t>47.64</t>
        </is>
      </c>
      <c r="I677" t="inlineStr">
        <is>
          <t>7</t>
        </is>
      </c>
      <c r="J677" t="inlineStr">
        <is>
          <t>5,2</t>
        </is>
      </c>
      <c r="K677" t="inlineStr">
        <is>
          <t>.</t>
        </is>
      </c>
      <c r="L677" t="inlineStr">
        <is>
          <t>.</t>
        </is>
      </c>
      <c r="M677">
        <f>HYPERLINK("https://www.genecards.org/Search/Keyword?queryString=%5Baliases%5D(%20DNER%20)&amp;keywords=DNER", "DNER")</f>
        <v/>
      </c>
      <c r="N677" t="inlineStr">
        <is>
          <t>intronic</t>
        </is>
      </c>
      <c r="O677" t="inlineStr">
        <is>
          <t>.</t>
        </is>
      </c>
      <c r="P677" t="inlineStr">
        <is>
          <t>.</t>
        </is>
      </c>
      <c r="Q677" t="n">
        <v>-1</v>
      </c>
      <c r="R677" t="n">
        <v>-1</v>
      </c>
      <c r="S677" t="n">
        <v>-1</v>
      </c>
      <c r="T677" t="n">
        <v>-1</v>
      </c>
      <c r="U677" t="n">
        <v>-1</v>
      </c>
      <c r="V677" t="inlineStr">
        <is>
          <t>.</t>
        </is>
      </c>
      <c r="W677" t="inlineStr">
        <is>
          <t>.</t>
        </is>
      </c>
      <c r="X677" t="inlineStr">
        <is>
          <t>PD</t>
        </is>
      </c>
      <c r="Y677" t="inlineStr">
        <is>
          <t>off</t>
        </is>
      </c>
      <c r="Z677" t="inlineStr">
        <is>
          <t>.</t>
        </is>
      </c>
      <c r="AA677" t="inlineStr">
        <is>
          <t>.</t>
        </is>
      </c>
      <c r="AB677" t="inlineStr">
        <is>
          <t>.</t>
        </is>
      </c>
      <c r="AC677" t="inlineStr">
        <is>
          <t>0/1</t>
        </is>
      </c>
      <c r="AD677" t="inlineStr">
        <is>
          <t>2</t>
        </is>
      </c>
      <c r="AE677" t="inlineStr">
        <is>
          <t>0.785502089513872</t>
        </is>
      </c>
      <c r="AF677" t="inlineStr">
        <is>
          <t>delta/notch like EGF repeat containing</t>
        </is>
      </c>
      <c r="AG677" t="inlineStr">
        <is>
          <t xml:space="preserve">FUNCTION: Activator of the NOTCH1 pathway. May mediate neuron-glia interaction during astrocytogenesis (By similarity). {ECO:0000250}.; </t>
        </is>
      </c>
      <c r="AH677" t="inlineStr">
        <is>
          <t>.</t>
        </is>
      </c>
      <c r="AI677" t="inlineStr">
        <is>
          <t>.</t>
        </is>
      </c>
      <c r="AJ677" t="inlineStr">
        <is>
          <t>.</t>
        </is>
      </c>
      <c r="AK677" t="inlineStr">
        <is>
          <t>.</t>
        </is>
      </c>
      <c r="AL677" t="inlineStr">
        <is>
          <t>.</t>
        </is>
      </c>
    </row>
    <row r="678">
      <c r="A678" t="inlineStr"/>
      <c r="B678">
        <f>HYPERLINK("https://genome.ucsc.edu/cgi-bin/hgTracks?db=hg19&amp;position=chr2%3A231948329%2D231948329", "chr2:231948329")</f>
        <v/>
      </c>
      <c r="C678" t="inlineStr">
        <is>
          <t>chr2</t>
        </is>
      </c>
      <c r="D678" t="n">
        <v>231948329</v>
      </c>
      <c r="E678" t="n">
        <v>231948329</v>
      </c>
      <c r="F678" t="inlineStr">
        <is>
          <t>A</t>
        </is>
      </c>
      <c r="G678" t="inlineStr">
        <is>
          <t>G</t>
        </is>
      </c>
      <c r="H678" t="inlineStr">
        <is>
          <t>3101.06</t>
        </is>
      </c>
      <c r="I678" t="inlineStr">
        <is>
          <t>109</t>
        </is>
      </c>
      <c r="J678" t="inlineStr">
        <is>
          <t>2,107</t>
        </is>
      </c>
      <c r="K678" t="inlineStr">
        <is>
          <t>.</t>
        </is>
      </c>
      <c r="L678">
        <f>HYPERLINK("https://www.ncbi.nlm.nih.gov/snp/rs199791094", "rs199791094")</f>
        <v/>
      </c>
      <c r="M678">
        <f>HYPERLINK("https://www.genecards.org/Search/Keyword?queryString=%5Baliases%5D(%20PSMD1%20)&amp;keywords=PSMD1", "PSMD1")</f>
        <v/>
      </c>
      <c r="N678" t="inlineStr">
        <is>
          <t>exonic</t>
        </is>
      </c>
      <c r="O678" t="inlineStr">
        <is>
          <t>nonsynonymous SNV</t>
        </is>
      </c>
      <c r="P678" t="inlineStr">
        <is>
          <t>PSMD1:NM_001191037:exon14:c.A1574G:p.N525S,PSMD1:NM_002807:exon14:c.A1574G:p.N525S;PSMD1:uc010fxu.2:exon13:c.A1166G:p.N389S,PSMD1:uc002vrm.2:exon14:c.A1574G:p.N525S,PSMD1:uc002vrn.2:exon14:c.A1574G:p.N525S;PSMD1:ENST00000308696.11_4:exon14:c.A1574G:p.N525S,PSMD1:ENST00000373635.9_2:exon14:c.A1574G:p.N525S,PSMD1:ENST00000409643.6_2:exon14:c.A1574G:p.N525S,PSMD1:ENST00000619128.5_2:exon14:c.A1574G:p.N525S,PSMD1:ENST00000676740.1_1:exon14:c.A1574G:p.N525S,PSMD1:ENST00000677158.1_1:exon14:c.A1166G:p.N389S,PSMD1:ENST00000677180.1_1:exon14:c.A1574G:p.N525S,PSMD1:ENST00000677230.1_1:exon14:c.A1574G:p.N525S,PSMD1:ENST00000677259.1_1:exon14:c.A1574G:p.N525S,PSMD1:ENST00000678679.1_1:exon14:c.A1574G:p.N525S</t>
        </is>
      </c>
      <c r="Q678" t="n">
        <v>0.015152</v>
      </c>
      <c r="R678" t="n">
        <v>0.0001</v>
      </c>
      <c r="S678" t="n">
        <v>7.339e-05</v>
      </c>
      <c r="T678" t="n">
        <v>-1</v>
      </c>
      <c r="U678" t="n">
        <v>-1</v>
      </c>
      <c r="V678" t="inlineStr">
        <is>
          <t>4/11</t>
        </is>
      </c>
      <c r="W678" t="inlineStr">
        <is>
          <t>.</t>
        </is>
      </c>
      <c r="X678" t="inlineStr">
        <is>
          <t>.</t>
        </is>
      </c>
      <c r="Y678" t="inlineStr">
        <is>
          <t>.</t>
        </is>
      </c>
      <c r="Z678" t="inlineStr">
        <is>
          <t>7/7</t>
        </is>
      </c>
      <c r="AA678" t="inlineStr">
        <is>
          <t>Uncertain significance</t>
        </is>
      </c>
      <c r="AB678" t="inlineStr">
        <is>
          <t>.</t>
        </is>
      </c>
      <c r="AC678" t="inlineStr">
        <is>
          <t>HOMO</t>
        </is>
      </c>
      <c r="AD678" t="inlineStr">
        <is>
          <t>1</t>
        </is>
      </c>
      <c r="AE678" t="inlineStr">
        <is>
          <t>0.999999202638138</t>
        </is>
      </c>
      <c r="AF678" t="inlineStr">
        <is>
          <t>proteasome 26S subunit, non-ATPase 1</t>
        </is>
      </c>
      <c r="AG678" t="inlineStr">
        <is>
          <t xml:space="preserve">FUNCTION: Acts as a regulatory subunit of the 26 proteasome which is involved in the ATP-dependent degradation of ubiquitinated proteins.; </t>
        </is>
      </c>
      <c r="AH678" t="inlineStr">
        <is>
          <t>.</t>
        </is>
      </c>
      <c r="AI678" t="inlineStr">
        <is>
          <t>.</t>
        </is>
      </c>
      <c r="AJ678" t="inlineStr">
        <is>
          <t>.</t>
        </is>
      </c>
      <c r="AK678" t="inlineStr">
        <is>
          <t>.</t>
        </is>
      </c>
      <c r="AL678" t="inlineStr">
        <is>
          <t>.</t>
        </is>
      </c>
    </row>
    <row r="679">
      <c r="A679" t="inlineStr"/>
      <c r="B679">
        <f>HYPERLINK("https://genome.ucsc.edu/cgi-bin/hgTracks?db=hg19&amp;position=chr2%3A237123556%2D237123556", "chr2:237123556")</f>
        <v/>
      </c>
      <c r="C679" t="inlineStr">
        <is>
          <t>chr2</t>
        </is>
      </c>
      <c r="D679" t="n">
        <v>237123556</v>
      </c>
      <c r="E679" t="n">
        <v>237123556</v>
      </c>
      <c r="F679" t="inlineStr">
        <is>
          <t>G</t>
        </is>
      </c>
      <c r="G679" t="inlineStr">
        <is>
          <t>T</t>
        </is>
      </c>
      <c r="H679" t="inlineStr">
        <is>
          <t>664.06</t>
        </is>
      </c>
      <c r="I679" t="inlineStr">
        <is>
          <t>22</t>
        </is>
      </c>
      <c r="J679" t="inlineStr">
        <is>
          <t>0,22</t>
        </is>
      </c>
      <c r="K679" t="inlineStr">
        <is>
          <t>.</t>
        </is>
      </c>
      <c r="L679">
        <f>HYPERLINK("https://www.ncbi.nlm.nih.gov/snp/rs547631783", "rs547631783")</f>
        <v/>
      </c>
      <c r="M679">
        <f>HYPERLINK("https://www.genecards.org/Search/Keyword?queryString=%5Baliases%5D(%20ASB18%20)&amp;keywords=ASB18", "ASB18")</f>
        <v/>
      </c>
      <c r="N679" t="inlineStr">
        <is>
          <t>intronic;ncRNA_intronic</t>
        </is>
      </c>
      <c r="O679" t="inlineStr">
        <is>
          <t>.</t>
        </is>
      </c>
      <c r="P679" t="inlineStr">
        <is>
          <t>.</t>
        </is>
      </c>
      <c r="Q679" t="n">
        <v>0.005</v>
      </c>
      <c r="R679" t="n">
        <v>0.0043</v>
      </c>
      <c r="S679" t="n">
        <v>0.0048</v>
      </c>
      <c r="T679" t="n">
        <v>-1</v>
      </c>
      <c r="U679" t="n">
        <v>0.0026</v>
      </c>
      <c r="V679" t="inlineStr">
        <is>
          <t>.</t>
        </is>
      </c>
      <c r="W679" t="inlineStr">
        <is>
          <t>.</t>
        </is>
      </c>
      <c r="X679" t="inlineStr">
        <is>
          <t>D</t>
        </is>
      </c>
      <c r="Y679" t="inlineStr">
        <is>
          <t>off</t>
        </is>
      </c>
      <c r="Z679" t="inlineStr">
        <is>
          <t>.</t>
        </is>
      </c>
      <c r="AA679" t="inlineStr">
        <is>
          <t>.</t>
        </is>
      </c>
      <c r="AB679" t="inlineStr">
        <is>
          <t>.</t>
        </is>
      </c>
      <c r="AC679" t="inlineStr">
        <is>
          <t>HOMO</t>
        </is>
      </c>
      <c r="AD679" t="inlineStr">
        <is>
          <t>1</t>
        </is>
      </c>
      <c r="AE679" t="inlineStr">
        <is>
          <t>0.00457337421001374</t>
        </is>
      </c>
      <c r="AF679" t="inlineStr">
        <is>
          <t>ankyrin repeat and SOCS box containing 18</t>
        </is>
      </c>
      <c r="AG679" t="inlineStr">
        <is>
          <t xml:space="preserve">FUNCTION: May be a substrate-recognition component of a SCF-like ECS (Elongin-Cullin-SOCS-box protein) E3 ubiquitin-protein ligase complex which mediates the ubiquitination and subsequent proteasomal degradation of target proteins. {ECO:0000250}.; </t>
        </is>
      </c>
      <c r="AH679" t="inlineStr">
        <is>
          <t>.</t>
        </is>
      </c>
      <c r="AI679" t="inlineStr">
        <is>
          <t>.</t>
        </is>
      </c>
      <c r="AJ679" t="inlineStr">
        <is>
          <t>.</t>
        </is>
      </c>
      <c r="AK679" t="inlineStr">
        <is>
          <t>.</t>
        </is>
      </c>
      <c r="AL679" t="inlineStr">
        <is>
          <t>.</t>
        </is>
      </c>
    </row>
    <row r="680">
      <c r="A680" t="inlineStr"/>
      <c r="B680">
        <f>HYPERLINK("https://genome.ucsc.edu/cgi-bin/hgTracks?db=hg19&amp;position=chr2%3A238275399%2D238275399", "chr2:238275399")</f>
        <v/>
      </c>
      <c r="C680" t="inlineStr">
        <is>
          <t>chr2</t>
        </is>
      </c>
      <c r="D680" t="n">
        <v>238275399</v>
      </c>
      <c r="E680" t="n">
        <v>238275399</v>
      </c>
      <c r="F680" t="inlineStr">
        <is>
          <t>G</t>
        </is>
      </c>
      <c r="G680" t="inlineStr">
        <is>
          <t>T</t>
        </is>
      </c>
      <c r="H680" t="inlineStr">
        <is>
          <t>798.64</t>
        </is>
      </c>
      <c r="I680" t="inlineStr">
        <is>
          <t>72</t>
        </is>
      </c>
      <c r="J680" t="inlineStr">
        <is>
          <t>40,32</t>
        </is>
      </c>
      <c r="K680" t="inlineStr">
        <is>
          <t>.</t>
        </is>
      </c>
      <c r="L680" t="inlineStr">
        <is>
          <t>.</t>
        </is>
      </c>
      <c r="M680">
        <f>HYPERLINK("https://www.genecards.org/Search/Keyword?queryString=%5Baliases%5D(%20COL6A3%20)&amp;keywords=COL6A3", "COL6A3")</f>
        <v/>
      </c>
      <c r="N680" t="inlineStr">
        <is>
          <t>exonic</t>
        </is>
      </c>
      <c r="O680" t="inlineStr">
        <is>
          <t>nonsynonymous SNV</t>
        </is>
      </c>
      <c r="P680" t="inlineStr">
        <is>
          <t>COL6A3:NM_057166:exon8:c.C3610A:p.Q1204K,COL6A3:NM_057167:exon10:c.C4813A:p.Q1605K,COL6A3:NM_004369:exon11:c.C5431A:p.Q1811K;COL6A3:uc010znj.1:exon8:c.C3610A:p.Q1204K,COL6A3:uc002vwo.2:exon10:c.C4813A:p.Q1605K,COL6A3:uc002vwl.2:exon11:c.C5431A:p.Q1811K;COL6A3:ENST00000472056.5_3:exon8:c.C3610A:p.Q1204K,COL6A3:ENST00000353578.9_4:exon10:c.C4813A:p.Q1605K,COL6A3:ENST00000295550.9_4:exon11:c.C5431A:p.Q1811K</t>
        </is>
      </c>
      <c r="Q680" t="n">
        <v>-1</v>
      </c>
      <c r="R680" t="n">
        <v>-1</v>
      </c>
      <c r="S680" t="n">
        <v>-1</v>
      </c>
      <c r="T680" t="n">
        <v>-1</v>
      </c>
      <c r="U680" t="n">
        <v>-1</v>
      </c>
      <c r="V680" t="inlineStr">
        <is>
          <t>6/12</t>
        </is>
      </c>
      <c r="W680" t="inlineStr">
        <is>
          <t>.</t>
        </is>
      </c>
      <c r="X680" t="inlineStr">
        <is>
          <t>.</t>
        </is>
      </c>
      <c r="Y680" t="inlineStr">
        <is>
          <t>.</t>
        </is>
      </c>
      <c r="Z680" t="inlineStr">
        <is>
          <t>1/7</t>
        </is>
      </c>
      <c r="AA680" t="inlineStr">
        <is>
          <t>Uncertain significance</t>
        </is>
      </c>
      <c r="AB680" t="inlineStr">
        <is>
          <t>.</t>
        </is>
      </c>
      <c r="AC680" t="inlineStr">
        <is>
          <t>0/1</t>
        </is>
      </c>
      <c r="AD680" t="inlineStr">
        <is>
          <t>1</t>
        </is>
      </c>
      <c r="AE680" t="inlineStr">
        <is>
          <t>7.79330849282056e-11</t>
        </is>
      </c>
      <c r="AF680" t="inlineStr">
        <is>
          <t>collagen type VI alpha 3</t>
        </is>
      </c>
      <c r="AG680" t="inlineStr">
        <is>
          <t xml:space="preserve">FUNCTION: Collagen VI acts as a cell-binding protein.; </t>
        </is>
      </c>
      <c r="AH680" t="inlineStr">
        <is>
          <t xml:space="preserve">DISEASE: Bethlem myopathy 1 (BTHLM1) [MIM:158810]: A benign proximal myopathy characterized by early childhood onset and joint contractures most frequently affecting the elbows and ankles. {ECO:0000269|PubMed:10399756, ECO:0000269|PubMed:15689448, ECO:0000269|PubMed:17886299, ECO:0000269|PubMed:9536084}. Note=The disease is caused by mutations affecting the gene represented in this entry.; DISEASE: Ullrich congenital muscular dystrophy 1 (UCMD1) [MIM:254090]: A congenital myopathy characterized by muscle weakness and multiple joint contractures, generally noted at birth or early infancy. The clinical course is more severe than in Bethlem myopathy. {ECO:0000269|PubMed:15689448}. Note=The disease is caused by mutations affecting the gene represented in this entry.; DISEASE: Dystonia 27 (DYT27) [MIM:616411]: A form of dystonia, a disorder defined by the presence of sustained involuntary muscle contraction, often leading to abnormal postures. DYT27 is an autosomal recessive form characterized by segmental isolated dystonia involving the face, neck, bulbar muscles, and upper limbs. {ECO:0000269|PubMed:26004199}. Note=The disease is caused by mutations affecting the gene represented in this entry.; </t>
        </is>
      </c>
      <c r="AI680" t="inlineStr">
        <is>
          <t>.</t>
        </is>
      </c>
      <c r="AJ680" t="inlineStr">
        <is>
          <t>.</t>
        </is>
      </c>
      <c r="AK680" t="inlineStr">
        <is>
          <t>.</t>
        </is>
      </c>
      <c r="AL680" t="inlineStr">
        <is>
          <t>.</t>
        </is>
      </c>
    </row>
    <row r="681">
      <c r="A681" t="inlineStr"/>
      <c r="B681">
        <f>HYPERLINK("https://genome.ucsc.edu/cgi-bin/hgTracks?db=hg19&amp;position=chr2%3A241401875%2D241401875", "chr2:241401875")</f>
        <v/>
      </c>
      <c r="C681" t="inlineStr">
        <is>
          <t>chr2</t>
        </is>
      </c>
      <c r="D681" t="n">
        <v>241401875</v>
      </c>
      <c r="E681" t="n">
        <v>241401875</v>
      </c>
      <c r="F681" t="inlineStr">
        <is>
          <t>C</t>
        </is>
      </c>
      <c r="G681" t="inlineStr">
        <is>
          <t>T</t>
        </is>
      </c>
      <c r="H681" t="inlineStr">
        <is>
          <t>1872.06</t>
        </is>
      </c>
      <c r="I681" t="inlineStr">
        <is>
          <t>64</t>
        </is>
      </c>
      <c r="J681" t="inlineStr">
        <is>
          <t>2,62</t>
        </is>
      </c>
      <c r="K681" t="inlineStr">
        <is>
          <t>.</t>
        </is>
      </c>
      <c r="L681">
        <f>HYPERLINK("https://www.ncbi.nlm.nih.gov/snp/rs200136097", "rs200136097")</f>
        <v/>
      </c>
      <c r="M681">
        <f>HYPERLINK("https://www.genecards.org/Search/Keyword?queryString=%5Baliases%5D(%20GPC1%20)&amp;keywords=GPC1", "GPC1")</f>
        <v/>
      </c>
      <c r="N681" t="inlineStr">
        <is>
          <t>exonic</t>
        </is>
      </c>
      <c r="O681" t="inlineStr">
        <is>
          <t>nonsynonymous SNV</t>
        </is>
      </c>
      <c r="P681" t="inlineStr">
        <is>
          <t>GPC1:NM_002081:exon3:c.C593T:p.A198V;GPC1:uc002vyw.4:exon3:c.C593T:p.A198V;GPC1:ENST00000264039.7_3:exon3:c.C593T:p.A198V,GPC1:ENST00000420138.5_1:exon3:c.C377T:p.A126V</t>
        </is>
      </c>
      <c r="Q681" t="n">
        <v>0.001</v>
      </c>
      <c r="R681" t="n">
        <v>0.0005999999999999999</v>
      </c>
      <c r="S681" t="n">
        <v>0.0005999999999999999</v>
      </c>
      <c r="T681" t="n">
        <v>-1</v>
      </c>
      <c r="U681" t="n">
        <v>0.0007</v>
      </c>
      <c r="V681" t="inlineStr">
        <is>
          <t>3/11</t>
        </is>
      </c>
      <c r="W681" t="inlineStr">
        <is>
          <t>.</t>
        </is>
      </c>
      <c r="X681" t="inlineStr">
        <is>
          <t>.</t>
        </is>
      </c>
      <c r="Y681" t="inlineStr">
        <is>
          <t>.</t>
        </is>
      </c>
      <c r="Z681" t="inlineStr">
        <is>
          <t>0/7</t>
        </is>
      </c>
      <c r="AA681" t="inlineStr">
        <is>
          <t>Uncertain significance</t>
        </is>
      </c>
      <c r="AB681" t="inlineStr">
        <is>
          <t>.</t>
        </is>
      </c>
      <c r="AC681" t="inlineStr">
        <is>
          <t>HOMO</t>
        </is>
      </c>
      <c r="AD681" t="inlineStr">
        <is>
          <t>1</t>
        </is>
      </c>
      <c r="AE681" t="inlineStr">
        <is>
          <t>0.109569938244377</t>
        </is>
      </c>
      <c r="AF681" t="inlineStr">
        <is>
          <t>glypican 1</t>
        </is>
      </c>
      <c r="AG681" t="inlineStr">
        <is>
          <t xml:space="preserve">FUNCTION: Cell surface proteoglycan that bears heparan sulfate. Binds, via the heparan sulfate side chains, alpha-4 (V) collagen and participates in Schwann cell myelination (By similarity). May act as a catalyst in increasing the rate of conversion of prion protein PRPN(C) to PRNP(Sc) via associating (via the heparan sulfate side chains) with both forms of PRPN, targeting them to lipid rafts and facilitating their interaction. Required for proper skeletal muscle differentiation by sequestering FGF2 in lipid rafts preventing its binding to receptors (FGFRs) and inhibiting the FGF-mediated signaling. {ECO:0000250, ECO:0000269|PubMed:19936054, ECO:0000269|PubMed:21642435}.; </t>
        </is>
      </c>
      <c r="AH681" t="inlineStr">
        <is>
          <t xml:space="preserve">DISEASE: Note=Associates (via the heparan sulfate side chains) with fibrillar APP-beta amyloid peptides in primitive and classic amyloid plaques and may be involved in the deposition of these senile plaques in the Alzheimer disease (AD) brain (PubMed:15084524). {ECO:0000269|PubMed:15084524}.; DISEASE: Note=Misprocessing of GPC1 is found in fibroblasts of patients with Niemann-Pick Type C1 disease. This is due to the defective deaminative degradation of heparan sulfate chains (PubMed:16645004). {ECO:0000269|PubMed:16645004}.; </t>
        </is>
      </c>
      <c r="AI681" t="inlineStr">
        <is>
          <t>.</t>
        </is>
      </c>
      <c r="AJ681" t="inlineStr">
        <is>
          <t>.</t>
        </is>
      </c>
      <c r="AK681" t="inlineStr">
        <is>
          <t>.</t>
        </is>
      </c>
      <c r="AL681" t="inlineStr">
        <is>
          <t>.</t>
        </is>
      </c>
    </row>
    <row r="682">
      <c r="A682" t="inlineStr"/>
      <c r="B682">
        <f>HYPERLINK("https://genome.ucsc.edu/cgi-bin/hgTracks?db=hg19&amp;position=chr2%3A241680603%2D241680603", "chr2:241680603")</f>
        <v/>
      </c>
      <c r="C682" t="inlineStr">
        <is>
          <t>chr2</t>
        </is>
      </c>
      <c r="D682" t="n">
        <v>241680603</v>
      </c>
      <c r="E682" t="n">
        <v>241680603</v>
      </c>
      <c r="F682" t="inlineStr">
        <is>
          <t>C</t>
        </is>
      </c>
      <c r="G682" t="inlineStr">
        <is>
          <t>T</t>
        </is>
      </c>
      <c r="H682" t="inlineStr">
        <is>
          <t>464.06</t>
        </is>
      </c>
      <c r="I682" t="inlineStr">
        <is>
          <t>12</t>
        </is>
      </c>
      <c r="J682" t="inlineStr">
        <is>
          <t>0,12</t>
        </is>
      </c>
      <c r="K682" t="inlineStr">
        <is>
          <t>.</t>
        </is>
      </c>
      <c r="L682">
        <f>HYPERLINK("https://www.ncbi.nlm.nih.gov/snp/rs141647972", "rs141647972")</f>
        <v/>
      </c>
      <c r="M682">
        <f>HYPERLINK("https://www.genecards.org/Search/Keyword?queryString=%5Baliases%5D(%20KIF1A%20)&amp;keywords=KIF1A", "KIF1A")</f>
        <v/>
      </c>
      <c r="N682" t="inlineStr">
        <is>
          <t>intronic</t>
        </is>
      </c>
      <c r="O682" t="inlineStr">
        <is>
          <t>.</t>
        </is>
      </c>
      <c r="P682" t="inlineStr">
        <is>
          <t>.</t>
        </is>
      </c>
      <c r="Q682" t="n">
        <v>0.0119861</v>
      </c>
      <c r="R682" t="n">
        <v>0.0101</v>
      </c>
      <c r="S682" t="n">
        <v>0.0101</v>
      </c>
      <c r="T682" t="n">
        <v>-1</v>
      </c>
      <c r="U682" t="n">
        <v>0.0081</v>
      </c>
      <c r="V682" t="inlineStr">
        <is>
          <t>.</t>
        </is>
      </c>
      <c r="W682" t="inlineStr">
        <is>
          <t>.</t>
        </is>
      </c>
      <c r="X682" t="inlineStr">
        <is>
          <t>D</t>
        </is>
      </c>
      <c r="Y682" t="inlineStr">
        <is>
          <t>off</t>
        </is>
      </c>
      <c r="Z682" t="inlineStr">
        <is>
          <t>.</t>
        </is>
      </c>
      <c r="AA682" t="inlineStr">
        <is>
          <t>.</t>
        </is>
      </c>
      <c r="AB682" t="inlineStr">
        <is>
          <t>.</t>
        </is>
      </c>
      <c r="AC682" t="inlineStr">
        <is>
          <t>HOMO</t>
        </is>
      </c>
      <c r="AD682" t="inlineStr">
        <is>
          <t>1</t>
        </is>
      </c>
      <c r="AE682" t="inlineStr">
        <is>
          <t>0.99998943706213</t>
        </is>
      </c>
      <c r="AF682" t="inlineStr">
        <is>
          <t>kinesin family member 1A</t>
        </is>
      </c>
      <c r="AG682" t="inlineStr">
        <is>
          <t xml:space="preserve">FUNCTION: Motor for anterograde axonal transport of synaptic vesicle precursors. {ECO:0000250}.; </t>
        </is>
      </c>
      <c r="AH682" t="inlineStr">
        <is>
          <t xml:space="preserve">DISEASE: Neuropathy, hereditary sensory, 2C (HSN2C) [MIM:614213]: A neurodegenerative disorder characterized by onset in the first decade of progressive distal sensory loss leading to ulceration and amputation of the fingers and toes. Affected individuals also develop distal muscle weakness, primarily affecting the lower limbs. {ECO:0000269|PubMed:21820098}. Note=The disease is caused by mutations affecting the gene represented in this entry.; DISEASE: Mental retardation, autosomal dominant 9 (MRD9) [MIM:614255]: A disorder characterized by significantly below average general intellectual functioning associated with impairments in adaptive behavior and manifested during the developmental period. {ECO:0000269|PubMed:21376300}. Note=The disease is caused by mutations affecting the gene represented in this entry.; </t>
        </is>
      </c>
      <c r="AI682" t="inlineStr">
        <is>
          <t>.</t>
        </is>
      </c>
      <c r="AJ682" t="inlineStr">
        <is>
          <t>.</t>
        </is>
      </c>
      <c r="AK682" t="inlineStr">
        <is>
          <t>.</t>
        </is>
      </c>
      <c r="AL682" t="inlineStr">
        <is>
          <t>.</t>
        </is>
      </c>
    </row>
    <row r="683">
      <c r="A683" t="inlineStr"/>
      <c r="B683">
        <f>HYPERLINK("https://genome.ucsc.edu/cgi-bin/hgTracks?db=hg19&amp;position=chr2%3A242163548%2D242163569", "chr2:242163548")</f>
        <v/>
      </c>
      <c r="C683" t="inlineStr">
        <is>
          <t>chr2</t>
        </is>
      </c>
      <c r="D683" t="n">
        <v>242163548</v>
      </c>
      <c r="E683" t="n">
        <v>242163569</v>
      </c>
      <c r="F683" t="inlineStr">
        <is>
          <t>GCCAGCCAGCTGCAGCAGTGAC</t>
        </is>
      </c>
      <c r="G683" t="inlineStr">
        <is>
          <t>-</t>
        </is>
      </c>
      <c r="H683" t="inlineStr">
        <is>
          <t>863.03</t>
        </is>
      </c>
      <c r="I683" t="inlineStr">
        <is>
          <t>20</t>
        </is>
      </c>
      <c r="J683" t="inlineStr">
        <is>
          <t>0,20</t>
        </is>
      </c>
      <c r="K683" t="inlineStr">
        <is>
          <t>.</t>
        </is>
      </c>
      <c r="L683">
        <f>HYPERLINK("https://www.ncbi.nlm.nih.gov/snp/rs544846502", "rs544846502")</f>
        <v/>
      </c>
      <c r="M683">
        <f>HYPERLINK("https://www.genecards.org/Search/Keyword?queryString=%5Baliases%5D(%20ANO7%20)&amp;keywords=ANO7", "ANO7")</f>
        <v/>
      </c>
      <c r="N683" t="inlineStr">
        <is>
          <t>exonic</t>
        </is>
      </c>
      <c r="O683" t="inlineStr">
        <is>
          <t>frameshift deletion</t>
        </is>
      </c>
      <c r="P683" t="inlineStr">
        <is>
          <t>ANO7:NM_001370694:exon25:c.2620_2641del:p.S875Wfs*31;ANO7:uc002wax.2:exon25:c.2782_2803del:p.S929Wfs*31;ANO7:ENST00000274979.12_9:exon25:c.2782_2803del:p.S929Wfs*31,ANO7:ENST00000674324.2_3:exon25:c.2620_2641del:p.S875Wfs*31</t>
        </is>
      </c>
      <c r="Q683" t="n">
        <v>0.006</v>
      </c>
      <c r="R683" t="n">
        <v>0.0043</v>
      </c>
      <c r="S683" t="n">
        <v>0.0072</v>
      </c>
      <c r="T683" t="n">
        <v>-1</v>
      </c>
      <c r="U683" t="n">
        <v>0.0041</v>
      </c>
      <c r="V683" t="inlineStr">
        <is>
          <t>.</t>
        </is>
      </c>
      <c r="W683" t="inlineStr">
        <is>
          <t>.</t>
        </is>
      </c>
      <c r="X683" t="inlineStr">
        <is>
          <t>.</t>
        </is>
      </c>
      <c r="Y683" t="inlineStr">
        <is>
          <t>.</t>
        </is>
      </c>
      <c r="Z683" t="inlineStr">
        <is>
          <t>.</t>
        </is>
      </c>
      <c r="AA683" t="inlineStr">
        <is>
          <t>.</t>
        </is>
      </c>
      <c r="AB683" t="inlineStr">
        <is>
          <t>.</t>
        </is>
      </c>
      <c r="AC683" t="inlineStr">
        <is>
          <t>HOMO</t>
        </is>
      </c>
      <c r="AD683" t="inlineStr">
        <is>
          <t>1</t>
        </is>
      </c>
      <c r="AE683" t="inlineStr">
        <is>
          <t>1.87089456161351e-30</t>
        </is>
      </c>
      <c r="AF683" t="inlineStr">
        <is>
          <t>anoctamin 7</t>
        </is>
      </c>
      <c r="AG683" t="inlineStr">
        <is>
          <t xml:space="preserve">FUNCTION: Has calcium-dependent phospholipid scramblase activity; scrambles phosphatidylserine, phosphatidylcholine and galactosylceramide (By similarity). Does not exhibit calcium- activated chloride channel (CaCC) activity. May play a role in cell-cell interactions. {ECO:0000250|UniProtKB:Q14AT5, ECO:0000269|PubMed:17308099}.; </t>
        </is>
      </c>
      <c r="AH683" t="inlineStr">
        <is>
          <t>.</t>
        </is>
      </c>
      <c r="AI683" t="inlineStr">
        <is>
          <t>.</t>
        </is>
      </c>
      <c r="AJ683" t="inlineStr">
        <is>
          <t>.</t>
        </is>
      </c>
      <c r="AK683" t="inlineStr">
        <is>
          <t>.</t>
        </is>
      </c>
      <c r="AL683" t="inlineStr">
        <is>
          <t>.</t>
        </is>
      </c>
    </row>
    <row r="684">
      <c r="A684" t="inlineStr"/>
      <c r="B684">
        <f>HYPERLINK("https://genome.ucsc.edu/cgi-bin/hgTracks?db=hg19&amp;position=chr2%3A242195794%2D242195794", "chr2:242195794")</f>
        <v/>
      </c>
      <c r="C684" t="inlineStr">
        <is>
          <t>chr2</t>
        </is>
      </c>
      <c r="D684" t="n">
        <v>242195794</v>
      </c>
      <c r="E684" t="n">
        <v>242195794</v>
      </c>
      <c r="F684" t="inlineStr">
        <is>
          <t>C</t>
        </is>
      </c>
      <c r="G684" t="inlineStr">
        <is>
          <t>A</t>
        </is>
      </c>
      <c r="H684" t="inlineStr">
        <is>
          <t>683.64</t>
        </is>
      </c>
      <c r="I684" t="inlineStr">
        <is>
          <t>51</t>
        </is>
      </c>
      <c r="J684" t="inlineStr">
        <is>
          <t>32,19</t>
        </is>
      </c>
      <c r="K684" t="inlineStr">
        <is>
          <t>.</t>
        </is>
      </c>
      <c r="L684" t="inlineStr">
        <is>
          <t>.</t>
        </is>
      </c>
      <c r="M684">
        <f>HYPERLINK("https://www.genecards.org/Search/Keyword?queryString=%5Baliases%5D(%20HDLBP%20)&amp;keywords=HDLBP", "HDLBP")</f>
        <v/>
      </c>
      <c r="N684" t="inlineStr">
        <is>
          <t>exonic</t>
        </is>
      </c>
      <c r="O684" t="inlineStr">
        <is>
          <t>nonsynonymous SNV</t>
        </is>
      </c>
      <c r="P684" t="inlineStr">
        <is>
          <t>HDLBP:NM_001320965:exon7:c.G678T:p.R226S,HDLBP:NM_001320966:exon7:c.G678T:p.R226S,HDLBP:NM_001320967:exon7:c.G678T:p.R226S,HDLBP:NM_005336:exon7:c.G678T:p.R226S,HDLBP:NM_203346:exon7:c.G678T:p.R226S,HDLBP:NM_001243900:exon8:c.G786T:p.R262S;HDLBP:uc002waz.3:exon7:c.G678T:p.R226S,HDLBP:uc002wba.3:exon7:c.G678T:p.R226S,HDLBP:uc021vzg.1:exon8:c.G786T:p.R262S;HDLBP:ENST00000310931.10_5:exon7:c.G678T:p.R226S,HDLBP:ENST00000391975.5_3:exon7:c.G678T:p.R226S,HDLBP:ENST00000391976.6_3:exon7:c.G678T:p.R226S,HDLBP:ENST00000427183.6_3:exon8:c.G786T:p.R262S</t>
        </is>
      </c>
      <c r="Q684" t="n">
        <v>-1</v>
      </c>
      <c r="R684" t="n">
        <v>-1</v>
      </c>
      <c r="S684" t="n">
        <v>-1</v>
      </c>
      <c r="T684" t="n">
        <v>-1</v>
      </c>
      <c r="U684" t="n">
        <v>-1</v>
      </c>
      <c r="V684" t="inlineStr">
        <is>
          <t>8/12</t>
        </is>
      </c>
      <c r="W684" t="inlineStr">
        <is>
          <t>.</t>
        </is>
      </c>
      <c r="X684" t="inlineStr">
        <is>
          <t>.</t>
        </is>
      </c>
      <c r="Y684" t="inlineStr">
        <is>
          <t>.</t>
        </is>
      </c>
      <c r="Z684" t="inlineStr">
        <is>
          <t>1/7</t>
        </is>
      </c>
      <c r="AA684" t="inlineStr">
        <is>
          <t>Uncertain significance</t>
        </is>
      </c>
      <c r="AB684" t="inlineStr">
        <is>
          <t>.</t>
        </is>
      </c>
      <c r="AC684" t="inlineStr">
        <is>
          <t>.</t>
        </is>
      </c>
      <c r="AD684" t="inlineStr">
        <is>
          <t>1</t>
        </is>
      </c>
      <c r="AE684" t="inlineStr">
        <is>
          <t>0.999998382970679</t>
        </is>
      </c>
      <c r="AF684" t="inlineStr">
        <is>
          <t>high density lipoprotein binding protein</t>
        </is>
      </c>
      <c r="AG684" t="inlineStr">
        <is>
          <t xml:space="preserve">FUNCTION: Appears to play a role in cell sterol metabolism. It may function to protect cells from over-accumulation of cholesterol.; </t>
        </is>
      </c>
      <c r="AH684" t="inlineStr">
        <is>
          <t>.</t>
        </is>
      </c>
      <c r="AI684" t="inlineStr">
        <is>
          <t>.</t>
        </is>
      </c>
      <c r="AJ684" t="inlineStr">
        <is>
          <t>.</t>
        </is>
      </c>
      <c r="AK684" t="inlineStr">
        <is>
          <t>.</t>
        </is>
      </c>
      <c r="AL684" t="inlineStr">
        <is>
          <t>.</t>
        </is>
      </c>
    </row>
    <row r="685">
      <c r="A685" t="inlineStr"/>
      <c r="B685">
        <f>HYPERLINK("https://genome.ucsc.edu/cgi-bin/hgTracks?db=hg19&amp;position=chr20%3A1961118%2D1961118", "chr20:1961118")</f>
        <v/>
      </c>
      <c r="C685" t="inlineStr">
        <is>
          <t>chr20</t>
        </is>
      </c>
      <c r="D685" t="n">
        <v>1961118</v>
      </c>
      <c r="E685" t="n">
        <v>1961118</v>
      </c>
      <c r="F685" t="inlineStr">
        <is>
          <t>G</t>
        </is>
      </c>
      <c r="G685" t="inlineStr">
        <is>
          <t>A</t>
        </is>
      </c>
      <c r="H685" t="inlineStr">
        <is>
          <t>1800.06</t>
        </is>
      </c>
      <c r="I685" t="inlineStr">
        <is>
          <t>60</t>
        </is>
      </c>
      <c r="J685" t="inlineStr">
        <is>
          <t>2,58</t>
        </is>
      </c>
      <c r="K685" t="inlineStr">
        <is>
          <t>CM132458</t>
        </is>
      </c>
      <c r="L685">
        <f>HYPERLINK("https://www.ncbi.nlm.nih.gov/snp/rs575606358", "rs575606358")</f>
        <v/>
      </c>
      <c r="M685">
        <f>HYPERLINK("https://www.genecards.org/Search/Keyword?queryString=%5Baliases%5D(%20PDYN%20)&amp;keywords=PDYN", "PDYN")</f>
        <v/>
      </c>
      <c r="N685" t="inlineStr">
        <is>
          <t>exonic</t>
        </is>
      </c>
      <c r="O685" t="inlineStr">
        <is>
          <t>nonsynonymous SNV</t>
        </is>
      </c>
      <c r="P685" t="inlineStr">
        <is>
          <t>PDYN:NM_001190892:exon3:c.C616T:p.R206C,PDYN:NM_001190899:exon3:c.C616T:p.R206C,PDYN:NM_001190898:exon4:c.C616T:p.R206C,PDYN:NM_001190900:exon4:c.C616T:p.R206C,PDYN:NM_024411:exon4:c.C616T:p.R206C;PDYN:uc010gaj.3:exon3:c.C616T:p.R206C,PDYN:uc021vzu.1:exon3:c.C616T:p.R206C,PDYN:uc002wfv.3:exon4:c.C616T:p.R206C,PDYN:uc021vzs.1:exon4:c.C616T:p.R206C,PDYN:uc021vzt.1:exon4:c.C616T:p.R206C;PDYN:ENST00000539905.5_3:exon3:c.C616T:p.R206C,PDYN:ENST00000217305.3_5:exon4:c.C616T:p.R206C,PDYN:ENST00000540134.5_3:exon4:c.C616T:p.R206C</t>
        </is>
      </c>
      <c r="Q685" t="n">
        <v>0.000821</v>
      </c>
      <c r="R685" t="n">
        <v>9.024e-05</v>
      </c>
      <c r="S685" t="n">
        <v>7.344e-05</v>
      </c>
      <c r="T685" t="n">
        <v>-1</v>
      </c>
      <c r="U685" t="n">
        <v>-1</v>
      </c>
      <c r="V685" t="inlineStr">
        <is>
          <t>10/11</t>
        </is>
      </c>
      <c r="W685" t="inlineStr">
        <is>
          <t>.</t>
        </is>
      </c>
      <c r="X685" t="inlineStr">
        <is>
          <t>.</t>
        </is>
      </c>
      <c r="Y685" t="inlineStr">
        <is>
          <t>.</t>
        </is>
      </c>
      <c r="Z685" t="inlineStr">
        <is>
          <t>3/7</t>
        </is>
      </c>
      <c r="AA685" t="inlineStr">
        <is>
          <t>Uncertain significance</t>
        </is>
      </c>
      <c r="AB685" t="inlineStr">
        <is>
          <t>.</t>
        </is>
      </c>
      <c r="AC685" t="inlineStr">
        <is>
          <t>HOMO</t>
        </is>
      </c>
      <c r="AD685" t="inlineStr">
        <is>
          <t>1</t>
        </is>
      </c>
      <c r="AE685" t="inlineStr">
        <is>
          <t>0.000256778020981015</t>
        </is>
      </c>
      <c r="AF685" t="inlineStr">
        <is>
          <t>prodynorphin</t>
        </is>
      </c>
      <c r="AG685" t="inlineStr">
        <is>
          <t xml:space="preserve">FUNCTION: Leu-enkephalins compete with and mimic the effects of opiate drugs. They play a role in a number of physiologic functions, including pain perception and responses to stress (By similarity). {ECO:0000250}.; FUNCTION: Leumorphin has a typical opiod activity and may have anti-apoptotic effect. {ECO:0000250}.; </t>
        </is>
      </c>
      <c r="AH685" t="inlineStr">
        <is>
          <t xml:space="preserve">DISEASE: Spinocerebellar ataxia 23 (SCA23) [MIM:610245]: Spinocerebellar ataxia is a clinically and genetically heterogeneous group of cerebellar disorders. Patients show progressive incoordination of gait and often poor coordination of hands, speech and eye movements, due to degeneration of the cerebellum with variable involvement of the brainstem and spinal cord. SCA23 is an adult-onset autosomal dominant form characterized by slowly progressive gait and limb ataxia, with variable additional features, including peripheral neuropathy and dysarthria. {ECO:0000269|PubMed:21035104, ECO:0000269|PubMed:21712028, ECO:0000269|PubMed:23108490, ECO:0000269|PubMed:23471613}. Note=The disease is caused by mutations affecting the gene represented in this entry.; </t>
        </is>
      </c>
      <c r="AI685" t="inlineStr">
        <is>
          <t>.</t>
        </is>
      </c>
      <c r="AJ685" t="inlineStr">
        <is>
          <t>.</t>
        </is>
      </c>
      <c r="AK685" t="inlineStr">
        <is>
          <t>.</t>
        </is>
      </c>
      <c r="AL685" t="inlineStr">
        <is>
          <t>.</t>
        </is>
      </c>
    </row>
    <row r="686">
      <c r="A686" t="inlineStr"/>
      <c r="B686">
        <f>HYPERLINK("https://genome.ucsc.edu/cgi-bin/hgTracks?db=hg19&amp;position=chr20%3A4843493%2D4843493", "chr20:4843493")</f>
        <v/>
      </c>
      <c r="C686" t="inlineStr">
        <is>
          <t>chr20</t>
        </is>
      </c>
      <c r="D686" t="n">
        <v>4843493</v>
      </c>
      <c r="E686" t="n">
        <v>4843493</v>
      </c>
      <c r="F686" t="inlineStr">
        <is>
          <t>C</t>
        </is>
      </c>
      <c r="G686" t="inlineStr">
        <is>
          <t>T</t>
        </is>
      </c>
      <c r="H686" t="inlineStr">
        <is>
          <t>1476.64</t>
        </is>
      </c>
      <c r="I686" t="inlineStr">
        <is>
          <t>102</t>
        </is>
      </c>
      <c r="J686" t="inlineStr">
        <is>
          <t>47,55</t>
        </is>
      </c>
      <c r="K686" t="inlineStr">
        <is>
          <t>.</t>
        </is>
      </c>
      <c r="L686" t="inlineStr">
        <is>
          <t>.</t>
        </is>
      </c>
      <c r="M686">
        <f>HYPERLINK("https://www.genecards.org/Search/Keyword?queryString=%5Baliases%5D(%20SLC23A2%20)&amp;keywords=SLC23A2", "SLC23A2")</f>
        <v/>
      </c>
      <c r="N686" t="inlineStr">
        <is>
          <t>exonic</t>
        </is>
      </c>
      <c r="O686" t="inlineStr">
        <is>
          <t>nonsynonymous SNV</t>
        </is>
      </c>
      <c r="P686" t="inlineStr">
        <is>
          <t>SLC23A2:NM_005116:exon14:c.G1417A:p.G473R,SLC23A2:NM_203327:exon14:c.G1417A:p.G473R;SLC23A2:uc010zqr.1:exon11:c.G1072A:p.G358R,SLC23A2:uc002wlg.1:exon14:c.G1417A:p.G473R,SLC23A2:uc002wlh.1:exon14:c.G1417A:p.G473R;SLC23A2:ENST00000338244.6_5:exon14:c.G1417A:p.G473R,SLC23A2:ENST00000379333.5_3:exon14:c.G1417A:p.G473R</t>
        </is>
      </c>
      <c r="Q686" t="n">
        <v>-1</v>
      </c>
      <c r="R686" t="n">
        <v>-1</v>
      </c>
      <c r="S686" t="n">
        <v>-1</v>
      </c>
      <c r="T686" t="n">
        <v>-1</v>
      </c>
      <c r="U686" t="n">
        <v>-1</v>
      </c>
      <c r="V686" t="inlineStr">
        <is>
          <t>10/12</t>
        </is>
      </c>
      <c r="W686" t="inlineStr">
        <is>
          <t>.</t>
        </is>
      </c>
      <c r="X686" t="inlineStr">
        <is>
          <t>.</t>
        </is>
      </c>
      <c r="Y686" t="inlineStr">
        <is>
          <t>.</t>
        </is>
      </c>
      <c r="Z686" t="inlineStr">
        <is>
          <t>4/7</t>
        </is>
      </c>
      <c r="AA686" t="inlineStr">
        <is>
          <t>Uncertain significance</t>
        </is>
      </c>
      <c r="AB686" t="inlineStr">
        <is>
          <t>.</t>
        </is>
      </c>
      <c r="AC686" t="inlineStr">
        <is>
          <t>0/1</t>
        </is>
      </c>
      <c r="AD686" t="inlineStr">
        <is>
          <t>1</t>
        </is>
      </c>
      <c r="AE686" t="inlineStr">
        <is>
          <t>0.511221636863337</t>
        </is>
      </c>
      <c r="AF686" t="inlineStr">
        <is>
          <t>solute carrier family 23 member 2</t>
        </is>
      </c>
      <c r="AG686" t="inlineStr">
        <is>
          <t xml:space="preserve">FUNCTION: Sodium/ascorbate cotransporter. Mediates electrogenic uptake of vitamin C, with a stoichiometry of 2 Na(+) for each ascorbate.; </t>
        </is>
      </c>
      <c r="AH686" t="inlineStr">
        <is>
          <t>.</t>
        </is>
      </c>
      <c r="AI686" t="inlineStr">
        <is>
          <t>.</t>
        </is>
      </c>
      <c r="AJ686" t="inlineStr">
        <is>
          <t>.</t>
        </is>
      </c>
      <c r="AK686" t="inlineStr">
        <is>
          <t>.</t>
        </is>
      </c>
      <c r="AL686" t="inlineStr">
        <is>
          <t>.</t>
        </is>
      </c>
    </row>
    <row r="687">
      <c r="A687" t="inlineStr"/>
      <c r="B687">
        <f>HYPERLINK("https://genome.ucsc.edu/cgi-bin/hgTracks?db=hg19&amp;position=chr20%3A17930656%2D17930656", "chr20:17930656")</f>
        <v/>
      </c>
      <c r="C687" t="inlineStr">
        <is>
          <t>chr20</t>
        </is>
      </c>
      <c r="D687" t="n">
        <v>17930656</v>
      </c>
      <c r="E687" t="n">
        <v>17930656</v>
      </c>
      <c r="F687" t="inlineStr">
        <is>
          <t>T</t>
        </is>
      </c>
      <c r="G687" t="inlineStr">
        <is>
          <t>C</t>
        </is>
      </c>
      <c r="H687" t="inlineStr">
        <is>
          <t>40.64</t>
        </is>
      </c>
      <c r="I687" t="inlineStr">
        <is>
          <t>10</t>
        </is>
      </c>
      <c r="J687" t="inlineStr">
        <is>
          <t>8,2</t>
        </is>
      </c>
      <c r="K687" t="inlineStr">
        <is>
          <t>.</t>
        </is>
      </c>
      <c r="L687" t="inlineStr">
        <is>
          <t>.</t>
        </is>
      </c>
      <c r="M687">
        <f>HYPERLINK("https://www.genecards.org/Search/Keyword?queryString=%5Baliases%5D(%20SNX5%20)&amp;keywords=SNX5", "SNX5")</f>
        <v/>
      </c>
      <c r="N687" t="inlineStr">
        <is>
          <t>intronic</t>
        </is>
      </c>
      <c r="O687" t="inlineStr">
        <is>
          <t>.</t>
        </is>
      </c>
      <c r="P687" t="inlineStr">
        <is>
          <t>.</t>
        </is>
      </c>
      <c r="Q687" t="n">
        <v>6.478e-05</v>
      </c>
      <c r="R687" t="n">
        <v>-1</v>
      </c>
      <c r="S687" t="n">
        <v>7.339e-05</v>
      </c>
      <c r="T687" t="n">
        <v>-1</v>
      </c>
      <c r="U687" t="n">
        <v>-1</v>
      </c>
      <c r="V687" t="inlineStr">
        <is>
          <t>.</t>
        </is>
      </c>
      <c r="W687" t="inlineStr">
        <is>
          <t>.</t>
        </is>
      </c>
      <c r="X687" t="inlineStr">
        <is>
          <t>D</t>
        </is>
      </c>
      <c r="Y687" t="inlineStr">
        <is>
          <t>off</t>
        </is>
      </c>
      <c r="Z687" t="inlineStr">
        <is>
          <t>.</t>
        </is>
      </c>
      <c r="AA687" t="inlineStr">
        <is>
          <t>.</t>
        </is>
      </c>
      <c r="AB687" t="inlineStr">
        <is>
          <t>.</t>
        </is>
      </c>
      <c r="AC687" t="inlineStr">
        <is>
          <t>0/1</t>
        </is>
      </c>
      <c r="AD687" t="inlineStr">
        <is>
          <t>1</t>
        </is>
      </c>
      <c r="AE687" t="inlineStr">
        <is>
          <t>0.449845570451869</t>
        </is>
      </c>
      <c r="AF687" t="inlineStr">
        <is>
          <t>sorting nexin 5</t>
        </is>
      </c>
      <c r="AG687" t="inlineStr">
        <is>
          <t xml:space="preserve">FUNCTION: Involved in several stages of intracellular trafficking. Interacts with membranes containing phosphatidylinositol 3- phosphate (PtdIns(3P)) or phosphatidylinositol 3,4-bisphosphate (PtdIns(3,4)P2) (PubMed:15561769). Acts in part as component of the retromer membrane-deforming SNX-BAR subcomplex. The SNX-BAR retromer mediates retrograde transport of cargo proteins from endosomes to the trans-Golgi network (TGN) and is involved in endosome-to-plasma membrane transport for cargo protein recycling. The SNX-BAR subcomplex functions to deform the donor membrane into a tubular profile called endosome-to-TGN transport carrier (ETC) (Probable). Does not have in vitro vesicle-to-membrane remodeling activity (PubMed:23085988). Involved in retrograde transport of lysosomal enzyme receptor IGF2R (PubMed:17148574, PubMed:18596235). May function as link between endosomal transport vesicles and dynactin (Probable). Plays a role in the internalization of EGFR after EGF stimulation (Probable). Involved in EGFR endosomal sorting and degradation; the function involves PIP5K1C isoform 3 and is retromer-independent (PubMed:23602387). Together with PIP5K1C isoform 3 facilitates HGS interaction with ubiquitinated EGFR, which initiates EGFR sorting to intraluminal vesicles (ILVs) of the multivesicular body for subsequent lysosomal degradation (Probable). Involved in E-cadherin sorting and degradation; inhibits PIP5K1C isoform 3-mediated E-cadherin degradation (PubMed:24610942). Plays a role in macropinocytosis (PubMed:18854019, PubMed:21048941). {ECO:0000269|PubMed:18854019, ECO:0000269|PubMed:21048941, ECO:0000269|PubMed:24610942, ECO:0000303|PubMed:15561769, ECO:0000303|PubMed:19619496, ECO:0000303|PubMed:23085988}.; </t>
        </is>
      </c>
      <c r="AH687" t="inlineStr">
        <is>
          <t>.</t>
        </is>
      </c>
      <c r="AI687" t="inlineStr">
        <is>
          <t>.</t>
        </is>
      </c>
      <c r="AJ687" t="inlineStr">
        <is>
          <t>.</t>
        </is>
      </c>
      <c r="AK687" t="inlineStr">
        <is>
          <t>.</t>
        </is>
      </c>
      <c r="AL687" t="inlineStr">
        <is>
          <t>.</t>
        </is>
      </c>
    </row>
    <row r="688">
      <c r="A688" t="inlineStr"/>
      <c r="B688">
        <f>HYPERLINK("https://genome.ucsc.edu/cgi-bin/hgTracks?db=hg19&amp;position=chr20%3A24950865%2D24950865", "chr20:24950865")</f>
        <v/>
      </c>
      <c r="C688" t="inlineStr">
        <is>
          <t>chr20</t>
        </is>
      </c>
      <c r="D688" t="n">
        <v>24950865</v>
      </c>
      <c r="E688" t="n">
        <v>24950865</v>
      </c>
      <c r="F688" t="inlineStr">
        <is>
          <t>-</t>
        </is>
      </c>
      <c r="G688" t="inlineStr">
        <is>
          <t>AGGT</t>
        </is>
      </c>
      <c r="H688" t="inlineStr">
        <is>
          <t>1596.60</t>
        </is>
      </c>
      <c r="I688" t="inlineStr">
        <is>
          <t>80</t>
        </is>
      </c>
      <c r="J688" t="inlineStr">
        <is>
          <t>39,41</t>
        </is>
      </c>
      <c r="K688" t="inlineStr">
        <is>
          <t>.</t>
        </is>
      </c>
      <c r="L688" t="inlineStr">
        <is>
          <t>.</t>
        </is>
      </c>
      <c r="M688">
        <f>HYPERLINK("https://www.genecards.org/Search/Keyword?queryString=%5Baliases%5D(%20APMAP%20)&amp;keywords=APMAP", "APMAP")</f>
        <v/>
      </c>
      <c r="N688" t="inlineStr">
        <is>
          <t>exonic</t>
        </is>
      </c>
      <c r="O688" t="inlineStr">
        <is>
          <t>frameshift insertion</t>
        </is>
      </c>
      <c r="P688" t="inlineStr">
        <is>
          <t>APMAP:NM_020531:exon6:c.680_681insACCT:p.L228Pfs*10;APMAP:uc002wty.3:exon6:c.680_681insACCT:p.L228Pfs*10,APMAP:uc002wtz.3:exon6:c.680_681insACCT:p.L228Pfs*10,APMAP:uc010zsw.2:exon6:c.680_681insACCT:p.L228Pfs*10;APMAP:ENST00000217456.3_5:exon6:c.680_681insACCT:p.L228Pfs*10</t>
        </is>
      </c>
      <c r="Q688" t="n">
        <v>-1</v>
      </c>
      <c r="R688" t="n">
        <v>-1</v>
      </c>
      <c r="S688" t="n">
        <v>-1</v>
      </c>
      <c r="T688" t="n">
        <v>-1</v>
      </c>
      <c r="U688" t="n">
        <v>-1</v>
      </c>
      <c r="V688" t="inlineStr">
        <is>
          <t>.</t>
        </is>
      </c>
      <c r="W688" t="inlineStr">
        <is>
          <t>.</t>
        </is>
      </c>
      <c r="X688" t="inlineStr">
        <is>
          <t>.</t>
        </is>
      </c>
      <c r="Y688" t="inlineStr">
        <is>
          <t>.</t>
        </is>
      </c>
      <c r="Z688" t="inlineStr">
        <is>
          <t>.</t>
        </is>
      </c>
      <c r="AA688" t="inlineStr">
        <is>
          <t>.</t>
        </is>
      </c>
      <c r="AB688" t="inlineStr">
        <is>
          <t>.</t>
        </is>
      </c>
      <c r="AC688" t="inlineStr">
        <is>
          <t>0/1</t>
        </is>
      </c>
      <c r="AD688" t="inlineStr">
        <is>
          <t>1</t>
        </is>
      </c>
      <c r="AE688" t="inlineStr">
        <is>
          <t>2.35566376172495e-07</t>
        </is>
      </c>
      <c r="AF688" t="inlineStr">
        <is>
          <t>adipocyte plasma membrane associated protein</t>
        </is>
      </c>
      <c r="AG688" t="inlineStr">
        <is>
          <t xml:space="preserve">FUNCTION: Exhibits strong arylesterase activity with beta-naphthyl acetate and phenyl acetate. May play a role in adipocyte differentiation. {ECO:0000269|PubMed:18513186}.; </t>
        </is>
      </c>
      <c r="AH688" t="inlineStr">
        <is>
          <t>.</t>
        </is>
      </c>
      <c r="AI688" t="inlineStr">
        <is>
          <t>.</t>
        </is>
      </c>
      <c r="AJ688" t="inlineStr">
        <is>
          <t>.</t>
        </is>
      </c>
      <c r="AK688" t="inlineStr">
        <is>
          <t>.</t>
        </is>
      </c>
      <c r="AL688" t="inlineStr">
        <is>
          <t>.</t>
        </is>
      </c>
    </row>
    <row r="689">
      <c r="A689" t="inlineStr"/>
      <c r="B689">
        <f>HYPERLINK("https://genome.ucsc.edu/cgi-bin/hgTracks?db=hg19&amp;position=chr20%3A30513688%2D30513688", "chr20:30513688")</f>
        <v/>
      </c>
      <c r="C689" t="inlineStr">
        <is>
          <t>chr20</t>
        </is>
      </c>
      <c r="D689" t="n">
        <v>30513688</v>
      </c>
      <c r="E689" t="n">
        <v>30513688</v>
      </c>
      <c r="F689" t="inlineStr">
        <is>
          <t>C</t>
        </is>
      </c>
      <c r="G689" t="inlineStr">
        <is>
          <t>T</t>
        </is>
      </c>
      <c r="H689" t="inlineStr">
        <is>
          <t>1528.64</t>
        </is>
      </c>
      <c r="I689" t="inlineStr">
        <is>
          <t>77</t>
        </is>
      </c>
      <c r="J689" t="inlineStr">
        <is>
          <t>21,56</t>
        </is>
      </c>
      <c r="K689" t="inlineStr">
        <is>
          <t>.</t>
        </is>
      </c>
      <c r="L689">
        <f>HYPERLINK("https://www.ncbi.nlm.nih.gov/snp/rs753288382", "rs753288382")</f>
        <v/>
      </c>
      <c r="M689">
        <f>HYPERLINK("https://www.genecards.org/Search/Keyword?queryString=%5Baliases%5D(%20TTLL9%20)&amp;keywords=TTLL9", "TTLL9")</f>
        <v/>
      </c>
      <c r="N689" t="inlineStr">
        <is>
          <t>exonic</t>
        </is>
      </c>
      <c r="O689" t="inlineStr">
        <is>
          <t>nonsynonymous SNV</t>
        </is>
      </c>
      <c r="P689" t="inlineStr">
        <is>
          <t>TTLL9:NM_001367620:exon7:c.C379T:p.R127W;TTLL9:uc002wxc.2:exon7:c.C379T:p.R127W;TTLL9:ENST00000620043.4_4:exon7:c.C379T:p.R127W</t>
        </is>
      </c>
      <c r="Q689" t="n">
        <v>6.5e-06</v>
      </c>
      <c r="R689" t="n">
        <v>-1</v>
      </c>
      <c r="S689" t="n">
        <v>-1</v>
      </c>
      <c r="T689" t="n">
        <v>-1</v>
      </c>
      <c r="U689" t="n">
        <v>-1</v>
      </c>
      <c r="V689" t="inlineStr">
        <is>
          <t>3/6</t>
        </is>
      </c>
      <c r="W689" t="inlineStr">
        <is>
          <t>.</t>
        </is>
      </c>
      <c r="X689" t="inlineStr">
        <is>
          <t>.</t>
        </is>
      </c>
      <c r="Y689" t="inlineStr">
        <is>
          <t>.</t>
        </is>
      </c>
      <c r="Z689" t="inlineStr">
        <is>
          <t>2/7</t>
        </is>
      </c>
      <c r="AA689" t="inlineStr">
        <is>
          <t>.</t>
        </is>
      </c>
      <c r="AB689" t="inlineStr">
        <is>
          <t>.</t>
        </is>
      </c>
      <c r="AC689" t="inlineStr">
        <is>
          <t>0/1</t>
        </is>
      </c>
      <c r="AD689" t="inlineStr">
        <is>
          <t>1</t>
        </is>
      </c>
      <c r="AE689" t="inlineStr">
        <is>
          <t>4.48655268982384e-10</t>
        </is>
      </c>
      <c r="AF689" t="inlineStr">
        <is>
          <t>tubulin tyrosine ligase like 9</t>
        </is>
      </c>
      <c r="AG689" t="inlineStr">
        <is>
          <t xml:space="preserve">FUNCTION: Probable tubulin polyglutamylase that forms polyglutamate side chains on tubulin. Probably acts when complexed with other proteins (By similarity). {ECO:0000250}.; </t>
        </is>
      </c>
      <c r="AH689" t="inlineStr">
        <is>
          <t>.</t>
        </is>
      </c>
      <c r="AI689" t="inlineStr">
        <is>
          <t>.</t>
        </is>
      </c>
      <c r="AJ689" t="inlineStr">
        <is>
          <t>.</t>
        </is>
      </c>
      <c r="AK689" t="inlineStr">
        <is>
          <t>.</t>
        </is>
      </c>
      <c r="AL689" t="inlineStr">
        <is>
          <t>.</t>
        </is>
      </c>
    </row>
    <row r="690">
      <c r="A690" t="inlineStr"/>
      <c r="B690">
        <f>HYPERLINK("https://genome.ucsc.edu/cgi-bin/hgTracks?db=hg19&amp;position=chr20%3A31022288%2D31022288", "chr20:31022288")</f>
        <v/>
      </c>
      <c r="C690" t="inlineStr">
        <is>
          <t>chr20</t>
        </is>
      </c>
      <c r="D690" t="n">
        <v>31022288</v>
      </c>
      <c r="E690" t="n">
        <v>31022288</v>
      </c>
      <c r="F690" t="inlineStr">
        <is>
          <t>C</t>
        </is>
      </c>
      <c r="G690" t="inlineStr">
        <is>
          <t>A</t>
        </is>
      </c>
      <c r="H690" t="inlineStr">
        <is>
          <t>739.64</t>
        </is>
      </c>
      <c r="I690" t="inlineStr">
        <is>
          <t>89</t>
        </is>
      </c>
      <c r="J690" t="inlineStr">
        <is>
          <t>57,32</t>
        </is>
      </c>
      <c r="K690" t="inlineStr">
        <is>
          <t>.</t>
        </is>
      </c>
      <c r="L690">
        <f>HYPERLINK("https://www.ncbi.nlm.nih.gov/snp/rs371369583", "rs371369583")</f>
        <v/>
      </c>
      <c r="M690">
        <f>HYPERLINK("https://www.genecards.org/Search/Keyword?queryString=%5Baliases%5D(%20ASXL1%20)&amp;keywords=ASXL1", "ASXL1")</f>
        <v/>
      </c>
      <c r="N690" t="inlineStr">
        <is>
          <t>exonic</t>
        </is>
      </c>
      <c r="O690" t="inlineStr">
        <is>
          <t>stopgain</t>
        </is>
      </c>
      <c r="P690" t="inlineStr">
        <is>
          <t>ASXL1:NM_001363734:exon11:c.C1590A:p.Y530X,ASXL1:NM_015338:exon12:c.C1773A:p.Y591X;ASXL1:uc010geb.3:exon9:c.C1446A:p.Y482X,ASXL1:uc002wxs.3:exon12:c.C1770A:p.Y590X,ASXL1:uc021wbw.1:exon13:c.C1773A:p.Y591X;ASXL1:ENST00000306058.9_2:exon12:c.C1758A:p.Y586X,ASXL1:ENST00000613218.4_5:exon12:c.C1773A:p.Y591X,ASXL1:ENST00000646985.1_5:exon12:c.C1590A:p.Y530X,ASXL1:ENST00000375687.10_7:exon13:c.C1773A:p.Y591X,ASXL1:ENST00000620121.4_5:exon13:c.C1773A:p.Y591X,ASXL1:ENST00000651418.1_1:exon13:c.C1773A:p.Y591X</t>
        </is>
      </c>
      <c r="Q690" t="n">
        <v>2.59e-05</v>
      </c>
      <c r="R690" t="n">
        <v>-1</v>
      </c>
      <c r="S690" t="n">
        <v>-1</v>
      </c>
      <c r="T690" t="n">
        <v>-1</v>
      </c>
      <c r="U690" t="n">
        <v>-1</v>
      </c>
      <c r="V690" t="inlineStr">
        <is>
          <t>3/3</t>
        </is>
      </c>
      <c r="W690" t="inlineStr">
        <is>
          <t>.</t>
        </is>
      </c>
      <c r="X690" t="inlineStr">
        <is>
          <t>.</t>
        </is>
      </c>
      <c r="Y690" t="inlineStr">
        <is>
          <t>.</t>
        </is>
      </c>
      <c r="Z690" t="inlineStr">
        <is>
          <t>5/7</t>
        </is>
      </c>
      <c r="AA690" t="inlineStr">
        <is>
          <t>Uncertain significance</t>
        </is>
      </c>
      <c r="AB690" t="inlineStr">
        <is>
          <t>.</t>
        </is>
      </c>
      <c r="AC690" t="inlineStr">
        <is>
          <t>0/1</t>
        </is>
      </c>
      <c r="AD690" t="inlineStr">
        <is>
          <t>1</t>
        </is>
      </c>
      <c r="AE690" t="inlineStr">
        <is>
          <t>1.37370457058834e-18</t>
        </is>
      </c>
      <c r="AF690" t="inlineStr">
        <is>
          <t>additional sex combs like 1, transcriptional regulator</t>
        </is>
      </c>
      <c r="AG690" t="inlineStr">
        <is>
          <t xml:space="preserve">FUNCTION: Probable Polycomb group (PcG) protein involved in transcriptional regulation mediated by ligand-bound nuclear hormone receptors, such as retinoic acid receptors (RARs) and peroxisome proliferator-activated receptor gamma (PPARG). Acts as coactivator of RARA and RXRA through association with NCOA1. Acts as corepressor through recruitment of KDM1A and CBX5 to target genes in a cell-type specific manner; the function seems to involve differential recruitment of methylated histone H3 to respective promoters. Acts as corepressor for PPARG and suppresses its adipocyte differentiation-inducing activity (By similarity). Non-catalytic component of the PR-DUB complex, a complex that specifically mediates deubiquitination of histone H2A monoubiquitinated at 'Lys-119' (H2AK119ub1). {ECO:0000250, ECO:0000269|PubMed:16606617, ECO:0000269|PubMed:20436459}.; </t>
        </is>
      </c>
      <c r="AH690" t="inlineStr">
        <is>
          <t xml:space="preserve">DISEASE: Bohring-Opitz syndrome (BOPS) [MIM:605039]: A syndrome characterized by severe intrauterine growth retardation, poor feeding, profound mental retardation, trigonocephaly, prominent metopic suture, exophthalmos, nevus flammeus of the face, upslanting palpebral fissures, hirsutism, and flexion of the elbows and wrists with deviation of the wrists and metacarpophalangeal joints. {ECO:0000269|PubMed:21706002}. Note=The disease is caused by mutations affecting the gene represented in this entry.; DISEASE: Myelodysplastic syndrome (MDS) [MIM:614286]: A heterogeneous group of closely related clonal hematopoietic disorders. All are characterized by a hypercellular or hypocellular bone marrow with impaired morphology and maturation, dysplasia of the myeloid, megakaryocytic and/or erythroid lineages, and peripheral blood cytopenias resulting from ineffective blood cell production. Included diseases are: refractory anemia (RA), refractory anemia with ringed sideroblasts (RARS), refractory anemia with excess blasts (RAEB), refractory cytopenia with multilineage dysplasia and ringed sideroblasts (RCMD-RS); chronic myelomonocytic leukemia (CMML) is a myelodysplastic/myeloproliferative disease. MDS is considered a premalignant condition in a subgroup of patients that often progresses to acute myeloid leukemia (AML). {ECO:0000269|PubMed:19388938, ECO:0000269|PubMed:20182461}. Note=The disease is caused by mutations affecting the gene represented in this entry.; </t>
        </is>
      </c>
      <c r="AI690" t="inlineStr">
        <is>
          <t>.</t>
        </is>
      </c>
      <c r="AJ690" t="inlineStr">
        <is>
          <t>.</t>
        </is>
      </c>
      <c r="AK690" t="inlineStr">
        <is>
          <t>.</t>
        </is>
      </c>
      <c r="AL690" t="inlineStr">
        <is>
          <t>.</t>
        </is>
      </c>
    </row>
    <row r="691">
      <c r="A691" t="inlineStr"/>
      <c r="B691">
        <f>HYPERLINK("https://genome.ucsc.edu/cgi-bin/hgTracks?db=hg19&amp;position=chr20%3A36531989%2D36531989", "chr20:36531989")</f>
        <v/>
      </c>
      <c r="C691" t="inlineStr">
        <is>
          <t>chr20</t>
        </is>
      </c>
      <c r="D691" t="n">
        <v>36531989</v>
      </c>
      <c r="E691" t="n">
        <v>36531989</v>
      </c>
      <c r="F691" t="inlineStr">
        <is>
          <t>G</t>
        </is>
      </c>
      <c r="G691" t="inlineStr">
        <is>
          <t>A</t>
        </is>
      </c>
      <c r="H691" t="inlineStr">
        <is>
          <t>163.64</t>
        </is>
      </c>
      <c r="I691" t="inlineStr">
        <is>
          <t>15</t>
        </is>
      </c>
      <c r="J691" t="inlineStr">
        <is>
          <t>10,5</t>
        </is>
      </c>
      <c r="K691" t="inlineStr">
        <is>
          <t>.</t>
        </is>
      </c>
      <c r="L691">
        <f>HYPERLINK("https://www.ncbi.nlm.nih.gov/snp/rs772490466", "rs772490466")</f>
        <v/>
      </c>
      <c r="M691">
        <f>HYPERLINK("https://www.genecards.org/Search/Keyword?queryString=%5Baliases%5D(%20VSTM2L%20)&amp;keywords=VSTM2L", "VSTM2L")</f>
        <v/>
      </c>
      <c r="N691" t="inlineStr">
        <is>
          <t>intronic</t>
        </is>
      </c>
      <c r="O691" t="inlineStr">
        <is>
          <t>.</t>
        </is>
      </c>
      <c r="P691" t="inlineStr">
        <is>
          <t>.</t>
        </is>
      </c>
      <c r="Q691" t="n">
        <v>0.0103</v>
      </c>
      <c r="R691" t="n">
        <v>0.0015</v>
      </c>
      <c r="S691" t="n">
        <v>0.0021</v>
      </c>
      <c r="T691" t="n">
        <v>-1</v>
      </c>
      <c r="U691" t="n">
        <v>0.0011</v>
      </c>
      <c r="V691" t="inlineStr">
        <is>
          <t>.</t>
        </is>
      </c>
      <c r="W691" t="inlineStr">
        <is>
          <t>.</t>
        </is>
      </c>
      <c r="X691" t="inlineStr">
        <is>
          <t>D</t>
        </is>
      </c>
      <c r="Y691" t="inlineStr">
        <is>
          <t>off</t>
        </is>
      </c>
      <c r="Z691" t="inlineStr">
        <is>
          <t>.</t>
        </is>
      </c>
      <c r="AA691" t="inlineStr">
        <is>
          <t>.</t>
        </is>
      </c>
      <c r="AB691" t="inlineStr">
        <is>
          <t>.</t>
        </is>
      </c>
      <c r="AC691" t="inlineStr">
        <is>
          <t>0/1</t>
        </is>
      </c>
      <c r="AD691" t="inlineStr">
        <is>
          <t>1</t>
        </is>
      </c>
      <c r="AE691" t="inlineStr">
        <is>
          <t>0.362003649087479</t>
        </is>
      </c>
      <c r="AF691" t="inlineStr">
        <is>
          <t>V-set and transmembrane domain containing 2 like</t>
        </is>
      </c>
      <c r="AG691" t="inlineStr">
        <is>
          <t>.</t>
        </is>
      </c>
      <c r="AH691" t="inlineStr">
        <is>
          <t>.</t>
        </is>
      </c>
      <c r="AI691" t="inlineStr">
        <is>
          <t>.</t>
        </is>
      </c>
      <c r="AJ691" t="inlineStr">
        <is>
          <t>.</t>
        </is>
      </c>
      <c r="AK691" t="inlineStr">
        <is>
          <t>.</t>
        </is>
      </c>
      <c r="AL691" t="inlineStr">
        <is>
          <t>.</t>
        </is>
      </c>
    </row>
    <row r="692">
      <c r="A692" t="inlineStr"/>
      <c r="B692">
        <f>HYPERLINK("https://genome.ucsc.edu/cgi-bin/hgTracks?db=hg19&amp;position=chr20%3A37536379%2D37536379", "chr20:37536379")</f>
        <v/>
      </c>
      <c r="C692" t="inlineStr">
        <is>
          <t>chr20</t>
        </is>
      </c>
      <c r="D692" t="n">
        <v>37536379</v>
      </c>
      <c r="E692" t="n">
        <v>37536379</v>
      </c>
      <c r="F692" t="inlineStr">
        <is>
          <t>G</t>
        </is>
      </c>
      <c r="G692" t="inlineStr">
        <is>
          <t>A</t>
        </is>
      </c>
      <c r="H692" t="inlineStr">
        <is>
          <t>145.64</t>
        </is>
      </c>
      <c r="I692" t="inlineStr">
        <is>
          <t>41</t>
        </is>
      </c>
      <c r="J692" t="inlineStr">
        <is>
          <t>31,10</t>
        </is>
      </c>
      <c r="K692" t="inlineStr">
        <is>
          <t>.</t>
        </is>
      </c>
      <c r="L692" t="inlineStr">
        <is>
          <t>.</t>
        </is>
      </c>
      <c r="M692">
        <f>HYPERLINK("https://www.genecards.org/Search/Keyword?queryString=%5Baliases%5D(%20PPP1R16B%20)&amp;keywords=PPP1R16B", "PPP1R16B")</f>
        <v/>
      </c>
      <c r="N692" t="inlineStr">
        <is>
          <t>intronic</t>
        </is>
      </c>
      <c r="O692" t="inlineStr">
        <is>
          <t>.</t>
        </is>
      </c>
      <c r="P692" t="inlineStr">
        <is>
          <t>.</t>
        </is>
      </c>
      <c r="Q692" t="n">
        <v>-1</v>
      </c>
      <c r="R692" t="n">
        <v>-1</v>
      </c>
      <c r="S692" t="n">
        <v>-1</v>
      </c>
      <c r="T692" t="n">
        <v>-1</v>
      </c>
      <c r="U692" t="n">
        <v>-1</v>
      </c>
      <c r="V692" t="inlineStr">
        <is>
          <t>.</t>
        </is>
      </c>
      <c r="W692" t="inlineStr">
        <is>
          <t>.</t>
        </is>
      </c>
      <c r="X692" t="inlineStr">
        <is>
          <t>D</t>
        </is>
      </c>
      <c r="Y692" t="inlineStr">
        <is>
          <t>off</t>
        </is>
      </c>
      <c r="Z692" t="inlineStr">
        <is>
          <t>.</t>
        </is>
      </c>
      <c r="AA692" t="inlineStr">
        <is>
          <t>.</t>
        </is>
      </c>
      <c r="AB692" t="inlineStr">
        <is>
          <t>.</t>
        </is>
      </c>
      <c r="AC692" t="inlineStr">
        <is>
          <t>0/1</t>
        </is>
      </c>
      <c r="AD692" t="inlineStr">
        <is>
          <t>1</t>
        </is>
      </c>
      <c r="AE692" t="inlineStr">
        <is>
          <t>0.998536940448375</t>
        </is>
      </c>
      <c r="AF692" t="inlineStr">
        <is>
          <t>protein phosphatase 1 regulatory subunit 16B</t>
        </is>
      </c>
      <c r="AG692" t="inlineStr">
        <is>
          <t xml:space="preserve">FUNCTION: Regulator of protein phosphatase 1 (PP1) that acts as a positive regulator of pulmonary endothelial cell (EC) barrier function. Involved in PKA-mediated moesin dephosphorylation which is important in EC barrier protection against thrombin stimulation. Promotes the interaction of PPP1CA with RPSA/LAMR1 and in turn facilitates the dephosphorylation of RPSA/LAMR1. Involved in the regulation of endothelial cell filopodia extension. May be a downstream target for TGF-beta1 signaling cascade in endothelial cells. {ECO:0000269|PubMed:16263087, ECO:0000269|PubMed:18586956}.; </t>
        </is>
      </c>
      <c r="AH692" t="inlineStr">
        <is>
          <t>.</t>
        </is>
      </c>
      <c r="AI692" t="inlineStr">
        <is>
          <t>.</t>
        </is>
      </c>
      <c r="AJ692" t="inlineStr">
        <is>
          <t>.</t>
        </is>
      </c>
      <c r="AK692" t="inlineStr">
        <is>
          <t>.</t>
        </is>
      </c>
      <c r="AL692" t="inlineStr">
        <is>
          <t>.</t>
        </is>
      </c>
    </row>
    <row r="693">
      <c r="A693" t="inlineStr"/>
      <c r="B693">
        <f>HYPERLINK("https://genome.ucsc.edu/cgi-bin/hgTracks?db=hg19&amp;position=chr20%3A43399860%2D43399860", "chr20:43399860")</f>
        <v/>
      </c>
      <c r="C693" t="inlineStr">
        <is>
          <t>chr20</t>
        </is>
      </c>
      <c r="D693" t="n">
        <v>43399860</v>
      </c>
      <c r="E693" t="n">
        <v>43399860</v>
      </c>
      <c r="F693" t="inlineStr">
        <is>
          <t>C</t>
        </is>
      </c>
      <c r="G693" t="inlineStr">
        <is>
          <t>T</t>
        </is>
      </c>
      <c r="H693" t="inlineStr">
        <is>
          <t>304.64</t>
        </is>
      </c>
      <c r="I693" t="inlineStr">
        <is>
          <t>51</t>
        </is>
      </c>
      <c r="J693" t="inlineStr">
        <is>
          <t>37,14</t>
        </is>
      </c>
      <c r="K693" t="inlineStr">
        <is>
          <t>.</t>
        </is>
      </c>
      <c r="L693" t="inlineStr">
        <is>
          <t>.</t>
        </is>
      </c>
      <c r="M693">
        <f>HYPERLINK("https://www.genecards.org/Search/Keyword?queryString=%5Baliases%5D(%20RIMS4%20)&amp;keywords=RIMS4", "RIMS4")</f>
        <v/>
      </c>
      <c r="N693" t="inlineStr">
        <is>
          <t>intronic</t>
        </is>
      </c>
      <c r="O693" t="inlineStr">
        <is>
          <t>.</t>
        </is>
      </c>
      <c r="P693" t="inlineStr">
        <is>
          <t>.</t>
        </is>
      </c>
      <c r="Q693" t="n">
        <v>-1</v>
      </c>
      <c r="R693" t="n">
        <v>-1</v>
      </c>
      <c r="S693" t="n">
        <v>-1</v>
      </c>
      <c r="T693" t="n">
        <v>-1</v>
      </c>
      <c r="U693" t="n">
        <v>-1</v>
      </c>
      <c r="V693" t="inlineStr">
        <is>
          <t>.</t>
        </is>
      </c>
      <c r="W693" t="inlineStr">
        <is>
          <t>.</t>
        </is>
      </c>
      <c r="X693" t="inlineStr">
        <is>
          <t>D</t>
        </is>
      </c>
      <c r="Y693" t="inlineStr">
        <is>
          <t>off</t>
        </is>
      </c>
      <c r="Z693" t="inlineStr">
        <is>
          <t>.</t>
        </is>
      </c>
      <c r="AA693" t="inlineStr">
        <is>
          <t>.</t>
        </is>
      </c>
      <c r="AB693" t="inlineStr">
        <is>
          <t>.</t>
        </is>
      </c>
      <c r="AC693" t="inlineStr">
        <is>
          <t>0/1</t>
        </is>
      </c>
      <c r="AD693" t="inlineStr">
        <is>
          <t>1</t>
        </is>
      </c>
      <c r="AE693" t="inlineStr">
        <is>
          <t>0.952765434512064</t>
        </is>
      </c>
      <c r="AF693" t="inlineStr">
        <is>
          <t>regulating synaptic membrane exocytosis 4</t>
        </is>
      </c>
      <c r="AG693" t="inlineStr">
        <is>
          <t xml:space="preserve">FUNCTION: Regulates synaptic membrane exocytosis. {ECO:0000250}.; </t>
        </is>
      </c>
      <c r="AH693" t="inlineStr">
        <is>
          <t>.</t>
        </is>
      </c>
      <c r="AI693" t="inlineStr">
        <is>
          <t>.</t>
        </is>
      </c>
      <c r="AJ693" t="inlineStr">
        <is>
          <t>.</t>
        </is>
      </c>
      <c r="AK693" t="inlineStr">
        <is>
          <t>.</t>
        </is>
      </c>
      <c r="AL693" t="inlineStr">
        <is>
          <t>.</t>
        </is>
      </c>
    </row>
    <row r="694">
      <c r="A694" t="inlineStr"/>
      <c r="B694">
        <f>HYPERLINK("https://genome.ucsc.edu/cgi-bin/hgTracks?db=hg19&amp;position=chr20%3A43723696%2D43723696", "chr20:43723696")</f>
        <v/>
      </c>
      <c r="C694" t="inlineStr">
        <is>
          <t>chr20</t>
        </is>
      </c>
      <c r="D694" t="n">
        <v>43723696</v>
      </c>
      <c r="E694" t="n">
        <v>43723696</v>
      </c>
      <c r="F694" t="inlineStr">
        <is>
          <t>G</t>
        </is>
      </c>
      <c r="G694" t="inlineStr">
        <is>
          <t>A</t>
        </is>
      </c>
      <c r="H694" t="inlineStr">
        <is>
          <t>1750.64</t>
        </is>
      </c>
      <c r="I694" t="inlineStr">
        <is>
          <t>121</t>
        </is>
      </c>
      <c r="J694" t="inlineStr">
        <is>
          <t>49,72</t>
        </is>
      </c>
      <c r="K694" t="inlineStr">
        <is>
          <t>.</t>
        </is>
      </c>
      <c r="L694">
        <f>HYPERLINK("https://www.ncbi.nlm.nih.gov/snp/rs144534326", "rs144534326")</f>
        <v/>
      </c>
      <c r="M694">
        <f>HYPERLINK("https://www.genecards.org/Search/Keyword?queryString=%5Baliases%5D(%20KCNS1%20)&amp;keywords=KCNS1", "KCNS1")</f>
        <v/>
      </c>
      <c r="N694" t="inlineStr">
        <is>
          <t>exonic</t>
        </is>
      </c>
      <c r="O694" t="inlineStr">
        <is>
          <t>nonsynonymous SNV</t>
        </is>
      </c>
      <c r="P694" t="inlineStr">
        <is>
          <t>KCNS1:NM_001322799:exon4:c.C1396T:p.R466C,KCNS1:NM_002251:exon5:c.C1396T:p.R466C;KCNS1:uc002xnd.3:exon4:c.C1396T:p.R466C,KCNS1:uc002xnc.3:exon5:c.C1396T:p.R466C;KCNS1:ENST00000537075.3_6:exon4:c.C1396T:p.R466C,KCNS1:ENST00000306117.5_5:exon5:c.C1396T:p.R466C</t>
        </is>
      </c>
      <c r="Q694" t="n">
        <v>0.015152</v>
      </c>
      <c r="R694" t="n">
        <v>0.0025</v>
      </c>
      <c r="S694" t="n">
        <v>0.0026</v>
      </c>
      <c r="T694" t="n">
        <v>-1</v>
      </c>
      <c r="U694" t="n">
        <v>0.0016</v>
      </c>
      <c r="V694" t="inlineStr">
        <is>
          <t>10/11</t>
        </is>
      </c>
      <c r="W694" t="inlineStr">
        <is>
          <t>.</t>
        </is>
      </c>
      <c r="X694" t="inlineStr">
        <is>
          <t>.</t>
        </is>
      </c>
      <c r="Y694" t="inlineStr">
        <is>
          <t>.</t>
        </is>
      </c>
      <c r="Z694" t="inlineStr">
        <is>
          <t>2/7</t>
        </is>
      </c>
      <c r="AA694" t="inlineStr">
        <is>
          <t>Uncertain significance</t>
        </is>
      </c>
      <c r="AB694" t="inlineStr">
        <is>
          <t>Benign</t>
        </is>
      </c>
      <c r="AC694" t="inlineStr">
        <is>
          <t>0/1</t>
        </is>
      </c>
      <c r="AD694" t="inlineStr">
        <is>
          <t>1</t>
        </is>
      </c>
      <c r="AE694" t="inlineStr">
        <is>
          <t>0.362998541245244</t>
        </is>
      </c>
      <c r="AF694" t="inlineStr">
        <is>
          <t>potassium voltage-gated channel modifier subfamily S member 1</t>
        </is>
      </c>
      <c r="AG694" t="inlineStr">
        <is>
          <t xml:space="preserve">FUNCTION: Potassium channel subunit that does not form functional channels by itself. Can form functional heterotetrameric channels with KCNB1 and KCNB2; modulates the delayed rectifier voltage- gated potassium channel activation and deactivation rates of KCNB1 and KCNB2 (PubMed:10484328). {ECO:0000269|PubMed:10484328}.; </t>
        </is>
      </c>
      <c r="AH694" t="inlineStr">
        <is>
          <t>.</t>
        </is>
      </c>
      <c r="AI694" t="inlineStr">
        <is>
          <t>.</t>
        </is>
      </c>
      <c r="AJ694" t="inlineStr">
        <is>
          <t>.</t>
        </is>
      </c>
      <c r="AK694" t="inlineStr">
        <is>
          <t>.</t>
        </is>
      </c>
      <c r="AL694" t="inlineStr">
        <is>
          <t>.</t>
        </is>
      </c>
    </row>
    <row r="695">
      <c r="A695" t="inlineStr"/>
      <c r="B695">
        <f>HYPERLINK("https://genome.ucsc.edu/cgi-bin/hgTracks?db=hg19&amp;position=chr20%3A45174564%2D45174564", "chr20:45174564")</f>
        <v/>
      </c>
      <c r="C695" t="inlineStr">
        <is>
          <t>chr20</t>
        </is>
      </c>
      <c r="D695" t="n">
        <v>45174564</v>
      </c>
      <c r="E695" t="n">
        <v>45174564</v>
      </c>
      <c r="F695" t="inlineStr">
        <is>
          <t>C</t>
        </is>
      </c>
      <c r="G695" t="inlineStr">
        <is>
          <t>A</t>
        </is>
      </c>
      <c r="H695" t="inlineStr">
        <is>
          <t>557.64</t>
        </is>
      </c>
      <c r="I695" t="inlineStr">
        <is>
          <t>91</t>
        </is>
      </c>
      <c r="J695" t="inlineStr">
        <is>
          <t>69,22</t>
        </is>
      </c>
      <c r="K695" t="inlineStr">
        <is>
          <t>.</t>
        </is>
      </c>
      <c r="L695" t="inlineStr">
        <is>
          <t>.</t>
        </is>
      </c>
      <c r="M695">
        <f>HYPERLINK("https://www.genecards.org/Search/Keyword?queryString=%5Baliases%5D(%20OCSTAMP%20)&amp;keywords=OCSTAMP", "OCSTAMP")</f>
        <v/>
      </c>
      <c r="N695" t="inlineStr">
        <is>
          <t>exonic</t>
        </is>
      </c>
      <c r="O695" t="inlineStr">
        <is>
          <t>nonsynonymous SNV</t>
        </is>
      </c>
      <c r="P695" t="inlineStr">
        <is>
          <t>OCSTAMP:NM_080721:exon2:c.G449T:p.R150M;OCSTAMP:uc010zxu.2:exon2:c.G449T:p.R150M;OCSTAMP:ENST00000279028.3_5:exon2:c.G449T:p.R150M</t>
        </is>
      </c>
      <c r="Q695" t="n">
        <v>-1</v>
      </c>
      <c r="R695" t="n">
        <v>-1</v>
      </c>
      <c r="S695" t="n">
        <v>-1</v>
      </c>
      <c r="T695" t="n">
        <v>-1</v>
      </c>
      <c r="U695" t="n">
        <v>-1</v>
      </c>
      <c r="V695" t="inlineStr">
        <is>
          <t>4/12</t>
        </is>
      </c>
      <c r="W695" t="inlineStr">
        <is>
          <t>.</t>
        </is>
      </c>
      <c r="X695" t="inlineStr">
        <is>
          <t>.</t>
        </is>
      </c>
      <c r="Y695" t="inlineStr">
        <is>
          <t>.</t>
        </is>
      </c>
      <c r="Z695" t="inlineStr">
        <is>
          <t>0/7</t>
        </is>
      </c>
      <c r="AA695" t="inlineStr">
        <is>
          <t>Uncertain significance</t>
        </is>
      </c>
      <c r="AB695" t="inlineStr">
        <is>
          <t>.</t>
        </is>
      </c>
      <c r="AC695" t="inlineStr">
        <is>
          <t>0/1</t>
        </is>
      </c>
      <c r="AD695" t="inlineStr">
        <is>
          <t>1</t>
        </is>
      </c>
      <c r="AE695" t="inlineStr">
        <is>
          <t>.</t>
        </is>
      </c>
      <c r="AF695" t="inlineStr">
        <is>
          <t>osteoclast stimulatory transmembrane protein</t>
        </is>
      </c>
      <c r="AG695" t="inlineStr">
        <is>
          <t xml:space="preserve">FUNCTION: Probable cell surface receptor that plays a role in cellular fusion and cell differentiation. Cooperates with DCSTAMP in modulating cell-cell fusion in both osteoclasts and foreign body giant cells (FBGCs). Involved in osteoclast bone resorption. Promotes osteoclast differentiation and may play a role in the multinucleated osteoclast maturation (By similarity). {ECO:0000250}.; </t>
        </is>
      </c>
      <c r="AH695" t="inlineStr">
        <is>
          <t>.</t>
        </is>
      </c>
      <c r="AI695" t="inlineStr">
        <is>
          <t>.</t>
        </is>
      </c>
      <c r="AJ695" t="inlineStr">
        <is>
          <t>.</t>
        </is>
      </c>
      <c r="AK695" t="inlineStr">
        <is>
          <t>.</t>
        </is>
      </c>
      <c r="AL695" t="inlineStr">
        <is>
          <t>.</t>
        </is>
      </c>
    </row>
    <row r="696">
      <c r="A696" t="inlineStr"/>
      <c r="B696">
        <f>HYPERLINK("https://genome.ucsc.edu/cgi-bin/hgTracks?db=hg19&amp;position=chr20%3A45904992%2D45904992", "chr20:45904992")</f>
        <v/>
      </c>
      <c r="C696" t="inlineStr">
        <is>
          <t>chr20</t>
        </is>
      </c>
      <c r="D696" t="n">
        <v>45904992</v>
      </c>
      <c r="E696" t="n">
        <v>45904992</v>
      </c>
      <c r="F696" t="inlineStr">
        <is>
          <t>G</t>
        </is>
      </c>
      <c r="G696" t="inlineStr">
        <is>
          <t>C</t>
        </is>
      </c>
      <c r="H696" t="inlineStr">
        <is>
          <t>270.64</t>
        </is>
      </c>
      <c r="I696" t="inlineStr">
        <is>
          <t>24</t>
        </is>
      </c>
      <c r="J696" t="inlineStr">
        <is>
          <t>14,10</t>
        </is>
      </c>
      <c r="K696" t="inlineStr">
        <is>
          <t>.</t>
        </is>
      </c>
      <c r="L696">
        <f>HYPERLINK("https://www.ncbi.nlm.nih.gov/snp/rs17788224", "rs17788224")</f>
        <v/>
      </c>
      <c r="M696">
        <f>HYPERLINK("https://www.genecards.org/Search/Keyword?queryString=%5Baliases%5D(%20ZMYND8%20)&amp;keywords=ZMYND8", "ZMYND8")</f>
        <v/>
      </c>
      <c r="N696" t="inlineStr">
        <is>
          <t>intronic</t>
        </is>
      </c>
      <c r="O696" t="inlineStr">
        <is>
          <t>.</t>
        </is>
      </c>
      <c r="P696" t="inlineStr">
        <is>
          <t>.</t>
        </is>
      </c>
      <c r="Q696" t="n">
        <v>0.0147868</v>
      </c>
      <c r="R696" t="n">
        <v>0.0123</v>
      </c>
      <c r="S696" t="n">
        <v>0.0132</v>
      </c>
      <c r="T696" t="n">
        <v>-1</v>
      </c>
      <c r="U696" t="n">
        <v>0.0122</v>
      </c>
      <c r="V696" t="inlineStr">
        <is>
          <t>.</t>
        </is>
      </c>
      <c r="W696" t="inlineStr">
        <is>
          <t>.</t>
        </is>
      </c>
      <c r="X696" t="inlineStr">
        <is>
          <t>D</t>
        </is>
      </c>
      <c r="Y696" t="inlineStr">
        <is>
          <t>off</t>
        </is>
      </c>
      <c r="Z696" t="inlineStr">
        <is>
          <t>.</t>
        </is>
      </c>
      <c r="AA696" t="inlineStr">
        <is>
          <t>.</t>
        </is>
      </c>
      <c r="AB696" t="inlineStr">
        <is>
          <t>.</t>
        </is>
      </c>
      <c r="AC696" t="inlineStr">
        <is>
          <t>0/1</t>
        </is>
      </c>
      <c r="AD696" t="inlineStr">
        <is>
          <t>1</t>
        </is>
      </c>
      <c r="AE696" t="inlineStr">
        <is>
          <t>0.999997106368404</t>
        </is>
      </c>
      <c r="AF696" t="inlineStr">
        <is>
          <t>zinc finger MYND-type containing 8</t>
        </is>
      </c>
      <c r="AG696" t="inlineStr">
        <is>
          <t>.</t>
        </is>
      </c>
      <c r="AH696" t="inlineStr">
        <is>
          <t>.</t>
        </is>
      </c>
      <c r="AI696" t="inlineStr">
        <is>
          <t>.</t>
        </is>
      </c>
      <c r="AJ696" t="inlineStr">
        <is>
          <t>.</t>
        </is>
      </c>
      <c r="AK696" t="inlineStr">
        <is>
          <t>.</t>
        </is>
      </c>
      <c r="AL696" t="inlineStr">
        <is>
          <t>.</t>
        </is>
      </c>
    </row>
    <row r="697">
      <c r="A697" t="inlineStr"/>
      <c r="B697">
        <f>HYPERLINK("https://genome.ucsc.edu/cgi-bin/hgTracks?db=hg19&amp;position=chr20%3A47587760%2D47587760", "chr20:47587760")</f>
        <v/>
      </c>
      <c r="C697" t="inlineStr">
        <is>
          <t>chr20</t>
        </is>
      </c>
      <c r="D697" t="n">
        <v>47587760</v>
      </c>
      <c r="E697" t="n">
        <v>47587760</v>
      </c>
      <c r="F697" t="inlineStr">
        <is>
          <t>A</t>
        </is>
      </c>
      <c r="G697" t="inlineStr">
        <is>
          <t>G</t>
        </is>
      </c>
      <c r="H697" t="inlineStr">
        <is>
          <t>2747.64</t>
        </is>
      </c>
      <c r="I697" t="inlineStr">
        <is>
          <t>166</t>
        </is>
      </c>
      <c r="J697" t="inlineStr">
        <is>
          <t>61,105</t>
        </is>
      </c>
      <c r="K697" t="inlineStr">
        <is>
          <t>.</t>
        </is>
      </c>
      <c r="L697">
        <f>HYPERLINK("https://www.ncbi.nlm.nih.gov/snp/rs41296207", "rs41296207")</f>
        <v/>
      </c>
      <c r="M697">
        <f>HYPERLINK("https://www.genecards.org/Search/Keyword?queryString=%5Baliases%5D(%20ARFGEF2%20)&amp;keywords=ARFGEF2", "ARFGEF2")</f>
        <v/>
      </c>
      <c r="N697" t="inlineStr">
        <is>
          <t>exonic</t>
        </is>
      </c>
      <c r="O697" t="inlineStr">
        <is>
          <t>nonsynonymous SNV</t>
        </is>
      </c>
      <c r="P697" t="inlineStr">
        <is>
          <t>ARFGEF2:NM_006420:exon10:c.A1294G:p.I432V;ARFGEF2:uc002xtx.4:exon10:c.A1294G:p.I432V;ARFGEF2:ENST00000371917.5_6:exon10:c.A1294G:p.I432V,ARFGEF2:ENST00000679436.1_3:exon10:c.A1291G:p.I431V,ARFGEF2:ENST00000681021.1_2:exon10:c.A1294G:p.I432V</t>
        </is>
      </c>
      <c r="Q697" t="n">
        <v>0.0003</v>
      </c>
      <c r="R697" t="n">
        <v>0.0002</v>
      </c>
      <c r="S697" t="n">
        <v>0.0003</v>
      </c>
      <c r="T697" t="n">
        <v>-1</v>
      </c>
      <c r="U697" t="n">
        <v>0.0002</v>
      </c>
      <c r="V697" t="inlineStr">
        <is>
          <t>3/11</t>
        </is>
      </c>
      <c r="W697" t="inlineStr">
        <is>
          <t>.</t>
        </is>
      </c>
      <c r="X697" t="inlineStr">
        <is>
          <t>.</t>
        </is>
      </c>
      <c r="Y697" t="inlineStr">
        <is>
          <t>.</t>
        </is>
      </c>
      <c r="Z697" t="inlineStr">
        <is>
          <t>7/7</t>
        </is>
      </c>
      <c r="AA697" t="inlineStr">
        <is>
          <t>Uncertain significance</t>
        </is>
      </c>
      <c r="AB697" t="inlineStr">
        <is>
          <t>Uncertain_significance</t>
        </is>
      </c>
      <c r="AC697" t="inlineStr">
        <is>
          <t>0/1</t>
        </is>
      </c>
      <c r="AD697" t="inlineStr">
        <is>
          <t>1</t>
        </is>
      </c>
      <c r="AE697" t="inlineStr">
        <is>
          <t>0.999999938266667</t>
        </is>
      </c>
      <c r="AF697" t="inlineStr">
        <is>
          <t>ADP ribosylation factor guanine nucleotide exchange factor 2</t>
        </is>
      </c>
      <c r="AG697" t="inlineStr">
        <is>
          <t xml:space="preserve">FUNCTION: Promotes guanine-nucleotide exchange on ARF1 and ARF3 and to a lower extend on ARF5 and ARF6. Promotes the activation of ARF1/ARF5/ARF6 through replacement of GDP with GTP. Involved in the regulation of Golgi vesicular transport. Required for the integrity of the endosomal compartment. Involved in trafficking from the trans-Golgi network (TGN) to endosomes and is required for membrane association of the AP-1 complex and GGA1. Seems to be involved in recycling of the transferrin receptor from recycling endosomes to the plasma membrane. Probably is involved in the exit of GABA(A) receptors from the endoplasmic reticulum. Involved in constitutive release of tumor necrosis factor receptor 1 via exosome-like vesicles; the function seems to involve PKA and specifically PRKAR2B. Proposed to act as A kinase-anchoring protein (AKAP) and may mediate crosstalk between Arf and PKA pathways. {ECO:0000269|PubMed:12051703, ECO:0000269|PubMed:12571360, ECO:0000269|PubMed:15385626, ECO:0000269|PubMed:16477018, ECO:0000269|PubMed:17276987, ECO:0000269|PubMed:18625701, ECO:0000269|PubMed:20360857}.; </t>
        </is>
      </c>
      <c r="AH697" t="inlineStr">
        <is>
          <t xml:space="preserve">DISEASE: Periventricular nodular heterotopia 2 (PVNH2) [MIM:608097]: A developmental disorder characterized by the presence of periventricular nodules of cerebral gray matter, resulting from a failure of neurons to migrate normally from the lateral ventricular proliferative zone, where they are formed, to the cerebral cortex. PVNH2 is an autosomal recessive form characterized by microcephaly (small brain), severe developmental delay and recurrent infections. No anomalies extrinsic to the central nervous system, such as dysmorphic features or grossly abnormal endocrine or other conditions, are associated with PVNH2. {ECO:0000269|PubMed:14647276}. Note=The disease is caused by mutations affecting the gene represented in this entry.; </t>
        </is>
      </c>
      <c r="AI697" t="inlineStr">
        <is>
          <t>.</t>
        </is>
      </c>
      <c r="AJ697" t="inlineStr">
        <is>
          <t>.</t>
        </is>
      </c>
      <c r="AK697" t="inlineStr">
        <is>
          <t>.</t>
        </is>
      </c>
      <c r="AL697" t="inlineStr">
        <is>
          <t>.</t>
        </is>
      </c>
    </row>
    <row r="698">
      <c r="A698" t="inlineStr"/>
      <c r="B698">
        <f>HYPERLINK("https://genome.ucsc.edu/cgi-bin/hgTracks?db=hg19&amp;position=chr20%3A47991536%2D47991536", "chr20:47991536")</f>
        <v/>
      </c>
      <c r="C698" t="inlineStr">
        <is>
          <t>chr20</t>
        </is>
      </c>
      <c r="D698" t="n">
        <v>47991536</v>
      </c>
      <c r="E698" t="n">
        <v>47991536</v>
      </c>
      <c r="F698" t="inlineStr">
        <is>
          <t>G</t>
        </is>
      </c>
      <c r="G698" t="inlineStr">
        <is>
          <t>T</t>
        </is>
      </c>
      <c r="H698" t="inlineStr">
        <is>
          <t>588.64</t>
        </is>
      </c>
      <c r="I698" t="inlineStr">
        <is>
          <t>85</t>
        </is>
      </c>
      <c r="J698" t="inlineStr">
        <is>
          <t>58,27</t>
        </is>
      </c>
      <c r="K698" t="inlineStr">
        <is>
          <t>.</t>
        </is>
      </c>
      <c r="L698" t="inlineStr">
        <is>
          <t>.</t>
        </is>
      </c>
      <c r="M698">
        <f>HYPERLINK("https://www.genecards.org/Search/Keyword?queryString=%5Baliases%5D(%20KCNB1%20)&amp;keywords=KCNB1", "KCNB1")</f>
        <v/>
      </c>
      <c r="N698" t="inlineStr">
        <is>
          <t>intronic</t>
        </is>
      </c>
      <c r="O698" t="inlineStr">
        <is>
          <t>.</t>
        </is>
      </c>
      <c r="P698" t="inlineStr">
        <is>
          <t>.</t>
        </is>
      </c>
      <c r="Q698" t="n">
        <v>-1</v>
      </c>
      <c r="R698" t="n">
        <v>-1</v>
      </c>
      <c r="S698" t="n">
        <v>-1</v>
      </c>
      <c r="T698" t="n">
        <v>-1</v>
      </c>
      <c r="U698" t="n">
        <v>-1</v>
      </c>
      <c r="V698" t="inlineStr">
        <is>
          <t>.</t>
        </is>
      </c>
      <c r="W698" t="inlineStr">
        <is>
          <t>T</t>
        </is>
      </c>
      <c r="X698" t="inlineStr">
        <is>
          <t>PD</t>
        </is>
      </c>
      <c r="Y698" t="inlineStr">
        <is>
          <t>on</t>
        </is>
      </c>
      <c r="Z698" t="inlineStr">
        <is>
          <t>.</t>
        </is>
      </c>
      <c r="AA698" t="inlineStr">
        <is>
          <t>.</t>
        </is>
      </c>
      <c r="AB698" t="inlineStr">
        <is>
          <t>.</t>
        </is>
      </c>
      <c r="AC698" t="inlineStr">
        <is>
          <t>0/1</t>
        </is>
      </c>
      <c r="AD698" t="inlineStr">
        <is>
          <t>1</t>
        </is>
      </c>
      <c r="AE698" t="inlineStr">
        <is>
          <t>0.982587869780031</t>
        </is>
      </c>
      <c r="AF698" t="inlineStr">
        <is>
          <t>potassium voltage-gated channel subfamily B member 1</t>
        </is>
      </c>
      <c r="AG698" t="inlineStr">
        <is>
          <t xml:space="preserve">FUNCTION: Voltage-gated potassium channel that mediates transmembrane potassium transport in excitable membranes, primarily in the brain, but also in the pancreas and cardiovascular system. Contributes to the regulation of the action potential (AP) repolarization, duration and frequency of repetitive AP firing in neurons, muscle cells and endocrine cells and plays a role in homeostatic attenuation of electrical excitability throughout the brain (PubMed:23161216). Plays also a role in the regulation of exocytosis independently of its electrical function (By similarity). Forms tetrameric potassium- selective channels through which potassium ions pass in accordance with their electrochemical gradient. The channel alternates between opened and closed conformations in response to the voltage difference across the membrane. Homotetrameric channels mediate a delayed-rectifier voltage-dependent outward potassium current that display rapid activation and slow inactivation in response to membrane depolarization (PubMed:8081723, PubMed:1283219, PubMed:10484328, PubMed:12560340, PubMed:19074135, PubMed:19717558, PubMed:24901643). Can form functional homotetrameric and heterotetrameric channels that contain variable proportions of KCNB2; channel properties depend on the type of alpha subunits that are part of the channel (By similarity). Can also form functional heterotetrameric channels with other alpha subunits that are non-conducting when expressed alone, such as KCNF1, KCNG1, KCNG3, KCNG4, KCNH1, KCNH2, KCNS1, KCNS2, KCNS3 and KCNV1, creating a functionally diverse range of channel complexes (PubMed:10484328, PubMed:11852086, PubMed:12060745, PubMed:19074135, PubMed:19717558, PubMed:24901643). Heterotetrameric channel activity formed with KCNS3 show increased current amplitude with the threshold for action potential activation shifted towards more negative values in hypoxic-treated pulmonary artery smooth muscle cells (By similarity). Channel properties are also modulated by cytoplasmic ancillary beta subunits such as AMIGO1, KCNE1, KCNE2 and KCNE3, slowing activation and inactivation rate of the delayed rectifier potassium channels (By similarity). In vivo, membranes probably contain a mixture of heteromeric potassium channel complexes, making it difficult to assign currents observed in intact tissues to any particular potassium channel family member. Major contributor to the slowly inactivating delayed-rectifier voltage- gated potassium current in neurons of the central nervous system, sympathetic ganglion neurons, neuroendocrine cells, pancreatic beta cells, cardiomyocytes and smooth muscle cells. Mediates the major part of the somatodendritic delayed-rectifier potassium current in hippocampal and cortical pyramidal neurons and sympathetic superior cervical ganglion (CGC) neurons that acts to slow down periods of firing, especially during high frequency stimulation. Plays a role in the induction of long-term potentiation (LTP) of neuron excitability in the CA3 layer of the hippocampus (By similarity). Contributes to the regulation of glucose-induced action potential amplitude and duration in pancreatic beta cells, hence limiting calcium influx and insulin secretion (PubMed:23161216). Plays a role in the regulation of resting membrane potential and contraction in hypoxia-treated pulmonary artery smooth muscle cells. May contribute to the regulation of the duration of both the action potential of cardiomyocytes and the heart ventricular repolarization QT interval. Contributes to the pronounced pro-apoptotic potassium current surge during neuronal apoptotic cell death in response to oxidative injury. May confer neuroprotection in response to hypoxia/ischemic insults by suppressing pyramidal neurons hyperexcitability in hippocampal and cortical regions (By similarity). Promotes trafficking of KCNG3, KCNH1 and KCNH2 to the cell surface membrane, presumably by forming heterotetrameric channels with these subunits (PubMed:12060745). Plays a role in the calcium-dependent recruitment and release of fusion-competent vesicles from the soma of neurons, neuroendocrine and glucose- induced pancreatic beta cells by binding key components of the fusion machinery in a pore-independent manner (By similarity). {ECO:0000250|UniProtKB:P15387, ECO:0000250|UniProtKB:Q03717, ECO:0000269|PubMed:10484328, ECO:0000269|PubMed:11852086, ECO:0000269|PubMed:12060745, ECO:0000269|PubMed:12560340, ECO:0000269|PubMed:1283219, ECO:0000269|PubMed:19074135, ECO:0000269|PubMed:19717558, ECO:0000269|PubMed:23161216, ECO:0000269|PubMed:24901643, ECO:0000269|PubMed:8081723}.; </t>
        </is>
      </c>
      <c r="AH698" t="inlineStr">
        <is>
          <t xml:space="preserve">DISEASE: Epileptic encephalopathy, early infantile, 26 (EIEE26) [MIM:616056]: A form of epileptic encephalopathy, a heterogeneous group of severe childhood onset epilepsies characterized by refractory seizures, neurodevelopmental impairment, and poor prognosis. Development is normal prior to seizure onset, after which cognitive and motor delays become apparent. EIEE26 patients manifest multiple types of seizures, delayed psychomotor development, poor or absent speech, hypotonia, hypsarrhythmia. {ECO:0000269|PubMed:25164438}. Note=The disease is caused by mutations affecting the gene represented in this entry.; </t>
        </is>
      </c>
      <c r="AI698" t="inlineStr">
        <is>
          <t>.</t>
        </is>
      </c>
      <c r="AJ698" t="inlineStr">
        <is>
          <t>.</t>
        </is>
      </c>
      <c r="AK698" t="inlineStr">
        <is>
          <t>.</t>
        </is>
      </c>
      <c r="AL698" t="inlineStr">
        <is>
          <t>.</t>
        </is>
      </c>
    </row>
    <row r="699">
      <c r="A699" t="inlineStr"/>
      <c r="B699">
        <f>HYPERLINK("https://genome.ucsc.edu/cgi-bin/hgTracks?db=hg19&amp;position=chr20%3A55020984%2D55020984", "chr20:55020984")</f>
        <v/>
      </c>
      <c r="C699" t="inlineStr">
        <is>
          <t>chr20</t>
        </is>
      </c>
      <c r="D699" t="n">
        <v>55020984</v>
      </c>
      <c r="E699" t="n">
        <v>55020984</v>
      </c>
      <c r="F699" t="inlineStr">
        <is>
          <t>G</t>
        </is>
      </c>
      <c r="G699" t="inlineStr">
        <is>
          <t>T</t>
        </is>
      </c>
      <c r="H699" t="inlineStr">
        <is>
          <t>1328.64</t>
        </is>
      </c>
      <c r="I699" t="inlineStr">
        <is>
          <t>75</t>
        </is>
      </c>
      <c r="J699" t="inlineStr">
        <is>
          <t>24,51</t>
        </is>
      </c>
      <c r="K699" t="inlineStr">
        <is>
          <t>.</t>
        </is>
      </c>
      <c r="L699">
        <f>HYPERLINK("https://www.ncbi.nlm.nih.gov/snp/rs149841530", "rs149841530")</f>
        <v/>
      </c>
      <c r="M699">
        <f>HYPERLINK("https://www.genecards.org/Search/Keyword?queryString=%5Baliases%5D(%20CASS4%20)&amp;keywords=CASS4", "CASS4")</f>
        <v/>
      </c>
      <c r="N699" t="inlineStr">
        <is>
          <t>exonic</t>
        </is>
      </c>
      <c r="O699" t="inlineStr">
        <is>
          <t>nonsynonymous SNV</t>
        </is>
      </c>
      <c r="P699" t="inlineStr">
        <is>
          <t>CASS4:NM_001164114:exon3:c.G326T:p.R109L,CASS4:NM_001164115:exon3:c.G488T:p.R163L,CASS4:NM_020356:exon3:c.G488T:p.R163L,CASS4:NM_001164116:exon4:c.G488T:p.R163L;CASS4:uc002xxq.4:exon3:c.G488T:p.R163L,CASS4:uc002xxr.2:exon3:c.G488T:p.R163L,CASS4:uc010gio.2:exon3:c.G488T:p.R163L,CASS4:uc010zze.1:exon3:c.G326T:p.R109L,CASS4:uc002xxp.2:exon4:c.G488T:p.R163L;CASS4:ENST00000434344.2_1:exon3:c.G488T:p.R163L,CASS4:ENST00000679529.1_1:exon3:c.G326T:p.R109L,CASS4:ENST00000679887.1_2:exon3:c.G488T:p.R163L,CASS4:ENST00000360314.7_2:exon4:c.G488T:p.R163L</t>
        </is>
      </c>
      <c r="Q699" t="n">
        <v>5.17e-05</v>
      </c>
      <c r="R699" t="n">
        <v>-1</v>
      </c>
      <c r="S699" t="n">
        <v>-1</v>
      </c>
      <c r="T699" t="n">
        <v>-1</v>
      </c>
      <c r="U699" t="n">
        <v>-1</v>
      </c>
      <c r="V699" t="inlineStr">
        <is>
          <t>4/11</t>
        </is>
      </c>
      <c r="W699" t="inlineStr">
        <is>
          <t>.</t>
        </is>
      </c>
      <c r="X699" t="inlineStr">
        <is>
          <t>.</t>
        </is>
      </c>
      <c r="Y699" t="inlineStr">
        <is>
          <t>.</t>
        </is>
      </c>
      <c r="Z699" t="inlineStr">
        <is>
          <t>0/7</t>
        </is>
      </c>
      <c r="AA699" t="inlineStr">
        <is>
          <t>Uncertain significance</t>
        </is>
      </c>
      <c r="AB699" t="inlineStr">
        <is>
          <t>.</t>
        </is>
      </c>
      <c r="AC699" t="inlineStr">
        <is>
          <t>0/1</t>
        </is>
      </c>
      <c r="AD699" t="inlineStr">
        <is>
          <t>1</t>
        </is>
      </c>
      <c r="AE699" t="inlineStr">
        <is>
          <t>0.296175209094422</t>
        </is>
      </c>
      <c r="AF699" t="inlineStr">
        <is>
          <t>Cas scaffolding protein family member 4</t>
        </is>
      </c>
      <c r="AG699" t="inlineStr">
        <is>
          <t xml:space="preserve">FUNCTION: Docking protein that plays a role in tyrosine kinase- based signaling related to cell adhesion and cell spreading. Regulates PTK2/FAK1 activity, focal adhesion integrity, and cell spreading. {ECO:0000269|PubMed:18256281}.; </t>
        </is>
      </c>
      <c r="AH699" t="inlineStr">
        <is>
          <t>.</t>
        </is>
      </c>
      <c r="AI699" t="inlineStr">
        <is>
          <t>.</t>
        </is>
      </c>
      <c r="AJ699" t="inlineStr">
        <is>
          <t>.</t>
        </is>
      </c>
      <c r="AK699" t="inlineStr">
        <is>
          <t>.</t>
        </is>
      </c>
      <c r="AL699" t="inlineStr">
        <is>
          <t>.</t>
        </is>
      </c>
    </row>
    <row r="700">
      <c r="A700" t="inlineStr"/>
      <c r="B700">
        <f>HYPERLINK("https://genome.ucsc.edu/cgi-bin/hgTracks?db=hg19&amp;position=chr20%3A55205691%2D55205691", "chr20:55205691")</f>
        <v/>
      </c>
      <c r="C700" t="inlineStr">
        <is>
          <t>chr20</t>
        </is>
      </c>
      <c r="D700" t="n">
        <v>55205691</v>
      </c>
      <c r="E700" t="n">
        <v>55205691</v>
      </c>
      <c r="F700" t="inlineStr">
        <is>
          <t>G</t>
        </is>
      </c>
      <c r="G700" t="inlineStr">
        <is>
          <t>A</t>
        </is>
      </c>
      <c r="H700" t="inlineStr">
        <is>
          <t>98.64</t>
        </is>
      </c>
      <c r="I700" t="inlineStr">
        <is>
          <t>9</t>
        </is>
      </c>
      <c r="J700" t="inlineStr">
        <is>
          <t>5,4</t>
        </is>
      </c>
      <c r="K700" t="inlineStr">
        <is>
          <t>.</t>
        </is>
      </c>
      <c r="L700">
        <f>HYPERLINK("https://www.ncbi.nlm.nih.gov/snp/rs778243139", "rs778243139")</f>
        <v/>
      </c>
      <c r="M700">
        <f>HYPERLINK("https://www.genecards.org/Search/Keyword?queryString=%5Baliases%5D(%20TFAP2C%20)&amp;keywords=TFAP2C", "TFAP2C")</f>
        <v/>
      </c>
      <c r="N700" t="inlineStr">
        <is>
          <t>intronic</t>
        </is>
      </c>
      <c r="O700" t="inlineStr">
        <is>
          <t>.</t>
        </is>
      </c>
      <c r="P700" t="inlineStr">
        <is>
          <t>.</t>
        </is>
      </c>
      <c r="Q700" t="n">
        <v>0.0004</v>
      </c>
      <c r="R700" t="n">
        <v>0.0004</v>
      </c>
      <c r="S700" t="n">
        <v>0.0004</v>
      </c>
      <c r="T700" t="n">
        <v>-1</v>
      </c>
      <c r="U700" t="n">
        <v>0.0002</v>
      </c>
      <c r="V700" t="inlineStr">
        <is>
          <t>.</t>
        </is>
      </c>
      <c r="W700" t="inlineStr">
        <is>
          <t>.</t>
        </is>
      </c>
      <c r="X700" t="inlineStr">
        <is>
          <t>D</t>
        </is>
      </c>
      <c r="Y700" t="inlineStr">
        <is>
          <t>off</t>
        </is>
      </c>
      <c r="Z700" t="inlineStr">
        <is>
          <t>.</t>
        </is>
      </c>
      <c r="AA700" t="inlineStr">
        <is>
          <t>.</t>
        </is>
      </c>
      <c r="AB700" t="inlineStr">
        <is>
          <t>.</t>
        </is>
      </c>
      <c r="AC700" t="inlineStr">
        <is>
          <t>0/1</t>
        </is>
      </c>
      <c r="AD700" t="inlineStr">
        <is>
          <t>1</t>
        </is>
      </c>
      <c r="AE700" t="inlineStr">
        <is>
          <t>0.939950974403548</t>
        </is>
      </c>
      <c r="AF700" t="inlineStr">
        <is>
          <t>transcription factor AP-2 gamma (activating enhancer binding protein 2 gamma)</t>
        </is>
      </c>
      <c r="AG700" t="inlineStr">
        <is>
          <t xml:space="preserve">FUNCTION: Sequence-specific DNA-binding protein that interacts with inducible viral and cellular enhancer elements to regulate transcription of selected genes. AP-2 factors bind to the consensus sequence 5'-GCCNNNGGC-3' and activate genes involved in a large spectrum of important biological functions including proper eye, face, body wall, limb and neural tube development. They also suppress a number of genes including MCAM/MUC18, C/EBP alpha and MYC. Involved in the MTA1-mediated epigenetic regulation of ESR1 expression in breast cancer. {ECO:0000269|PubMed:11694877, ECO:0000269|PubMed:24413532}.; </t>
        </is>
      </c>
      <c r="AH700" t="inlineStr">
        <is>
          <t>.</t>
        </is>
      </c>
      <c r="AI700" t="inlineStr">
        <is>
          <t>.</t>
        </is>
      </c>
      <c r="AJ700" t="inlineStr">
        <is>
          <t>.</t>
        </is>
      </c>
      <c r="AK700" t="inlineStr">
        <is>
          <t>.</t>
        </is>
      </c>
      <c r="AL700" t="inlineStr">
        <is>
          <t>.</t>
        </is>
      </c>
    </row>
    <row r="701">
      <c r="A701" t="inlineStr"/>
      <c r="B701">
        <f>HYPERLINK("https://genome.ucsc.edu/cgi-bin/hgTracks?db=hg19&amp;position=chr20%3A57227297%2D57227297", "chr20:57227297")</f>
        <v/>
      </c>
      <c r="C701" t="inlineStr">
        <is>
          <t>chr20</t>
        </is>
      </c>
      <c r="D701" t="n">
        <v>57227297</v>
      </c>
      <c r="E701" t="n">
        <v>57227297</v>
      </c>
      <c r="F701" t="inlineStr">
        <is>
          <t>A</t>
        </is>
      </c>
      <c r="G701" t="inlineStr">
        <is>
          <t>G</t>
        </is>
      </c>
      <c r="H701" t="inlineStr">
        <is>
          <t>170.64</t>
        </is>
      </c>
      <c r="I701" t="inlineStr">
        <is>
          <t>7</t>
        </is>
      </c>
      <c r="J701" t="inlineStr">
        <is>
          <t>2,5</t>
        </is>
      </c>
      <c r="K701" t="inlineStr">
        <is>
          <t>.</t>
        </is>
      </c>
      <c r="L701">
        <f>HYPERLINK("https://www.ncbi.nlm.nih.gov/snp/rs146213246", "rs146213246")</f>
        <v/>
      </c>
      <c r="M701">
        <f>HYPERLINK("https://www.genecards.org/Search/Keyword?queryString=%5Baliases%5D(%20STX16%20)%20OR%20%5Baliases%5D(%20STX16-NPEPL1%20)&amp;keywords=STX16,STX16-NPEPL1", "STX16;STX16-NPEPL1")</f>
        <v/>
      </c>
      <c r="N701" t="inlineStr">
        <is>
          <t>intronic;ncRNA_intronic</t>
        </is>
      </c>
      <c r="O701" t="inlineStr">
        <is>
          <t>.</t>
        </is>
      </c>
      <c r="P701" t="inlineStr">
        <is>
          <t>.</t>
        </is>
      </c>
      <c r="Q701" t="n">
        <v>0.003</v>
      </c>
      <c r="R701" t="n">
        <v>0.0011</v>
      </c>
      <c r="S701" t="n">
        <v>0.0015</v>
      </c>
      <c r="T701" t="n">
        <v>-1</v>
      </c>
      <c r="U701" t="n">
        <v>0.0019</v>
      </c>
      <c r="V701" t="inlineStr">
        <is>
          <t>.</t>
        </is>
      </c>
      <c r="W701" t="inlineStr">
        <is>
          <t>.</t>
        </is>
      </c>
      <c r="X701" t="inlineStr">
        <is>
          <t>PD</t>
        </is>
      </c>
      <c r="Y701" t="inlineStr">
        <is>
          <t>off</t>
        </is>
      </c>
      <c r="Z701" t="inlineStr">
        <is>
          <t>.</t>
        </is>
      </c>
      <c r="AA701" t="inlineStr">
        <is>
          <t>.</t>
        </is>
      </c>
      <c r="AB701" t="inlineStr">
        <is>
          <t>.</t>
        </is>
      </c>
      <c r="AC701" t="inlineStr">
        <is>
          <t>0/1</t>
        </is>
      </c>
      <c r="AD701" t="inlineStr">
        <is>
          <t>1;1</t>
        </is>
      </c>
      <c r="AE701" t="inlineStr">
        <is>
          <t>0.235503144787157</t>
        </is>
      </c>
      <c r="AF701" t="inlineStr">
        <is>
          <t>STX16-NPEPL1 readthrough (NMD candidate);syntaxin 16</t>
        </is>
      </c>
      <c r="AG701" t="inlineStr">
        <is>
          <t xml:space="preserve">FUNCTION: SNARE involved in vesicular transport from the late endosomes to the trans-Golgi network. {ECO:0000269|PubMed:18195106}.; </t>
        </is>
      </c>
      <c r="AH701" t="inlineStr">
        <is>
          <t>.</t>
        </is>
      </c>
      <c r="AI701" t="inlineStr">
        <is>
          <t>.</t>
        </is>
      </c>
      <c r="AJ701" t="inlineStr">
        <is>
          <t>.</t>
        </is>
      </c>
      <c r="AK701" t="inlineStr">
        <is>
          <t>.</t>
        </is>
      </c>
      <c r="AL701" t="inlineStr">
        <is>
          <t>.</t>
        </is>
      </c>
    </row>
    <row r="702">
      <c r="A702" t="inlineStr"/>
      <c r="B702">
        <f>HYPERLINK("https://genome.ucsc.edu/cgi-bin/hgTracks?db=hg19&amp;position=chr20%3A60640265%2D60640265", "chr20:60640265")</f>
        <v/>
      </c>
      <c r="C702" t="inlineStr">
        <is>
          <t>chr20</t>
        </is>
      </c>
      <c r="D702" t="n">
        <v>60640265</v>
      </c>
      <c r="E702" t="n">
        <v>60640265</v>
      </c>
      <c r="F702" t="inlineStr">
        <is>
          <t>C</t>
        </is>
      </c>
      <c r="G702" t="inlineStr">
        <is>
          <t>G</t>
        </is>
      </c>
      <c r="H702" t="inlineStr">
        <is>
          <t>361.64</t>
        </is>
      </c>
      <c r="I702" t="inlineStr">
        <is>
          <t>64</t>
        </is>
      </c>
      <c r="J702" t="inlineStr">
        <is>
          <t>44,20</t>
        </is>
      </c>
      <c r="K702" t="inlineStr">
        <is>
          <t>.</t>
        </is>
      </c>
      <c r="L702" t="inlineStr">
        <is>
          <t>.</t>
        </is>
      </c>
      <c r="M702">
        <f>HYPERLINK("https://www.genecards.org/Search/Keyword?queryString=%5Baliases%5D(%20TAF4%20)&amp;keywords=TAF4", "TAF4")</f>
        <v/>
      </c>
      <c r="N702" t="inlineStr">
        <is>
          <t>exonic</t>
        </is>
      </c>
      <c r="O702" t="inlineStr">
        <is>
          <t>nonsynonymous SNV</t>
        </is>
      </c>
      <c r="P702" t="inlineStr">
        <is>
          <t>TAF4:NM_003185:exon1:c.G602C:p.S201T;TAF4:uc002ybs.3:exon1:c.G602C:p.S201T;TAF4:ENST00000252996.9_4:exon1:c.G602C:p.S201T</t>
        </is>
      </c>
      <c r="Q702" t="n">
        <v>-1</v>
      </c>
      <c r="R702" t="n">
        <v>-1</v>
      </c>
      <c r="S702" t="n">
        <v>-1</v>
      </c>
      <c r="T702" t="n">
        <v>-1</v>
      </c>
      <c r="U702" t="n">
        <v>-1</v>
      </c>
      <c r="V702" t="inlineStr">
        <is>
          <t>3/11</t>
        </is>
      </c>
      <c r="W702" t="inlineStr">
        <is>
          <t>.</t>
        </is>
      </c>
      <c r="X702" t="inlineStr">
        <is>
          <t>.</t>
        </is>
      </c>
      <c r="Y702" t="inlineStr">
        <is>
          <t>.</t>
        </is>
      </c>
      <c r="Z702" t="inlineStr">
        <is>
          <t>1/7</t>
        </is>
      </c>
      <c r="AA702" t="inlineStr">
        <is>
          <t>Uncertain significance</t>
        </is>
      </c>
      <c r="AB702" t="inlineStr">
        <is>
          <t>.</t>
        </is>
      </c>
      <c r="AC702" t="inlineStr">
        <is>
          <t>0/1</t>
        </is>
      </c>
      <c r="AD702" t="inlineStr">
        <is>
          <t>1</t>
        </is>
      </c>
      <c r="AE702" t="inlineStr">
        <is>
          <t>0.999487085673133</t>
        </is>
      </c>
      <c r="AF702" t="inlineStr">
        <is>
          <t>TATA-box binding protein associated factor 4</t>
        </is>
      </c>
      <c r="AG702" t="inlineStr">
        <is>
          <t xml:space="preserve">FUNCTION: Part of the TFIID complex, a multimeric protein complex that plays a central role in mediating promoter responses to various activators and repressors. Potentiates transcriptional activation by the AF-2S of the retinoic acid, vitamin D3 and thyroid hormone.; </t>
        </is>
      </c>
      <c r="AH702" t="inlineStr">
        <is>
          <t>.</t>
        </is>
      </c>
      <c r="AI702" t="inlineStr">
        <is>
          <t>.</t>
        </is>
      </c>
      <c r="AJ702" t="inlineStr">
        <is>
          <t>.</t>
        </is>
      </c>
      <c r="AK702" t="inlineStr">
        <is>
          <t>.</t>
        </is>
      </c>
      <c r="AL702" t="inlineStr">
        <is>
          <t>.</t>
        </is>
      </c>
    </row>
    <row r="703">
      <c r="A703" t="inlineStr"/>
      <c r="B703">
        <f>HYPERLINK("https://genome.ucsc.edu/cgi-bin/hgTracks?db=hg19&amp;position=chr20%3A60892450%2D60892450", "chr20:60892450")</f>
        <v/>
      </c>
      <c r="C703" t="inlineStr">
        <is>
          <t>chr20</t>
        </is>
      </c>
      <c r="D703" t="n">
        <v>60892450</v>
      </c>
      <c r="E703" t="n">
        <v>60892450</v>
      </c>
      <c r="F703" t="inlineStr">
        <is>
          <t>C</t>
        </is>
      </c>
      <c r="G703" t="inlineStr">
        <is>
          <t>T</t>
        </is>
      </c>
      <c r="H703" t="inlineStr">
        <is>
          <t>866.64</t>
        </is>
      </c>
      <c r="I703" t="inlineStr">
        <is>
          <t>106</t>
        </is>
      </c>
      <c r="J703" t="inlineStr">
        <is>
          <t>65,41</t>
        </is>
      </c>
      <c r="K703" t="inlineStr">
        <is>
          <t>.</t>
        </is>
      </c>
      <c r="L703">
        <f>HYPERLINK("https://www.ncbi.nlm.nih.gov/snp/rs148169370", "rs148169370")</f>
        <v/>
      </c>
      <c r="M703">
        <f>HYPERLINK("https://www.genecards.org/Search/Keyword?queryString=%5Baliases%5D(%20LAMA5%20)&amp;keywords=LAMA5", "LAMA5")</f>
        <v/>
      </c>
      <c r="N703" t="inlineStr">
        <is>
          <t>exonic</t>
        </is>
      </c>
      <c r="O703" t="inlineStr">
        <is>
          <t>nonsynonymous SNV</t>
        </is>
      </c>
      <c r="P703" t="inlineStr">
        <is>
          <t>LAMA5:NM_005560:exon55:c.G7462A:p.A2488T;LAMA5:uc002ycq.3:exon55:c.G7462A:p.A2488T,LAMA5:uc021wfw.1:exon55:c.G7462A:p.A2488T;LAMA5:ENST00000252999.7_4:exon55:c.G7462A:p.A2488T</t>
        </is>
      </c>
      <c r="Q703" t="n">
        <v>0.025862</v>
      </c>
      <c r="R703" t="n">
        <v>0.0291</v>
      </c>
      <c r="S703" t="n">
        <v>0.0256</v>
      </c>
      <c r="T703" t="n">
        <v>-1</v>
      </c>
      <c r="U703" t="n">
        <v>0.041</v>
      </c>
      <c r="V703" t="inlineStr">
        <is>
          <t>6/9</t>
        </is>
      </c>
      <c r="W703" t="inlineStr">
        <is>
          <t>.</t>
        </is>
      </c>
      <c r="X703" t="inlineStr">
        <is>
          <t>.</t>
        </is>
      </c>
      <c r="Y703" t="inlineStr">
        <is>
          <t>.</t>
        </is>
      </c>
      <c r="Z703" t="inlineStr">
        <is>
          <t>1/7</t>
        </is>
      </c>
      <c r="AA703" t="inlineStr">
        <is>
          <t>Uncertain significance</t>
        </is>
      </c>
      <c r="AB703" t="inlineStr">
        <is>
          <t>.</t>
        </is>
      </c>
      <c r="AC703" t="inlineStr">
        <is>
          <t>0/1</t>
        </is>
      </c>
      <c r="AD703" t="inlineStr">
        <is>
          <t>1</t>
        </is>
      </c>
      <c r="AE703" t="inlineStr">
        <is>
          <t>0.943037981027839</t>
        </is>
      </c>
      <c r="AF703" t="inlineStr">
        <is>
          <t>laminin subunit alpha 5</t>
        </is>
      </c>
      <c r="AG703" t="inlineStr">
        <is>
          <t xml:space="preserve">FUNCTION: Binding to cells via a high affinity receptor, laminin is thought to mediate the attachment, migration and organization of cells into tissues during embryonic development by interacting with other extracellular matrix components.; </t>
        </is>
      </c>
      <c r="AH703" t="inlineStr">
        <is>
          <t>.</t>
        </is>
      </c>
      <c r="AI703" t="inlineStr">
        <is>
          <t>.</t>
        </is>
      </c>
      <c r="AJ703" t="inlineStr">
        <is>
          <t>.</t>
        </is>
      </c>
      <c r="AK703" t="inlineStr">
        <is>
          <t>.</t>
        </is>
      </c>
      <c r="AL703" t="inlineStr">
        <is>
          <t>.</t>
        </is>
      </c>
    </row>
    <row r="704">
      <c r="A704" t="inlineStr"/>
      <c r="B704">
        <f>HYPERLINK("https://genome.ucsc.edu/cgi-bin/hgTracks?db=hg19&amp;position=chr20%3A61041226%2D61041226", "chr20:61041226")</f>
        <v/>
      </c>
      <c r="C704" t="inlineStr">
        <is>
          <t>chr20</t>
        </is>
      </c>
      <c r="D704" t="n">
        <v>61041226</v>
      </c>
      <c r="E704" t="n">
        <v>61041226</v>
      </c>
      <c r="F704" t="inlineStr">
        <is>
          <t>G</t>
        </is>
      </c>
      <c r="G704" t="inlineStr">
        <is>
          <t>C</t>
        </is>
      </c>
      <c r="H704" t="inlineStr">
        <is>
          <t>56.64</t>
        </is>
      </c>
      <c r="I704" t="inlineStr">
        <is>
          <t>6</t>
        </is>
      </c>
      <c r="J704" t="inlineStr">
        <is>
          <t>4,2</t>
        </is>
      </c>
      <c r="K704" t="inlineStr">
        <is>
          <t>.</t>
        </is>
      </c>
      <c r="L704" t="inlineStr">
        <is>
          <t>.</t>
        </is>
      </c>
      <c r="M704">
        <f>HYPERLINK("https://www.genecards.org/Search/Keyword?queryString=%5Baliases%5D(%20GATA5%20)%20OR%20%5Baliases%5D(%20MIR1-1HG-AS1%20)&amp;keywords=GATA5,MIR1-1HG-AS1", "GATA5;MIR1-1HG-AS1")</f>
        <v/>
      </c>
      <c r="N704" t="inlineStr">
        <is>
          <t>intronic;ncRNA_intronic</t>
        </is>
      </c>
      <c r="O704" t="inlineStr">
        <is>
          <t>.</t>
        </is>
      </c>
      <c r="P704" t="inlineStr">
        <is>
          <t>.</t>
        </is>
      </c>
      <c r="Q704" t="n">
        <v>-1</v>
      </c>
      <c r="R704" t="n">
        <v>-1</v>
      </c>
      <c r="S704" t="n">
        <v>-1</v>
      </c>
      <c r="T704" t="n">
        <v>-1</v>
      </c>
      <c r="U704" t="n">
        <v>-1</v>
      </c>
      <c r="V704" t="inlineStr">
        <is>
          <t>.</t>
        </is>
      </c>
      <c r="W704" t="inlineStr">
        <is>
          <t>.</t>
        </is>
      </c>
      <c r="X704" t="inlineStr">
        <is>
          <t>B</t>
        </is>
      </c>
      <c r="Y704" t="inlineStr">
        <is>
          <t>off</t>
        </is>
      </c>
      <c r="Z704" t="inlineStr">
        <is>
          <t>.</t>
        </is>
      </c>
      <c r="AA704" t="inlineStr">
        <is>
          <t>.</t>
        </is>
      </c>
      <c r="AB704" t="inlineStr">
        <is>
          <t>.</t>
        </is>
      </c>
      <c r="AC704" t="inlineStr">
        <is>
          <t>0/1</t>
        </is>
      </c>
      <c r="AD704" t="inlineStr">
        <is>
          <t>1;1</t>
        </is>
      </c>
      <c r="AE704" t="inlineStr">
        <is>
          <t>0.250742908677773</t>
        </is>
      </c>
      <c r="AF704" t="inlineStr">
        <is>
          <t>GATA binding protein 5</t>
        </is>
      </c>
      <c r="AG704" t="inlineStr">
        <is>
          <t xml:space="preserve">FUNCTION: Transcription factor required during cardiovascular development (PubMed:23289003). Plays an important role in the transcriptional program(s) that underlies smooth muscle cell diversity (By similarity). Binds to the functionally important CEF-1 nuclear protein binding site in the cardiac-specific slow/cardiac troponin C transcriptional enhancer (PubMed:25543888). {ECO:0000250|UniProtKB:P97489, ECO:0000269|PubMed:23289003, ECO:0000269|PubMed:25543888}.; </t>
        </is>
      </c>
      <c r="AH704" t="inlineStr">
        <is>
          <t xml:space="preserve">DISEASE: Note=Rare variants in GATA5 may be a cause of susceptibility to atrial fibrillation, a common sustained cardiac rhythm disturbance. Atrial fibrillation is characterized by disorganized atrial electrical activity and ineffective atrial contraction promoting blood stasis in the atria and reduces ventricular filling. It can result in palpitations, syncope, thromboembolic stroke, and congestive heart failure. {ECO:0000269|PubMed:22483626, ECO:0000269|PubMed:23175127, ECO:0000269|PubMed:23295592}.; DISEASE: Note=Rare variants in GATA5 may be a cause of susceptibility to Tetraology of Fallot (TOF) [MIM:187500]. TOF is a congenital heart anomaly which consists of pulmonary stenosis, ventricular septal defect, dextroposition of the aorta (aorta is on the right side instead of the left) and hypertrophy of the right ventricle. In this condition, blood from both ventricles (oxygen-rich and oxygen-poor) is pumped into the body often causing cyanosis. {ECO:0000269|PubMed:23289003, ECO:0000269|PubMed:24573614}.; DISEASE: Note=Rare variants in GATA5 may be a cause of susceptibility to ventriculoseptal defect (VSD). VSD is a congenital heart disease which may lead to cardiac enlargement, ventricular dysfunction or heart failure, poor quality of life, pulmonary hypertension, Eisenmenger's syndrome, delayed fetal brain development, arrhythmias, and even sudden cardiac death in the absence of surgical treatment or transcatheter repair. {ECO:0000269|PubMed:22961344}.; DISEASE: Note=Rare variants in GATA5 may be a cause of susceptibility to aortic valve disease (AOVD). AOVD is a common defect in the aortic valve in which two rather than three leaflets are present. It is often associated with aortic valve calcification, stenosis and insufficiency. In extreme cases, the blood flow may be so restricted that the left ventricle fails to grow, resulting in hypoplastic left heart syndrome. {ECO:0000269|PubMed:24638895}.; DISEASE: Note=Rare variants in GATA5 may be a cause of susceptibility to dilated cardiomyopathy (CMD). CMD is a disorder characterized by ventricular dilation and impaired systolic function, resulting in congestive heart failure and arrhythmia. Patients are at risk of premature death. {ECO:0000269|PubMed:22641149, ECO:0000269|PubMed:25543888}.; </t>
        </is>
      </c>
      <c r="AI704" t="inlineStr">
        <is>
          <t>.</t>
        </is>
      </c>
      <c r="AJ704" t="inlineStr">
        <is>
          <t>.</t>
        </is>
      </c>
      <c r="AK704" t="inlineStr">
        <is>
          <t>.</t>
        </is>
      </c>
      <c r="AL704" t="inlineStr">
        <is>
          <t>.</t>
        </is>
      </c>
    </row>
    <row r="705">
      <c r="A705" t="inlineStr"/>
      <c r="B705">
        <f>HYPERLINK("https://genome.ucsc.edu/cgi-bin/hgTracks?db=hg19&amp;position=chr20%3A61288317%2D61288317", "chr20:61288317")</f>
        <v/>
      </c>
      <c r="C705" t="inlineStr">
        <is>
          <t>chr20</t>
        </is>
      </c>
      <c r="D705" t="n">
        <v>61288317</v>
      </c>
      <c r="E705" t="n">
        <v>61288317</v>
      </c>
      <c r="F705" t="inlineStr">
        <is>
          <t>C</t>
        </is>
      </c>
      <c r="G705" t="inlineStr">
        <is>
          <t>T</t>
        </is>
      </c>
      <c r="H705" t="inlineStr">
        <is>
          <t>1008.64</t>
        </is>
      </c>
      <c r="I705" t="inlineStr">
        <is>
          <t>139</t>
        </is>
      </c>
      <c r="J705" t="inlineStr">
        <is>
          <t>91,48</t>
        </is>
      </c>
      <c r="K705" t="inlineStr">
        <is>
          <t>.</t>
        </is>
      </c>
      <c r="L705">
        <f>HYPERLINK("https://www.ncbi.nlm.nih.gov/snp/rs769542474", "rs769542474")</f>
        <v/>
      </c>
      <c r="M705">
        <f>HYPERLINK("https://www.genecards.org/Search/Keyword?queryString=%5Baliases%5D(%20SLCO4A1%20)&amp;keywords=SLCO4A1", "SLCO4A1")</f>
        <v/>
      </c>
      <c r="N705" t="inlineStr">
        <is>
          <t>exonic</t>
        </is>
      </c>
      <c r="O705" t="inlineStr">
        <is>
          <t>nonsynonymous SNV</t>
        </is>
      </c>
      <c r="P705" t="inlineStr">
        <is>
          <t>SLCO4A1:NM_016354:exon2:c.C511T:p.R171C;SLCO4A1:uc002ydb.1:exon2:c.C511T:p.R171C;SLCO4A1:ENST00000370507.5_3:exon1:c.C511T:p.R171C,SLCO4A1:ENST00000217159.6_4:exon2:c.C511T:p.R171C</t>
        </is>
      </c>
      <c r="Q705" t="n">
        <v>0.0001</v>
      </c>
      <c r="R705" t="n">
        <v>0.0002</v>
      </c>
      <c r="S705" t="n">
        <v>0.0003</v>
      </c>
      <c r="T705" t="n">
        <v>-1</v>
      </c>
      <c r="U705" t="n">
        <v>0.0004</v>
      </c>
      <c r="V705" t="inlineStr">
        <is>
          <t>8/11</t>
        </is>
      </c>
      <c r="W705" t="inlineStr">
        <is>
          <t>.</t>
        </is>
      </c>
      <c r="X705" t="inlineStr">
        <is>
          <t>.</t>
        </is>
      </c>
      <c r="Y705" t="inlineStr">
        <is>
          <t>.</t>
        </is>
      </c>
      <c r="Z705" t="inlineStr">
        <is>
          <t>1/7</t>
        </is>
      </c>
      <c r="AA705" t="inlineStr">
        <is>
          <t>Uncertain significance</t>
        </is>
      </c>
      <c r="AB705" t="inlineStr">
        <is>
          <t>.</t>
        </is>
      </c>
      <c r="AC705" t="inlineStr">
        <is>
          <t>0/1</t>
        </is>
      </c>
      <c r="AD705" t="inlineStr">
        <is>
          <t>1</t>
        </is>
      </c>
      <c r="AE705" t="inlineStr">
        <is>
          <t>5.34100932440508e-07</t>
        </is>
      </c>
      <c r="AF705" t="inlineStr">
        <is>
          <t>solute carrier organic anion transporter family member 4A1</t>
        </is>
      </c>
      <c r="AG705" t="inlineStr">
        <is>
          <t xml:space="preserve">FUNCTION: Mediates the Na(+)-independent transport of organic anions such as the thyroid hormones T3 (triiodo-L-thyronine), T4 (thyroxine) and rT3, and of estrone-3-sulfate and taurocholate.; </t>
        </is>
      </c>
      <c r="AH705" t="inlineStr">
        <is>
          <t>.</t>
        </is>
      </c>
      <c r="AI705" t="inlineStr">
        <is>
          <t>.</t>
        </is>
      </c>
      <c r="AJ705" t="inlineStr">
        <is>
          <t>.</t>
        </is>
      </c>
      <c r="AK705" t="inlineStr">
        <is>
          <t>.</t>
        </is>
      </c>
      <c r="AL705" t="inlineStr">
        <is>
          <t>.</t>
        </is>
      </c>
    </row>
    <row r="706">
      <c r="A706" t="inlineStr"/>
      <c r="B706">
        <f>HYPERLINK("https://genome.ucsc.edu/cgi-bin/hgTracks?db=hg19&amp;position=chr20%3A61538852%2D61538852", "chr20:61538852")</f>
        <v/>
      </c>
      <c r="C706" t="inlineStr">
        <is>
          <t>chr20</t>
        </is>
      </c>
      <c r="D706" t="n">
        <v>61538852</v>
      </c>
      <c r="E706" t="n">
        <v>61538852</v>
      </c>
      <c r="F706" t="inlineStr">
        <is>
          <t>A</t>
        </is>
      </c>
      <c r="G706" t="inlineStr">
        <is>
          <t>C</t>
        </is>
      </c>
      <c r="H706" t="inlineStr">
        <is>
          <t>43.64</t>
        </is>
      </c>
      <c r="I706" t="inlineStr">
        <is>
          <t>8</t>
        </is>
      </c>
      <c r="J706" t="inlineStr">
        <is>
          <t>6,2</t>
        </is>
      </c>
      <c r="K706" t="inlineStr">
        <is>
          <t>.</t>
        </is>
      </c>
      <c r="L706" t="inlineStr">
        <is>
          <t>.</t>
        </is>
      </c>
      <c r="M706">
        <f>HYPERLINK("https://www.genecards.org/Search/Keyword?queryString=%5Baliases%5D(%20DIDO1%20)&amp;keywords=DIDO1", "DIDO1")</f>
        <v/>
      </c>
      <c r="N706" t="inlineStr">
        <is>
          <t>intronic</t>
        </is>
      </c>
      <c r="O706" t="inlineStr">
        <is>
          <t>.</t>
        </is>
      </c>
      <c r="P706" t="inlineStr">
        <is>
          <t>.</t>
        </is>
      </c>
      <c r="Q706" t="n">
        <v>-1</v>
      </c>
      <c r="R706" t="n">
        <v>-1</v>
      </c>
      <c r="S706" t="n">
        <v>-1</v>
      </c>
      <c r="T706" t="n">
        <v>-1</v>
      </c>
      <c r="U706" t="n">
        <v>-1</v>
      </c>
      <c r="V706" t="inlineStr">
        <is>
          <t>.</t>
        </is>
      </c>
      <c r="W706" t="inlineStr">
        <is>
          <t>.</t>
        </is>
      </c>
      <c r="X706" t="inlineStr">
        <is>
          <t>D</t>
        </is>
      </c>
      <c r="Y706" t="inlineStr">
        <is>
          <t>off</t>
        </is>
      </c>
      <c r="Z706" t="inlineStr">
        <is>
          <t>.</t>
        </is>
      </c>
      <c r="AA706" t="inlineStr">
        <is>
          <t>.</t>
        </is>
      </c>
      <c r="AB706" t="inlineStr">
        <is>
          <t>.</t>
        </is>
      </c>
      <c r="AC706" t="inlineStr">
        <is>
          <t>0/1</t>
        </is>
      </c>
      <c r="AD706" t="inlineStr">
        <is>
          <t>1</t>
        </is>
      </c>
      <c r="AE706" t="inlineStr">
        <is>
          <t>0.99999076875449</t>
        </is>
      </c>
      <c r="AF706" t="inlineStr">
        <is>
          <t>death inducer-obliterator 1</t>
        </is>
      </c>
      <c r="AG706" t="inlineStr">
        <is>
          <t xml:space="preserve">FUNCTION: Putative transcription factor, weakly pro-apoptotic when overexpressed (By similarity). Tumor suppressor. Required for early embryonic stem cell development. {ECO:0000250, ECO:0000269|PubMed:16127461}.; </t>
        </is>
      </c>
      <c r="AH706" t="inlineStr">
        <is>
          <t>.</t>
        </is>
      </c>
      <c r="AI706" t="inlineStr">
        <is>
          <t>.</t>
        </is>
      </c>
      <c r="AJ706" t="inlineStr">
        <is>
          <t>.</t>
        </is>
      </c>
      <c r="AK706" t="inlineStr">
        <is>
          <t>.</t>
        </is>
      </c>
      <c r="AL706" t="inlineStr">
        <is>
          <t>.</t>
        </is>
      </c>
    </row>
    <row r="707">
      <c r="A707" t="inlineStr"/>
      <c r="B707">
        <f>HYPERLINK("https://genome.ucsc.edu/cgi-bin/hgTracks?db=hg19&amp;position=chr20%3A61637432%2D61637432", "chr20:61637432")</f>
        <v/>
      </c>
      <c r="C707" t="inlineStr">
        <is>
          <t>chr20</t>
        </is>
      </c>
      <c r="D707" t="n">
        <v>61637432</v>
      </c>
      <c r="E707" t="n">
        <v>61637432</v>
      </c>
      <c r="F707" t="inlineStr">
        <is>
          <t>G</t>
        </is>
      </c>
      <c r="G707" t="inlineStr">
        <is>
          <t>A</t>
        </is>
      </c>
      <c r="H707" t="inlineStr">
        <is>
          <t>664.64</t>
        </is>
      </c>
      <c r="I707" t="inlineStr">
        <is>
          <t>59</t>
        </is>
      </c>
      <c r="J707" t="inlineStr">
        <is>
          <t>32,27</t>
        </is>
      </c>
      <c r="K707" t="inlineStr">
        <is>
          <t>.</t>
        </is>
      </c>
      <c r="L707">
        <f>HYPERLINK("https://www.ncbi.nlm.nih.gov/snp/rs116367068", "rs116367068")</f>
        <v/>
      </c>
      <c r="M707">
        <f>HYPERLINK("https://www.genecards.org/Search/Keyword?queryString=%5Baliases%5D(%20BHLHE23%20)&amp;keywords=BHLHE23", "BHLHE23")</f>
        <v/>
      </c>
      <c r="N707" t="inlineStr">
        <is>
          <t>exonic</t>
        </is>
      </c>
      <c r="O707" t="inlineStr">
        <is>
          <t>nonsynonymous SNV</t>
        </is>
      </c>
      <c r="P707" t="inlineStr">
        <is>
          <t>BHLHE23:NM_080606:exon1:c.C695T:p.A232V;BHLHE23:uc002yeb.2:exon1:c.C647T:p.A216V;BHLHE23:ENST00000370346.2_7:exon1:c.C647T:p.A216V,BHLHE23:ENST00000612929.2_9:exon1:c.C695T:p.A232V</t>
        </is>
      </c>
      <c r="Q707" t="n">
        <v>0.0217</v>
      </c>
      <c r="R707" t="n">
        <v>0.0215</v>
      </c>
      <c r="S707" t="n">
        <v>0.0213</v>
      </c>
      <c r="T707" t="n">
        <v>-1</v>
      </c>
      <c r="U707" t="n">
        <v>0.0202</v>
      </c>
      <c r="V707" t="inlineStr">
        <is>
          <t>6/9</t>
        </is>
      </c>
      <c r="W707" t="inlineStr">
        <is>
          <t>.</t>
        </is>
      </c>
      <c r="X707" t="inlineStr">
        <is>
          <t>.</t>
        </is>
      </c>
      <c r="Y707" t="inlineStr">
        <is>
          <t>.</t>
        </is>
      </c>
      <c r="Z707" t="inlineStr">
        <is>
          <t>0/7</t>
        </is>
      </c>
      <c r="AA707" t="inlineStr">
        <is>
          <t>Uncertain significance</t>
        </is>
      </c>
      <c r="AB707" t="inlineStr">
        <is>
          <t>.</t>
        </is>
      </c>
      <c r="AC707" t="inlineStr">
        <is>
          <t>0/1</t>
        </is>
      </c>
      <c r="AD707" t="inlineStr">
        <is>
          <t>1</t>
        </is>
      </c>
      <c r="AE707" t="inlineStr">
        <is>
          <t>0.0601229173842303</t>
        </is>
      </c>
      <c r="AF707" t="inlineStr">
        <is>
          <t>basic helix-loop-helix family member e23</t>
        </is>
      </c>
      <c r="AG707" t="inlineStr">
        <is>
          <t xml:space="preserve">FUNCTION: May function as transcriptional repressor. May modulate the expression of genes required for the differentiation and/or maintenance of pancreatic and neuronal cell types. May be important for rod bipolar cell maturation (By similarity). {ECO:0000250}.; </t>
        </is>
      </c>
      <c r="AH707" t="inlineStr">
        <is>
          <t>.</t>
        </is>
      </c>
      <c r="AI707" t="inlineStr">
        <is>
          <t>.</t>
        </is>
      </c>
      <c r="AJ707" t="inlineStr">
        <is>
          <t>.</t>
        </is>
      </c>
      <c r="AK707" t="inlineStr">
        <is>
          <t>.</t>
        </is>
      </c>
      <c r="AL707" t="inlineStr">
        <is>
          <t>.</t>
        </is>
      </c>
    </row>
    <row r="708">
      <c r="A708" t="inlineStr"/>
      <c r="B708">
        <f>HYPERLINK("https://genome.ucsc.edu/cgi-bin/hgTracks?db=hg19&amp;position=chr20%3A61870682%2D61870682", "chr20:61870682")</f>
        <v/>
      </c>
      <c r="C708" t="inlineStr">
        <is>
          <t>chr20</t>
        </is>
      </c>
      <c r="D708" t="n">
        <v>61870682</v>
      </c>
      <c r="E708" t="n">
        <v>61870682</v>
      </c>
      <c r="F708" t="inlineStr">
        <is>
          <t>G</t>
        </is>
      </c>
      <c r="G708" t="inlineStr">
        <is>
          <t>A</t>
        </is>
      </c>
      <c r="H708" t="inlineStr">
        <is>
          <t>1362.64</t>
        </is>
      </c>
      <c r="I708" t="inlineStr">
        <is>
          <t>68</t>
        </is>
      </c>
      <c r="J708" t="inlineStr">
        <is>
          <t>21,47</t>
        </is>
      </c>
      <c r="K708" t="inlineStr">
        <is>
          <t>.</t>
        </is>
      </c>
      <c r="L708">
        <f>HYPERLINK("https://www.ncbi.nlm.nih.gov/snp/rs193196289", "rs193196289")</f>
        <v/>
      </c>
      <c r="M708">
        <f>HYPERLINK("https://www.genecards.org/Search/Keyword?queryString=%5Baliases%5D(%20BIRC7%20)&amp;keywords=BIRC7", "BIRC7")</f>
        <v/>
      </c>
      <c r="N708" t="inlineStr">
        <is>
          <t>UTR3;intronic</t>
        </is>
      </c>
      <c r="O708" t="inlineStr">
        <is>
          <t>.</t>
        </is>
      </c>
      <c r="P708" t="inlineStr">
        <is>
          <t>uc010gkc.1:c.*71G&gt;A</t>
        </is>
      </c>
      <c r="Q708" t="n">
        <v>0.0144</v>
      </c>
      <c r="R708" t="n">
        <v>0.0144</v>
      </c>
      <c r="S708" t="n">
        <v>0.0157</v>
      </c>
      <c r="T708" t="n">
        <v>-1</v>
      </c>
      <c r="U708" t="n">
        <v>0.0168</v>
      </c>
      <c r="V708" t="inlineStr">
        <is>
          <t>.</t>
        </is>
      </c>
      <c r="W708" t="inlineStr">
        <is>
          <t>.</t>
        </is>
      </c>
      <c r="X708" t="inlineStr">
        <is>
          <t>PD</t>
        </is>
      </c>
      <c r="Y708" t="inlineStr">
        <is>
          <t>off</t>
        </is>
      </c>
      <c r="Z708" t="inlineStr">
        <is>
          <t>.</t>
        </is>
      </c>
      <c r="AA708" t="inlineStr">
        <is>
          <t>.</t>
        </is>
      </c>
      <c r="AB708" t="inlineStr">
        <is>
          <t>.</t>
        </is>
      </c>
      <c r="AC708" t="inlineStr">
        <is>
          <t>0/1</t>
        </is>
      </c>
      <c r="AD708" t="inlineStr">
        <is>
          <t>1</t>
        </is>
      </c>
      <c r="AE708" t="inlineStr">
        <is>
          <t>0.00380290601773512</t>
        </is>
      </c>
      <c r="AF708" t="inlineStr">
        <is>
          <t>baculoviral IAP repeat containing 7</t>
        </is>
      </c>
      <c r="AG708" t="inlineStr">
        <is>
          <t xml:space="preserve">FUNCTION: Apoptotic regulator capable of exerting proapoptotic and anti-apoptotic activities and plays crucial roles in apoptosis, cell proliferation, and cell cycle control. Its anti-apoptotic activity is mediated through the inhibition of CASP3, CASP7 and CASP9, as well as by its E3 ubiquitin-protein ligase activity. As it is a weak caspase inhibitor, its anti-apoptotic activity is thought to be due to its ability to ubiquitinate DIABLO/SMAC targeting it for degradation thereby promoting cell survival. May contribute to caspase inhibition, by blocking the ability of DIABLO/SMAC to disrupt XIAP/BIRC4-caspase interactions. Protects against apoptosis induced by TNF or by chemical agents such as adriamycin, etoposide or staurosporine. Suppression of apoptosis is mediated by activation of MAPK8/JNK1, and possibly also of MAPK9/JNK2. This activation depends on TAB1 and NR2C2/TAK1. In vitro, inhibits CASP3 and proteolytic activation of pro-CASP9. Isoform 1 blocks staurosporine-induced apoptosis. Isoform 2 blocks etoposide-induced apoptosis. Isoform 2 protects against natural killer (NK) cell killing whereas isoform 1 augments killing. {ECO:0000269|PubMed:11084335, ECO:0000269|PubMed:16729033, ECO:0000269|PubMed:17294084, ECO:0000269|PubMed:18034418}.; </t>
        </is>
      </c>
      <c r="AH708" t="inlineStr">
        <is>
          <t>.</t>
        </is>
      </c>
      <c r="AI708" t="inlineStr">
        <is>
          <t>.</t>
        </is>
      </c>
      <c r="AJ708" t="inlineStr">
        <is>
          <t>.</t>
        </is>
      </c>
      <c r="AK708" t="inlineStr">
        <is>
          <t>.</t>
        </is>
      </c>
      <c r="AL708" t="inlineStr">
        <is>
          <t>.</t>
        </is>
      </c>
    </row>
    <row r="709">
      <c r="A709" t="inlineStr"/>
      <c r="B709">
        <f>HYPERLINK("https://genome.ucsc.edu/cgi-bin/hgTracks?db=hg19&amp;position=chr20%3A61959758%2D61959758", "chr20:61959758")</f>
        <v/>
      </c>
      <c r="C709" t="inlineStr">
        <is>
          <t>chr20</t>
        </is>
      </c>
      <c r="D709" t="n">
        <v>61959758</v>
      </c>
      <c r="E709" t="n">
        <v>61959758</v>
      </c>
      <c r="F709" t="inlineStr">
        <is>
          <t>C</t>
        </is>
      </c>
      <c r="G709" t="inlineStr">
        <is>
          <t>T</t>
        </is>
      </c>
      <c r="H709" t="inlineStr">
        <is>
          <t>2047.64</t>
        </is>
      </c>
      <c r="I709" t="inlineStr">
        <is>
          <t>119</t>
        </is>
      </c>
      <c r="J709" t="inlineStr">
        <is>
          <t>43,76</t>
        </is>
      </c>
      <c r="K709" t="inlineStr">
        <is>
          <t>.</t>
        </is>
      </c>
      <c r="L709">
        <f>HYPERLINK("https://www.ncbi.nlm.nih.gov/snp/rs115749294", "rs115749294")</f>
        <v/>
      </c>
      <c r="M709">
        <f>HYPERLINK("https://www.genecards.org/Search/Keyword?queryString=%5Baliases%5D(%20COL20A1%20)&amp;keywords=COL20A1", "COL20A1")</f>
        <v/>
      </c>
      <c r="N709" t="inlineStr">
        <is>
          <t>exonic</t>
        </is>
      </c>
      <c r="O709" t="inlineStr">
        <is>
          <t>nonsynonymous SNV</t>
        </is>
      </c>
      <c r="P709" t="inlineStr">
        <is>
          <t>COL20A1:NM_020882:exon34:c.C3689T:p.P1230L;COL20A1:uc011aav.2:exon30:c.C3170T:p.P1057L,COL20A1:uc011aau.2:exon34:c.C3689T:p.P1230L;COL20A1:ENST00000422202.5_1:exon33:c.C3728T:p.P1243L,COL20A1:ENST00000358894.11_5:exon34:c.C3689T:p.P1230L</t>
        </is>
      </c>
      <c r="Q709" t="n">
        <v>0.0281</v>
      </c>
      <c r="R709" t="n">
        <v>0.0283</v>
      </c>
      <c r="S709" t="n">
        <v>0.0249</v>
      </c>
      <c r="T709" t="n">
        <v>-1</v>
      </c>
      <c r="U709" t="n">
        <v>0.0242</v>
      </c>
      <c r="V709" t="inlineStr">
        <is>
          <t>3/10</t>
        </is>
      </c>
      <c r="W709" t="inlineStr">
        <is>
          <t>.</t>
        </is>
      </c>
      <c r="X709" t="inlineStr">
        <is>
          <t>.</t>
        </is>
      </c>
      <c r="Y709" t="inlineStr">
        <is>
          <t>.</t>
        </is>
      </c>
      <c r="Z709" t="inlineStr">
        <is>
          <t>0/7</t>
        </is>
      </c>
      <c r="AA709" t="inlineStr">
        <is>
          <t>Likely benign</t>
        </is>
      </c>
      <c r="AB709" t="inlineStr">
        <is>
          <t>.</t>
        </is>
      </c>
      <c r="AC709" t="inlineStr">
        <is>
          <t>0/1</t>
        </is>
      </c>
      <c r="AD709" t="inlineStr">
        <is>
          <t>1</t>
        </is>
      </c>
      <c r="AE709" t="inlineStr">
        <is>
          <t>1.26872087443005e-24</t>
        </is>
      </c>
      <c r="AF709" t="inlineStr">
        <is>
          <t>collagen type XX alpha 1</t>
        </is>
      </c>
      <c r="AG709" t="inlineStr">
        <is>
          <t xml:space="preserve">FUNCTION: Probable collagen protein.; </t>
        </is>
      </c>
      <c r="AH709" t="inlineStr">
        <is>
          <t>.</t>
        </is>
      </c>
      <c r="AI709" t="inlineStr">
        <is>
          <t>.</t>
        </is>
      </c>
      <c r="AJ709" t="inlineStr">
        <is>
          <t>.</t>
        </is>
      </c>
      <c r="AK709" t="inlineStr">
        <is>
          <t>.</t>
        </is>
      </c>
      <c r="AL709" t="inlineStr">
        <is>
          <t>.</t>
        </is>
      </c>
    </row>
    <row r="710">
      <c r="A710" t="inlineStr"/>
      <c r="B710">
        <f>HYPERLINK("https://genome.ucsc.edu/cgi-bin/hgTracks?db=hg19&amp;position=chr20%3A62323302%2D62323302", "chr20:62323302")</f>
        <v/>
      </c>
      <c r="C710" t="inlineStr">
        <is>
          <t>chr20</t>
        </is>
      </c>
      <c r="D710" t="n">
        <v>62323302</v>
      </c>
      <c r="E710" t="n">
        <v>62323302</v>
      </c>
      <c r="F710" t="inlineStr">
        <is>
          <t>-</t>
        </is>
      </c>
      <c r="G710" t="inlineStr">
        <is>
          <t>GG</t>
        </is>
      </c>
      <c r="H710" t="inlineStr">
        <is>
          <t>48.60</t>
        </is>
      </c>
      <c r="I710" t="inlineStr">
        <is>
          <t>11</t>
        </is>
      </c>
      <c r="J710" t="inlineStr">
        <is>
          <t>9,2</t>
        </is>
      </c>
      <c r="K710" t="inlineStr">
        <is>
          <t>.</t>
        </is>
      </c>
      <c r="L710" t="inlineStr">
        <is>
          <t>.</t>
        </is>
      </c>
      <c r="M710">
        <f>HYPERLINK("https://www.genecards.org/Search/Keyword?queryString=%5Baliases%5D(%20RTEL1%20)%20OR%20%5Baliases%5D(%20RTEL1-TNFRSF6B%20)&amp;keywords=RTEL1,RTEL1-TNFRSF6B", "RTEL1;RTEL1-TNFRSF6B")</f>
        <v/>
      </c>
      <c r="N710" t="inlineStr">
        <is>
          <t>intronic;ncRNA_intronic</t>
        </is>
      </c>
      <c r="O710" t="inlineStr">
        <is>
          <t>.</t>
        </is>
      </c>
      <c r="P710" t="inlineStr">
        <is>
          <t>.</t>
        </is>
      </c>
      <c r="Q710" t="n">
        <v>-1</v>
      </c>
      <c r="R710" t="n">
        <v>-1</v>
      </c>
      <c r="S710" t="n">
        <v>-1</v>
      </c>
      <c r="T710" t="n">
        <v>-1</v>
      </c>
      <c r="U710" t="n">
        <v>-1</v>
      </c>
      <c r="V710" t="inlineStr">
        <is>
          <t>.</t>
        </is>
      </c>
      <c r="W710" t="inlineStr">
        <is>
          <t>.</t>
        </is>
      </c>
      <c r="X710" t="inlineStr">
        <is>
          <t>.</t>
        </is>
      </c>
      <c r="Y710" t="inlineStr">
        <is>
          <t>.</t>
        </is>
      </c>
      <c r="Z710" t="inlineStr">
        <is>
          <t>.</t>
        </is>
      </c>
      <c r="AA710" t="inlineStr">
        <is>
          <t>.</t>
        </is>
      </c>
      <c r="AB710" t="inlineStr">
        <is>
          <t>.</t>
        </is>
      </c>
      <c r="AC710" t="inlineStr">
        <is>
          <t>0/1</t>
        </is>
      </c>
      <c r="AD710" t="inlineStr">
        <is>
          <t>1;1</t>
        </is>
      </c>
      <c r="AE710" t="inlineStr">
        <is>
          <t>0.777758475451746</t>
        </is>
      </c>
      <c r="AF710" t="inlineStr">
        <is>
          <t>RTEL1-TNFRSF6B readthrough (NMD candidate);regulator of telomere elongation helicase 1</t>
        </is>
      </c>
      <c r="AG710" t="inlineStr">
        <is>
          <t xml:space="preserve">FUNCTION: ATP-dependent DNA helicase implicated in telomere-length regulation, DNA repair and the maintenance of genomic stability. Acts as an anti-recombinase to counteract toxic recombination and limit crossover during meiosis. Regulates meiotic recombination and crossover homeostasis by physically dissociating strand invasion events and thereby promotes noncrossover repair by meiotic synthesis dependent strand annealing (SDSA) as well as disassembly of D loop recombination intermediates. Also disassembles T loops and prevents telomere fragility by counteracting telomeric G4-DNA structures, which together ensure the dynamics and stability of the telomere. {ECO:0000255|HAMAP- Rule:MF_03065, ECO:0000269|PubMed:18957201, ECO:0000269|PubMed:23453664, ECO:0000269|PubMed:24009516}.; </t>
        </is>
      </c>
      <c r="AH710" t="inlineStr">
        <is>
          <t xml:space="preserve">DISEASE: Dyskeratosis congenita, autosomal recessive, 5 (DKCB5) [MIM:615190]: A form of dyskeratosis congenita, a rare multisystem disorder caused by defective telomere maintenance. It is characterized by progressive bone marrow failure, and the clinical triad of reticulated skin hyperpigmentation, nail dystrophy, and mucosal leukoplakia. Common but variable features include premature graying, aplastic anemia, low platelets, osteoporosis, pulmonary fibrosis, and liver fibrosis among others. Early mortality is often associated with bone marrow failure, infections, fatal pulmonary complications, or malignancy. DKCB5 is characterized by onset of bone marrow failure and immunodeficiency in early childhood. Most patients also have growth and developmental delay and cerebellar hypoplasia, consistent with a clinical diagnosis of Hoyeraal-Hreidarsson syndrome. {ECO:0000269|PubMed:23329068, ECO:0000269|PubMed:23453664, ECO:0000269|PubMed:23591994, ECO:0000269|PubMed:23959892, ECO:0000269|PubMed:24009516}. Note=The disease is caused by mutations affecting the gene represented in this entry. RTEL1 mutations have also been found in patients with a dyskeratosis congenita-like phenotype consisting of one feature of dyskeratosis congenita and short telomeres, in the absence of the typical DKC diagnostic triad (PubMed:23329068). {ECO:0000269|PubMed:23329068}.; DISEASE: Dyskeratosis congenita, autosomal dominant, 4 (DKCA4) [MIM:615190]: A rare multisystem disorder caused by defective telomere maintenance. It is characterized by progressive bone marrow failure, and the clinical triad of reticulated skin hyperpigmentation, nail dystrophy, and mucosal leukoplakia. Common but variable features include premature graying, aplastic anemia, low platelets, osteoporosis, pulmonary fibrosis, and liver fibrosis among others. Early mortality is often associated with bone marrow failure, infections, fatal pulmonary complications, or malignancy. {ECO:0000269|PubMed:23329068}. Note=The disease is caused by mutations affecting the gene represented in this entry.; DISEASE: Pulmonary fibrosis, and/or bone marrow failure, telomere- related, 3 (PFBMFT3) [MIM:616373]: A disease associated with shortened telomeres. Pulmonary fibrosis is the most common manifestation. Other manifestations include aplastic anemia due to bone marrow failure, hepatic fibrosis, and increased cancer risk, particularly myelodysplastic syndrome and acute myeloid leukemia. Phenotype, age at onset, and severity are determined by telomere length. {ECO:0000269|PubMed:25848748}. Note=The disease is caused by mutations affecting the gene represented in this entry.; </t>
        </is>
      </c>
      <c r="AI710" t="inlineStr">
        <is>
          <t>.</t>
        </is>
      </c>
      <c r="AJ710" t="inlineStr">
        <is>
          <t>.</t>
        </is>
      </c>
      <c r="AK710" t="inlineStr">
        <is>
          <t>.</t>
        </is>
      </c>
      <c r="AL710" t="inlineStr">
        <is>
          <t>.</t>
        </is>
      </c>
    </row>
    <row r="711">
      <c r="A711" t="inlineStr"/>
      <c r="B711">
        <f>HYPERLINK("https://genome.ucsc.edu/cgi-bin/hgTracks?db=hg19&amp;position=chr20%3A62365261%2D62365261", "chr20:62365261")</f>
        <v/>
      </c>
      <c r="C711" t="inlineStr">
        <is>
          <t>chr20</t>
        </is>
      </c>
      <c r="D711" t="n">
        <v>62365261</v>
      </c>
      <c r="E711" t="n">
        <v>62365261</v>
      </c>
      <c r="F711" t="inlineStr">
        <is>
          <t>G</t>
        </is>
      </c>
      <c r="G711" t="inlineStr">
        <is>
          <t>A</t>
        </is>
      </c>
      <c r="H711" t="inlineStr">
        <is>
          <t>144.64</t>
        </is>
      </c>
      <c r="I711" t="inlineStr">
        <is>
          <t>6</t>
        </is>
      </c>
      <c r="J711" t="inlineStr">
        <is>
          <t>2,4</t>
        </is>
      </c>
      <c r="K711" t="inlineStr">
        <is>
          <t>.</t>
        </is>
      </c>
      <c r="L711">
        <f>HYPERLINK("https://www.ncbi.nlm.nih.gov/snp/rs73319758", "rs73319758")</f>
        <v/>
      </c>
      <c r="M711">
        <f>HYPERLINK("https://www.genecards.org/Search/Keyword?queryString=%5Baliases%5D(%20ZGPAT%20)&amp;keywords=ZGPAT", "ZGPAT")</f>
        <v/>
      </c>
      <c r="N711" t="inlineStr">
        <is>
          <t>intronic</t>
        </is>
      </c>
      <c r="O711" t="inlineStr">
        <is>
          <t>.</t>
        </is>
      </c>
      <c r="P711" t="inlineStr">
        <is>
          <t>.</t>
        </is>
      </c>
      <c r="Q711" t="n">
        <v>0.0295</v>
      </c>
      <c r="R711" t="n">
        <v>0.0277</v>
      </c>
      <c r="S711" t="n">
        <v>0.0266</v>
      </c>
      <c r="T711" t="n">
        <v>-1</v>
      </c>
      <c r="U711" t="n">
        <v>0.0264</v>
      </c>
      <c r="V711" t="inlineStr">
        <is>
          <t>.</t>
        </is>
      </c>
      <c r="W711" t="inlineStr">
        <is>
          <t>.</t>
        </is>
      </c>
      <c r="X711" t="inlineStr">
        <is>
          <t>PD</t>
        </is>
      </c>
      <c r="Y711" t="inlineStr">
        <is>
          <t>off</t>
        </is>
      </c>
      <c r="Z711" t="inlineStr">
        <is>
          <t>.</t>
        </is>
      </c>
      <c r="AA711" t="inlineStr">
        <is>
          <t>.</t>
        </is>
      </c>
      <c r="AB711" t="inlineStr">
        <is>
          <t>.</t>
        </is>
      </c>
      <c r="AC711" t="inlineStr">
        <is>
          <t>0/1</t>
        </is>
      </c>
      <c r="AD711" t="inlineStr">
        <is>
          <t>1</t>
        </is>
      </c>
      <c r="AE711" t="inlineStr">
        <is>
          <t>2.80185523268214e-05</t>
        </is>
      </c>
      <c r="AF711" t="inlineStr">
        <is>
          <t>zinc finger CCCH-type and G-patch domain containing</t>
        </is>
      </c>
      <c r="AG711" t="inlineStr">
        <is>
          <t xml:space="preserve">FUNCTION: Transcription repressor that specifically binds the 5'- GGAG[GA]A[GA]A-3' consensus sequence. Represses transcription by recruiting the chromatin multiprotein complex NuRD to target promoters. Negatively regulates expression of EGFR, a gene involved in cell proliferation, survival and migration. Its ability to repress genes of the EGFR pathway suggest it may act as a tumor suppressor. Able to suppress breast carcinogenesis. {ECO:0000269|PubMed:19644445}.; </t>
        </is>
      </c>
      <c r="AH711" t="inlineStr">
        <is>
          <t>.</t>
        </is>
      </c>
      <c r="AI711" t="inlineStr">
        <is>
          <t>.</t>
        </is>
      </c>
      <c r="AJ711" t="inlineStr">
        <is>
          <t>.</t>
        </is>
      </c>
      <c r="AK711" t="inlineStr">
        <is>
          <t>.</t>
        </is>
      </c>
      <c r="AL711" t="inlineStr">
        <is>
          <t>.</t>
        </is>
      </c>
    </row>
    <row r="712">
      <c r="A712" t="inlineStr"/>
      <c r="B712">
        <f>HYPERLINK("https://genome.ucsc.edu/cgi-bin/hgTracks?db=hg19&amp;position=chr21%3A14743754%2D14743754", "chr21:14743754")</f>
        <v/>
      </c>
      <c r="C712" t="inlineStr">
        <is>
          <t>chr21</t>
        </is>
      </c>
      <c r="D712" t="n">
        <v>14743754</v>
      </c>
      <c r="E712" t="n">
        <v>14743754</v>
      </c>
      <c r="F712" t="inlineStr">
        <is>
          <t>C</t>
        </is>
      </c>
      <c r="G712" t="inlineStr">
        <is>
          <t>T</t>
        </is>
      </c>
      <c r="H712" t="inlineStr">
        <is>
          <t>1533.64</t>
        </is>
      </c>
      <c r="I712" t="inlineStr">
        <is>
          <t>81</t>
        </is>
      </c>
      <c r="J712" t="inlineStr">
        <is>
          <t>39,42</t>
        </is>
      </c>
      <c r="K712" t="inlineStr">
        <is>
          <t>.</t>
        </is>
      </c>
      <c r="L712">
        <f>HYPERLINK("https://www.ncbi.nlm.nih.gov/snp/rs74734987", "rs74734987")</f>
        <v/>
      </c>
      <c r="M712" t="inlineStr">
        <is>
          <t>.</t>
        </is>
      </c>
      <c r="N712" t="inlineStr">
        <is>
          <t>intergenic;splicing</t>
        </is>
      </c>
      <c r="O712" t="inlineStr">
        <is>
          <t>.</t>
        </is>
      </c>
      <c r="P712" t="inlineStr">
        <is>
          <t>dist=253183;dist=34951;dist=253183;dist=34951;ENST00000540061.1:exon3:c.118+1G&gt;A</t>
        </is>
      </c>
      <c r="Q712" t="n">
        <v>7.307e-05</v>
      </c>
      <c r="R712" t="n">
        <v>9.187999999999999e-05</v>
      </c>
      <c r="S712" t="n">
        <v>7.467e-05</v>
      </c>
      <c r="T712" t="n">
        <v>-1</v>
      </c>
      <c r="U712" t="n">
        <v>0.0002</v>
      </c>
      <c r="V712" t="inlineStr">
        <is>
          <t>.</t>
        </is>
      </c>
      <c r="W712" t="inlineStr">
        <is>
          <t>.</t>
        </is>
      </c>
      <c r="X712" t="inlineStr">
        <is>
          <t>PD</t>
        </is>
      </c>
      <c r="Y712" t="inlineStr">
        <is>
          <t>on</t>
        </is>
      </c>
      <c r="Z712" t="inlineStr">
        <is>
          <t>.</t>
        </is>
      </c>
      <c r="AA712" t="inlineStr">
        <is>
          <t>.</t>
        </is>
      </c>
      <c r="AB712" t="inlineStr">
        <is>
          <t>.</t>
        </is>
      </c>
      <c r="AC712" t="inlineStr">
        <is>
          <t>.</t>
        </is>
      </c>
      <c r="AD712" t="inlineStr">
        <is>
          <t>6</t>
        </is>
      </c>
      <c r="AE712" t="inlineStr">
        <is>
          <t>.</t>
        </is>
      </c>
      <c r="AF712" t="inlineStr">
        <is>
          <t>.</t>
        </is>
      </c>
      <c r="AG712" t="inlineStr">
        <is>
          <t>.</t>
        </is>
      </c>
      <c r="AH712" t="inlineStr">
        <is>
          <t>.</t>
        </is>
      </c>
      <c r="AI712" t="inlineStr">
        <is>
          <t>.</t>
        </is>
      </c>
      <c r="AJ712" t="inlineStr">
        <is>
          <t>.</t>
        </is>
      </c>
      <c r="AK712" t="inlineStr">
        <is>
          <t>.</t>
        </is>
      </c>
      <c r="AL712" t="inlineStr">
        <is>
          <t>.</t>
        </is>
      </c>
    </row>
    <row r="713">
      <c r="A713" t="inlineStr"/>
      <c r="B713">
        <f>HYPERLINK("https://genome.ucsc.edu/cgi-bin/hgTracks?db=hg19&amp;position=chr21%3A14743800%2D14743800", "chr21:14743800")</f>
        <v/>
      </c>
      <c r="C713" t="inlineStr">
        <is>
          <t>chr21</t>
        </is>
      </c>
      <c r="D713" t="n">
        <v>14743800</v>
      </c>
      <c r="E713" t="n">
        <v>14743800</v>
      </c>
      <c r="F713" t="inlineStr">
        <is>
          <t>A</t>
        </is>
      </c>
      <c r="G713" t="inlineStr">
        <is>
          <t>T</t>
        </is>
      </c>
      <c r="H713" t="inlineStr">
        <is>
          <t>1938.64</t>
        </is>
      </c>
      <c r="I713" t="inlineStr">
        <is>
          <t>115</t>
        </is>
      </c>
      <c r="J713" t="inlineStr">
        <is>
          <t>65,50</t>
        </is>
      </c>
      <c r="K713" t="inlineStr">
        <is>
          <t>.</t>
        </is>
      </c>
      <c r="L713">
        <f>HYPERLINK("https://www.ncbi.nlm.nih.gov/snp/rs796634144", "rs796634144")</f>
        <v/>
      </c>
      <c r="M713" t="inlineStr">
        <is>
          <t>.</t>
        </is>
      </c>
      <c r="N713" t="inlineStr">
        <is>
          <t>intergenic;intronic</t>
        </is>
      </c>
      <c r="O713" t="inlineStr">
        <is>
          <t>.</t>
        </is>
      </c>
      <c r="P713" t="inlineStr">
        <is>
          <t>dist=253229;dist=34905;dist=253229;dist=34905</t>
        </is>
      </c>
      <c r="Q713" t="n">
        <v>0.0001</v>
      </c>
      <c r="R713" t="n">
        <v>0.0001</v>
      </c>
      <c r="S713" t="n">
        <v>-1</v>
      </c>
      <c r="T713" t="n">
        <v>-1</v>
      </c>
      <c r="U713" t="n">
        <v>-1</v>
      </c>
      <c r="V713" t="inlineStr">
        <is>
          <t>.</t>
        </is>
      </c>
      <c r="W713" t="inlineStr">
        <is>
          <t>.</t>
        </is>
      </c>
      <c r="X713" t="inlineStr">
        <is>
          <t>PD</t>
        </is>
      </c>
      <c r="Y713" t="inlineStr">
        <is>
          <t>off</t>
        </is>
      </c>
      <c r="Z713" t="inlineStr">
        <is>
          <t>.</t>
        </is>
      </c>
      <c r="AA713" t="inlineStr">
        <is>
          <t>.</t>
        </is>
      </c>
      <c r="AB713" t="inlineStr">
        <is>
          <t>.</t>
        </is>
      </c>
      <c r="AC713" t="inlineStr">
        <is>
          <t>0/1</t>
        </is>
      </c>
      <c r="AD713" t="inlineStr">
        <is>
          <t>6</t>
        </is>
      </c>
      <c r="AE713" t="inlineStr">
        <is>
          <t>.</t>
        </is>
      </c>
      <c r="AF713" t="inlineStr">
        <is>
          <t>.</t>
        </is>
      </c>
      <c r="AG713" t="inlineStr">
        <is>
          <t>.</t>
        </is>
      </c>
      <c r="AH713" t="inlineStr">
        <is>
          <t>.</t>
        </is>
      </c>
      <c r="AI713" t="inlineStr">
        <is>
          <t>GenotypeConflict</t>
        </is>
      </c>
      <c r="AJ713" t="inlineStr">
        <is>
          <t>.</t>
        </is>
      </c>
      <c r="AK713" t="inlineStr">
        <is>
          <t>.</t>
        </is>
      </c>
      <c r="AL713" t="inlineStr">
        <is>
          <t>.</t>
        </is>
      </c>
    </row>
    <row r="714">
      <c r="A714" t="inlineStr"/>
      <c r="B714">
        <f>HYPERLINK("https://genome.ucsc.edu/cgi-bin/hgTracks?db=hg19&amp;position=chr21%3A30354672%2D30354672", "chr21:30354672")</f>
        <v/>
      </c>
      <c r="C714" t="inlineStr">
        <is>
          <t>chr21</t>
        </is>
      </c>
      <c r="D714" t="n">
        <v>30354672</v>
      </c>
      <c r="E714" t="n">
        <v>30354672</v>
      </c>
      <c r="F714" t="inlineStr">
        <is>
          <t>T</t>
        </is>
      </c>
      <c r="G714" t="inlineStr">
        <is>
          <t>-</t>
        </is>
      </c>
      <c r="H714" t="inlineStr">
        <is>
          <t>931.60</t>
        </is>
      </c>
      <c r="I714" t="inlineStr">
        <is>
          <t>172</t>
        </is>
      </c>
      <c r="J714" t="inlineStr">
        <is>
          <t>136,36</t>
        </is>
      </c>
      <c r="K714" t="inlineStr">
        <is>
          <t>.</t>
        </is>
      </c>
      <c r="L714" t="inlineStr">
        <is>
          <t>.</t>
        </is>
      </c>
      <c r="M714">
        <f>HYPERLINK("https://www.genecards.org/Search/Keyword?queryString=%5Baliases%5D(%20LTN1%20)&amp;keywords=LTN1", "LTN1")</f>
        <v/>
      </c>
      <c r="N714" t="inlineStr">
        <is>
          <t>exonic</t>
        </is>
      </c>
      <c r="O714" t="inlineStr">
        <is>
          <t>stopgain</t>
        </is>
      </c>
      <c r="P714" t="inlineStr">
        <is>
          <t>LTN1:NM_001320766:exon5:c.595delA:p.I199*,LTN1:NM_015565:exon5:c.595delA:p.I199*;LTN1:uc002ymr.2:exon5:c.733delA:p.I245*;LTN1:ENST00000361371.10_9:exon5:c.595delA:p.I199*,LTN1:ENST00000389194.7_8:exon5:c.595delA:p.I199*,LTN1:ENST00000389195.7_4:exon5:c.595delA:p.I199*,LTN1:ENST00000614971.4_7:exon5:c.733delA:p.I245*</t>
        </is>
      </c>
      <c r="Q714" t="n">
        <v>-1</v>
      </c>
      <c r="R714" t="n">
        <v>-1</v>
      </c>
      <c r="S714" t="n">
        <v>-1</v>
      </c>
      <c r="T714" t="n">
        <v>-1</v>
      </c>
      <c r="U714" t="n">
        <v>-1</v>
      </c>
      <c r="V714" t="inlineStr">
        <is>
          <t>.</t>
        </is>
      </c>
      <c r="W714" t="inlineStr">
        <is>
          <t>.</t>
        </is>
      </c>
      <c r="X714" t="inlineStr">
        <is>
          <t>.</t>
        </is>
      </c>
      <c r="Y714" t="inlineStr">
        <is>
          <t>.</t>
        </is>
      </c>
      <c r="Z714" t="inlineStr">
        <is>
          <t>.</t>
        </is>
      </c>
      <c r="AA714" t="inlineStr">
        <is>
          <t>.</t>
        </is>
      </c>
      <c r="AB714" t="inlineStr">
        <is>
          <t>.</t>
        </is>
      </c>
      <c r="AC714" t="inlineStr">
        <is>
          <t>0/1</t>
        </is>
      </c>
      <c r="AD714" t="inlineStr">
        <is>
          <t>1</t>
        </is>
      </c>
      <c r="AE714" t="inlineStr">
        <is>
          <t>0.832714009845553</t>
        </is>
      </c>
      <c r="AF714" t="inlineStr">
        <is>
          <t>listerin E3 ubiquitin protein ligase 1</t>
        </is>
      </c>
      <c r="AG714" t="inlineStr">
        <is>
          <t xml:space="preserve">FUNCTION: E3 ubiquitin-protein ligase component of the ribosome quality control complex (RQC), a ribosome-associated complex that mediates ubiquitination and extraction of incompletely synthesized nascent chains for proteasomal degradation (PubMed:23685075, PubMed:25132172, PubMed:25578875). Ubiquitination leads to VCP/p97 recruitment for extraction and degradation of the incomplete translation product (By similarity). {ECO:0000250|UniProtKB:Q04781, ECO:0000269|PubMed:23685075, ECO:0000269|PubMed:25132172, ECO:0000269|PubMed:25578875}.; </t>
        </is>
      </c>
      <c r="AH714" t="inlineStr">
        <is>
          <t>.</t>
        </is>
      </c>
      <c r="AI714" t="inlineStr">
        <is>
          <t>.</t>
        </is>
      </c>
      <c r="AJ714" t="inlineStr">
        <is>
          <t>.</t>
        </is>
      </c>
      <c r="AK714" t="inlineStr">
        <is>
          <t>.</t>
        </is>
      </c>
      <c r="AL714" t="inlineStr">
        <is>
          <t>.</t>
        </is>
      </c>
    </row>
    <row r="715">
      <c r="A715" t="inlineStr"/>
      <c r="B715">
        <f>HYPERLINK("https://genome.ucsc.edu/cgi-bin/hgTracks?db=hg19&amp;position=chr21%3A31864115%2D31864115", "chr21:31864115")</f>
        <v/>
      </c>
      <c r="C715" t="inlineStr">
        <is>
          <t>chr21</t>
        </is>
      </c>
      <c r="D715" t="n">
        <v>31864115</v>
      </c>
      <c r="E715" t="n">
        <v>31864115</v>
      </c>
      <c r="F715" t="inlineStr">
        <is>
          <t>C</t>
        </is>
      </c>
      <c r="G715" t="inlineStr">
        <is>
          <t>-</t>
        </is>
      </c>
      <c r="H715" t="inlineStr">
        <is>
          <t>3854.60</t>
        </is>
      </c>
      <c r="I715" t="inlineStr">
        <is>
          <t>195</t>
        </is>
      </c>
      <c r="J715" t="inlineStr">
        <is>
          <t>76,119</t>
        </is>
      </c>
      <c r="K715" t="inlineStr">
        <is>
          <t>.</t>
        </is>
      </c>
      <c r="L715">
        <f>HYPERLINK("https://www.ncbi.nlm.nih.gov/snp/rs774875471", "rs774875471")</f>
        <v/>
      </c>
      <c r="M715">
        <f>HYPERLINK("https://www.genecards.org/Search/Keyword?queryString=%5Baliases%5D(%20KRTAP19-3%20)&amp;keywords=KRTAP19-3", "KRTAP19-3")</f>
        <v/>
      </c>
      <c r="N715" t="inlineStr">
        <is>
          <t>exonic</t>
        </is>
      </c>
      <c r="O715" t="inlineStr">
        <is>
          <t>frameshift deletion</t>
        </is>
      </c>
      <c r="P715" t="inlineStr">
        <is>
          <t>KRTAP19-3:NM_181609:exon1:c.161delG:p.G54Dfs*38;KRTAP19-3:uc002yog.1:exon1:c.161delG:p.G54Dfs*38;KRTAP19-3:ENST00000334063.6_5:exon1:c.161delG:p.G54Dfs*38</t>
        </is>
      </c>
      <c r="Q715" t="n">
        <v>0.0037</v>
      </c>
      <c r="R715" t="n">
        <v>0.0017</v>
      </c>
      <c r="S715" t="n">
        <v>0.0014</v>
      </c>
      <c r="T715" t="n">
        <v>-1</v>
      </c>
      <c r="U715" t="n">
        <v>0.0018</v>
      </c>
      <c r="V715" t="inlineStr">
        <is>
          <t>.</t>
        </is>
      </c>
      <c r="W715" t="inlineStr">
        <is>
          <t>.</t>
        </is>
      </c>
      <c r="X715" t="inlineStr">
        <is>
          <t>.</t>
        </is>
      </c>
      <c r="Y715" t="inlineStr">
        <is>
          <t>.</t>
        </is>
      </c>
      <c r="Z715" t="inlineStr">
        <is>
          <t>.</t>
        </is>
      </c>
      <c r="AA715" t="inlineStr">
        <is>
          <t>.</t>
        </is>
      </c>
      <c r="AB715" t="inlineStr">
        <is>
          <t>.</t>
        </is>
      </c>
      <c r="AC715" t="inlineStr">
        <is>
          <t>0/1</t>
        </is>
      </c>
      <c r="AD715" t="inlineStr">
        <is>
          <t>1</t>
        </is>
      </c>
      <c r="AE715" t="inlineStr">
        <is>
          <t>0.00440584340588175</t>
        </is>
      </c>
      <c r="AF715" t="inlineStr">
        <is>
          <t>keratin associated protein 19-3</t>
        </is>
      </c>
      <c r="AG715" t="inlineStr">
        <is>
          <t xml:space="preserve">FUNCTION: In the hair cortex, hair keratin intermediate filaments are embedded in an interfilamentous matrix, consisting of hair keratin-associated proteins (KRTAP), which are essential for the formation of a rigid and resistant hair shaft through their extensive disulfide bond cross-linking with abundant cysteine residues of hair keratins. The matrix proteins include the high- sulfur and high-glycine-tyrosine keratins.; </t>
        </is>
      </c>
      <c r="AH715" t="inlineStr">
        <is>
          <t>.</t>
        </is>
      </c>
      <c r="AI715" t="inlineStr">
        <is>
          <t>.</t>
        </is>
      </c>
      <c r="AJ715" t="inlineStr">
        <is>
          <t>.</t>
        </is>
      </c>
      <c r="AK715" t="inlineStr">
        <is>
          <t>.</t>
        </is>
      </c>
      <c r="AL715" t="inlineStr">
        <is>
          <t>.</t>
        </is>
      </c>
    </row>
    <row r="716">
      <c r="A716" t="inlineStr"/>
      <c r="B716">
        <f>HYPERLINK("https://genome.ucsc.edu/cgi-bin/hgTracks?db=hg19&amp;position=chr21%3A32554909%2D32554909", "chr21:32554909")</f>
        <v/>
      </c>
      <c r="C716" t="inlineStr">
        <is>
          <t>chr21</t>
        </is>
      </c>
      <c r="D716" t="n">
        <v>32554909</v>
      </c>
      <c r="E716" t="n">
        <v>32554909</v>
      </c>
      <c r="F716" t="inlineStr">
        <is>
          <t>G</t>
        </is>
      </c>
      <c r="G716" t="inlineStr">
        <is>
          <t>T</t>
        </is>
      </c>
      <c r="H716" t="inlineStr">
        <is>
          <t>515.64</t>
        </is>
      </c>
      <c r="I716" t="inlineStr">
        <is>
          <t>94</t>
        </is>
      </c>
      <c r="J716" t="inlineStr">
        <is>
          <t>70,24</t>
        </is>
      </c>
      <c r="K716" t="inlineStr">
        <is>
          <t>.</t>
        </is>
      </c>
      <c r="L716" t="inlineStr">
        <is>
          <t>.</t>
        </is>
      </c>
      <c r="M716">
        <f>HYPERLINK("https://www.genecards.org/Search/Keyword?queryString=%5Baliases%5D(%20TIAM1%20)&amp;keywords=TIAM1", "TIAM1")</f>
        <v/>
      </c>
      <c r="N716" t="inlineStr">
        <is>
          <t>exonic</t>
        </is>
      </c>
      <c r="O716" t="inlineStr">
        <is>
          <t>nonsynonymous SNV</t>
        </is>
      </c>
      <c r="P716" t="inlineStr">
        <is>
          <t>TIAM1:NM_001353687:exon14:c.C2641A:p.L881M,TIAM1:NM_001353686:exon15:c.C2716A:p.L906M,TIAM1:NM_001353690:exon15:c.C2716A:p.L906M,TIAM1:NM_001353692:exon15:c.C2716A:p.L906M,TIAM1:NM_001353694:exon15:c.C2716A:p.L906M,TIAM1:NM_001353689:exon16:c.C2716A:p.L906M,TIAM1:NM_001353693:exon16:c.C2716A:p.L906M,TIAM1:NM_003253:exon16:c.C2716A:p.L906M,TIAM1:NM_001353688:exon17:c.C2716A:p.L906M,TIAM1:NM_001353691:exon17:c.C2716A:p.L906M;TIAM1:uc011adl.1:exon11:c.C2536A:p.L846M,TIAM1:uc011adk.1:exon13:c.C2716A:p.L906M,TIAM1:uc002yow.1:exon16:c.C2716A:p.L906M;TIAM1:ENST00000455508.2_5:exon11:c.C2536A:p.L846M,TIAM1:ENST00000541036.6_4:exon15:c.C2716A:p.L906M,TIAM1:ENST00000698169.1_1:exon15:c.C2716A:p.L906M,TIAM1:ENST00000286827.7_5:exon16:c.C2716A:p.L906M</t>
        </is>
      </c>
      <c r="Q716" t="n">
        <v>-1</v>
      </c>
      <c r="R716" t="n">
        <v>-1</v>
      </c>
      <c r="S716" t="n">
        <v>-1</v>
      </c>
      <c r="T716" t="n">
        <v>-1</v>
      </c>
      <c r="U716" t="n">
        <v>-1</v>
      </c>
      <c r="V716" t="inlineStr">
        <is>
          <t>7/12</t>
        </is>
      </c>
      <c r="W716" t="inlineStr">
        <is>
          <t>.</t>
        </is>
      </c>
      <c r="X716" t="inlineStr">
        <is>
          <t>.</t>
        </is>
      </c>
      <c r="Y716" t="inlineStr">
        <is>
          <t>.</t>
        </is>
      </c>
      <c r="Z716" t="inlineStr">
        <is>
          <t>2/7</t>
        </is>
      </c>
      <c r="AA716" t="inlineStr">
        <is>
          <t>Uncertain significance</t>
        </is>
      </c>
      <c r="AB716" t="inlineStr">
        <is>
          <t>.</t>
        </is>
      </c>
      <c r="AC716" t="inlineStr">
        <is>
          <t>0/1</t>
        </is>
      </c>
      <c r="AD716" t="inlineStr">
        <is>
          <t>1</t>
        </is>
      </c>
      <c r="AE716" t="inlineStr">
        <is>
          <t>0.999932006469338</t>
        </is>
      </c>
      <c r="AF716" t="inlineStr">
        <is>
          <t>T-cell lymphoma invasion and metastasis 1</t>
        </is>
      </c>
      <c r="AG716" t="inlineStr">
        <is>
          <t xml:space="preserve">FUNCTION: Modulates the activity of RHO-like proteins and connects extracellular signals to cytoskeletal activities. Acts as a GDP- dissociation stimulator protein that stimulates the GDP-GTP exchange activity of RHO-like GTPases and activates them. Activates RAC1, CDC42, and to a lesser extent RHOA. Required for normal cell adhesion and cell migration. {ECO:0000269|PubMed:20361982}.; </t>
        </is>
      </c>
      <c r="AH716" t="inlineStr">
        <is>
          <t>.</t>
        </is>
      </c>
      <c r="AI716" t="inlineStr">
        <is>
          <t>.</t>
        </is>
      </c>
      <c r="AJ716" t="inlineStr">
        <is>
          <t>.</t>
        </is>
      </c>
      <c r="AK716" t="inlineStr">
        <is>
          <t>.</t>
        </is>
      </c>
      <c r="AL716" t="inlineStr">
        <is>
          <t>.</t>
        </is>
      </c>
    </row>
    <row r="717">
      <c r="A717" t="inlineStr"/>
      <c r="B717">
        <f>HYPERLINK("https://genome.ucsc.edu/cgi-bin/hgTracks?db=hg19&amp;position=chr21%3A37586751%2D37586751", "chr21:37586751")</f>
        <v/>
      </c>
      <c r="C717" t="inlineStr">
        <is>
          <t>chr21</t>
        </is>
      </c>
      <c r="D717" t="n">
        <v>37586751</v>
      </c>
      <c r="E717" t="n">
        <v>37586751</v>
      </c>
      <c r="F717" t="inlineStr">
        <is>
          <t>G</t>
        </is>
      </c>
      <c r="G717" t="inlineStr">
        <is>
          <t>C</t>
        </is>
      </c>
      <c r="H717" t="inlineStr">
        <is>
          <t>224.64</t>
        </is>
      </c>
      <c r="I717" t="inlineStr">
        <is>
          <t>93</t>
        </is>
      </c>
      <c r="J717" t="inlineStr">
        <is>
          <t>75,18</t>
        </is>
      </c>
      <c r="K717" t="inlineStr">
        <is>
          <t>.</t>
        </is>
      </c>
      <c r="L717">
        <f>HYPERLINK("https://www.ncbi.nlm.nih.gov/snp/rs367977089", "rs367977089")</f>
        <v/>
      </c>
      <c r="M717">
        <f>HYPERLINK("https://www.genecards.org/Search/Keyword?queryString=%5Baliases%5D(%20DOP1B%20)%20OR%20%5Baliases%5D(%20DOPEY2%20)&amp;keywords=DOP1B,DOPEY2", "DOP1B;DOPEY2")</f>
        <v/>
      </c>
      <c r="N717" t="inlineStr">
        <is>
          <t>exonic</t>
        </is>
      </c>
      <c r="O717" t="inlineStr">
        <is>
          <t>nonsynonymous SNV</t>
        </is>
      </c>
      <c r="P717" t="inlineStr">
        <is>
          <t>DOP1B:NM_001320714:exon9:c.G1026C:p.E342D,DOP1B:NM_005128:exon9:c.G1026C:p.E342D;DOPEY2:uc011aeb.2:exon8:c.G1026C:p.E342D,DOPEY2:uc002yvg.3:exon9:c.G1026C:p.E342D;DOP1B:ENST00000399151.3_3:exon9:c.G1026C:p.E342D,DOP1B:ENST00000691173.1_1:exon9:c.G1026C:p.E342D</t>
        </is>
      </c>
      <c r="Q717" t="n">
        <v>6.5e-06</v>
      </c>
      <c r="R717" t="n">
        <v>-1</v>
      </c>
      <c r="S717" t="n">
        <v>-1</v>
      </c>
      <c r="T717" t="n">
        <v>-1</v>
      </c>
      <c r="U717" t="n">
        <v>-1</v>
      </c>
      <c r="V717" t="inlineStr">
        <is>
          <t>4/12</t>
        </is>
      </c>
      <c r="W717" t="inlineStr">
        <is>
          <t>.</t>
        </is>
      </c>
      <c r="X717" t="inlineStr">
        <is>
          <t>.</t>
        </is>
      </c>
      <c r="Y717" t="inlineStr">
        <is>
          <t>.</t>
        </is>
      </c>
      <c r="Z717" t="inlineStr">
        <is>
          <t>1/7</t>
        </is>
      </c>
      <c r="AA717" t="inlineStr">
        <is>
          <t>Uncertain significance</t>
        </is>
      </c>
      <c r="AB717" t="inlineStr">
        <is>
          <t>.</t>
        </is>
      </c>
      <c r="AC717" t="inlineStr">
        <is>
          <t>0/1</t>
        </is>
      </c>
      <c r="AD717" t="inlineStr">
        <is>
          <t>1;1</t>
        </is>
      </c>
      <c r="AE717" t="inlineStr">
        <is>
          <t>9.61164900781145e-08</t>
        </is>
      </c>
      <c r="AF717" t="inlineStr">
        <is>
          <t>dopey family member 2</t>
        </is>
      </c>
      <c r="AG717" t="inlineStr">
        <is>
          <t xml:space="preserve">FUNCTION: May be involved in protein traffic between late Golgi and early endosomes. {ECO:0000250}.; </t>
        </is>
      </c>
      <c r="AH717" t="inlineStr">
        <is>
          <t>.</t>
        </is>
      </c>
      <c r="AI717" t="inlineStr">
        <is>
          <t>.</t>
        </is>
      </c>
      <c r="AJ717" t="inlineStr">
        <is>
          <t>.</t>
        </is>
      </c>
      <c r="AK717" t="inlineStr">
        <is>
          <t>.</t>
        </is>
      </c>
      <c r="AL717" t="inlineStr">
        <is>
          <t>.</t>
        </is>
      </c>
    </row>
    <row r="718">
      <c r="A718" t="inlineStr"/>
      <c r="B718">
        <f>HYPERLINK("https://genome.ucsc.edu/cgi-bin/hgTracks?db=hg19&amp;position=chr21%3A41414544%2D41414544", "chr21:41414544")</f>
        <v/>
      </c>
      <c r="C718" t="inlineStr">
        <is>
          <t>chr21</t>
        </is>
      </c>
      <c r="D718" t="n">
        <v>41414544</v>
      </c>
      <c r="E718" t="n">
        <v>41414544</v>
      </c>
      <c r="F718" t="inlineStr">
        <is>
          <t>G</t>
        </is>
      </c>
      <c r="G718" t="inlineStr">
        <is>
          <t>T</t>
        </is>
      </c>
      <c r="H718" t="inlineStr">
        <is>
          <t>538.64</t>
        </is>
      </c>
      <c r="I718" t="inlineStr">
        <is>
          <t>170</t>
        </is>
      </c>
      <c r="J718" t="inlineStr">
        <is>
          <t>135,35</t>
        </is>
      </c>
      <c r="K718" t="inlineStr">
        <is>
          <t>.</t>
        </is>
      </c>
      <c r="L718" t="inlineStr">
        <is>
          <t>.</t>
        </is>
      </c>
      <c r="M718">
        <f>HYPERLINK("https://www.genecards.org/Search/Keyword?queryString=%5Baliases%5D(%20DSCAM%20)&amp;keywords=DSCAM", "DSCAM")</f>
        <v/>
      </c>
      <c r="N718" t="inlineStr">
        <is>
          <t>exonic</t>
        </is>
      </c>
      <c r="O718" t="inlineStr">
        <is>
          <t>nonsynonymous SNV</t>
        </is>
      </c>
      <c r="P718" t="inlineStr">
        <is>
          <t>DSCAM:NM_001271534:exon32:c.C5440A:p.L1814M,DSCAM:NM_001389:exon32:c.C5440A:p.L1814M;DSCAM:uc002yyq.1:exon32:c.C5440A:p.L1814M,DSCAM:uc031rvr.1:exon32:c.C5440A:p.L1814M;DSCAM:ENST00000617870.4_3:exon29:c.C4945A:p.L1649M,DSCAM:ENST00000400454.6_5:exon32:c.C5440A:p.L1814M</t>
        </is>
      </c>
      <c r="Q718" t="n">
        <v>-1</v>
      </c>
      <c r="R718" t="n">
        <v>-1</v>
      </c>
      <c r="S718" t="n">
        <v>-1</v>
      </c>
      <c r="T718" t="n">
        <v>-1</v>
      </c>
      <c r="U718" t="n">
        <v>-1</v>
      </c>
      <c r="V718" t="inlineStr">
        <is>
          <t>6/12</t>
        </is>
      </c>
      <c r="W718" t="inlineStr">
        <is>
          <t>.</t>
        </is>
      </c>
      <c r="X718" t="inlineStr">
        <is>
          <t>.</t>
        </is>
      </c>
      <c r="Y718" t="inlineStr">
        <is>
          <t>.</t>
        </is>
      </c>
      <c r="Z718" t="inlineStr">
        <is>
          <t>6/7</t>
        </is>
      </c>
      <c r="AA718" t="inlineStr">
        <is>
          <t>Uncertain significance</t>
        </is>
      </c>
      <c r="AB718" t="inlineStr">
        <is>
          <t>.</t>
        </is>
      </c>
      <c r="AC718" t="inlineStr">
        <is>
          <t>0/1</t>
        </is>
      </c>
      <c r="AD718" t="inlineStr">
        <is>
          <t>1</t>
        </is>
      </c>
      <c r="AE718" t="inlineStr">
        <is>
          <t>0.99999999983846</t>
        </is>
      </c>
      <c r="AF718" t="inlineStr">
        <is>
          <t>Down syndrome cell adhesion molecule</t>
        </is>
      </c>
      <c r="AG718" t="inlineStr">
        <is>
          <t xml:space="preserve">FUNCTION: Cell adhesion molecule that plays a role in neuronal self-avoidance. Promotes repulsion between specific neuronal processes of either the same cell or the same subtype of cells. Mediates within retinal amacrine and ganglion cell subtypes both isoneuronal self-avoidance for creating an orderly dendritic arborization and heteroneuronal self-avoidance to maintain the mosaic spacing between amacrine and ganglion cell bodies (PubMed:10925149). Receptor for netrin required for axon guidance independently of and in collaboration with the receptor DCC. In spinal chord development plays a role in guiding commissural axons projection and pathfinding across the ventral midline to reach the floor plate upon ligand binding (PubMed:18585357, PubMed:19196994). Enhances netrin-induced phosphorylation of PAK1 and FYN (PubMed:15169762). Mediates intracellular signaling by stimulating the activation of MAPK8 and MAP kinase p38 (PubMed:18585357, PubMed:19196994). Adhesion molecule that promotes lamina-specific synaptic connections in the retina: expressed in specific subsets of interneurons and retinal ganglion cells (RGCs) and promotes synaptic connectivity via homophilic interactions (By similarity). {ECO:0000250|UniProtKB:F1NY98, ECO:0000269|PubMed:10925149, ECO:0000269|PubMed:15169762, ECO:0000269|PubMed:18585357, ECO:0000269|PubMed:19196994}.; </t>
        </is>
      </c>
      <c r="AH718" t="inlineStr">
        <is>
          <t>.</t>
        </is>
      </c>
      <c r="AI718" t="inlineStr">
        <is>
          <t>.</t>
        </is>
      </c>
      <c r="AJ718" t="inlineStr">
        <is>
          <t>.</t>
        </is>
      </c>
      <c r="AK718" t="inlineStr">
        <is>
          <t>.</t>
        </is>
      </c>
      <c r="AL718" t="inlineStr">
        <is>
          <t>.</t>
        </is>
      </c>
    </row>
    <row r="719">
      <c r="A719" t="inlineStr"/>
      <c r="B719">
        <f>HYPERLINK("https://genome.ucsc.edu/cgi-bin/hgTracks?db=hg19&amp;position=chr21%3A43254520%2D43254520", "chr21:43254520")</f>
        <v/>
      </c>
      <c r="C719" t="inlineStr">
        <is>
          <t>chr21</t>
        </is>
      </c>
      <c r="D719" t="n">
        <v>43254520</v>
      </c>
      <c r="E719" t="n">
        <v>43254520</v>
      </c>
      <c r="F719" t="inlineStr">
        <is>
          <t>A</t>
        </is>
      </c>
      <c r="G719" t="inlineStr">
        <is>
          <t>T</t>
        </is>
      </c>
      <c r="H719" t="inlineStr">
        <is>
          <t>55.64</t>
        </is>
      </c>
      <c r="I719" t="inlineStr">
        <is>
          <t>43</t>
        </is>
      </c>
      <c r="J719" t="inlineStr">
        <is>
          <t>36,7</t>
        </is>
      </c>
      <c r="K719" t="inlineStr">
        <is>
          <t>.</t>
        </is>
      </c>
      <c r="L719" t="inlineStr">
        <is>
          <t>.</t>
        </is>
      </c>
      <c r="M719">
        <f>HYPERLINK("https://www.genecards.org/Search/Keyword?queryString=%5Baliases%5D(%20PRDM15%20)&amp;keywords=PRDM15", "PRDM15")</f>
        <v/>
      </c>
      <c r="N719" t="inlineStr">
        <is>
          <t>intronic</t>
        </is>
      </c>
      <c r="O719" t="inlineStr">
        <is>
          <t>.</t>
        </is>
      </c>
      <c r="P719" t="inlineStr">
        <is>
          <t>.</t>
        </is>
      </c>
      <c r="Q719" t="n">
        <v>-1</v>
      </c>
      <c r="R719" t="n">
        <v>-1</v>
      </c>
      <c r="S719" t="n">
        <v>-1</v>
      </c>
      <c r="T719" t="n">
        <v>-1</v>
      </c>
      <c r="U719" t="n">
        <v>-1</v>
      </c>
      <c r="V719" t="inlineStr">
        <is>
          <t>.</t>
        </is>
      </c>
      <c r="W719" t="inlineStr">
        <is>
          <t>.</t>
        </is>
      </c>
      <c r="X719" t="inlineStr">
        <is>
          <t>D</t>
        </is>
      </c>
      <c r="Y719" t="inlineStr">
        <is>
          <t>off</t>
        </is>
      </c>
      <c r="Z719" t="inlineStr">
        <is>
          <t>.</t>
        </is>
      </c>
      <c r="AA719" t="inlineStr">
        <is>
          <t>.</t>
        </is>
      </c>
      <c r="AB719" t="inlineStr">
        <is>
          <t>.</t>
        </is>
      </c>
      <c r="AC719" t="inlineStr">
        <is>
          <t>0/1</t>
        </is>
      </c>
      <c r="AD719" t="inlineStr">
        <is>
          <t>1</t>
        </is>
      </c>
      <c r="AE719" t="inlineStr">
        <is>
          <t>0.753744615224627</t>
        </is>
      </c>
      <c r="AF719" t="inlineStr">
        <is>
          <t>PR domain 15</t>
        </is>
      </c>
      <c r="AG719" t="inlineStr">
        <is>
          <t xml:space="preserve">FUNCTION: May be involved in transcriptional regulation.; </t>
        </is>
      </c>
      <c r="AH719" t="inlineStr">
        <is>
          <t>.</t>
        </is>
      </c>
      <c r="AI719" t="inlineStr">
        <is>
          <t>.</t>
        </is>
      </c>
      <c r="AJ719" t="inlineStr">
        <is>
          <t>.</t>
        </is>
      </c>
      <c r="AK719" t="inlineStr">
        <is>
          <t>.</t>
        </is>
      </c>
      <c r="AL719" t="inlineStr">
        <is>
          <t>.</t>
        </is>
      </c>
    </row>
    <row r="720">
      <c r="A720" t="inlineStr"/>
      <c r="B720">
        <f>HYPERLINK("https://genome.ucsc.edu/cgi-bin/hgTracks?db=hg19&amp;position=chr21%3A43546473%2D43546473", "chr21:43546473")</f>
        <v/>
      </c>
      <c r="C720" t="inlineStr">
        <is>
          <t>chr21</t>
        </is>
      </c>
      <c r="D720" t="n">
        <v>43546473</v>
      </c>
      <c r="E720" t="n">
        <v>43546473</v>
      </c>
      <c r="F720" t="inlineStr">
        <is>
          <t>G</t>
        </is>
      </c>
      <c r="G720" t="inlineStr">
        <is>
          <t>A</t>
        </is>
      </c>
      <c r="H720" t="inlineStr">
        <is>
          <t>2298.64</t>
        </is>
      </c>
      <c r="I720" t="inlineStr">
        <is>
          <t>134</t>
        </is>
      </c>
      <c r="J720" t="inlineStr">
        <is>
          <t>44,90</t>
        </is>
      </c>
      <c r="K720" t="inlineStr">
        <is>
          <t>.</t>
        </is>
      </c>
      <c r="L720">
        <f>HYPERLINK("https://www.ncbi.nlm.nih.gov/snp/rs188500785", "rs188500785")</f>
        <v/>
      </c>
      <c r="M720">
        <f>HYPERLINK("https://www.genecards.org/Search/Keyword?queryString=%5Baliases%5D(%20UMODL1%20)&amp;keywords=UMODL1", "UMODL1")</f>
        <v/>
      </c>
      <c r="N720" t="inlineStr">
        <is>
          <t>exonic</t>
        </is>
      </c>
      <c r="O720" t="inlineStr">
        <is>
          <t>nonsynonymous SNV</t>
        </is>
      </c>
      <c r="P720" t="inlineStr">
        <is>
          <t>UMODL1:NM_001199527:exon17:c.G3334A:p.V1112M,UMODL1:NM_173568:exon17:c.G3550A:p.V1184M,UMODL1:NM_001004416:exon18:c.G3166A:p.V1056M,UMODL1:NM_001199528:exon18:c.G2950A:p.V984M;UMODL1:uc002zal.1:exon4:c.G16A:p.V6M,UMODL1:uc002zae.1:exon17:c.G3334A:p.V1112M,UMODL1:uc002zag.1:exon17:c.G3550A:p.V1184M,UMODL1:uc002zad.1:exon18:c.G2950A:p.V984M,UMODL1:uc002zaf.1:exon18:c.G3166A:p.V1056M;UMODL1:ENST00000400427.5_2:exon17:c.G3334A:p.V1112M,UMODL1:ENST00000408989.6_3:exon17:c.G3550A:p.V1184M,UMODL1:ENST00000400424.6_2:exon18:c.G2950A:p.V984M,UMODL1:ENST00000408910.7_3:exon18:c.G3166A:p.V1056M</t>
        </is>
      </c>
      <c r="Q720" t="n">
        <v>0.005051</v>
      </c>
      <c r="R720" t="n">
        <v>0.0013</v>
      </c>
      <c r="S720" t="n">
        <v>0.001</v>
      </c>
      <c r="T720" t="n">
        <v>-1</v>
      </c>
      <c r="U720" t="n">
        <v>0.0005</v>
      </c>
      <c r="V720" t="inlineStr">
        <is>
          <t>8/11</t>
        </is>
      </c>
      <c r="W720" t="inlineStr">
        <is>
          <t>.</t>
        </is>
      </c>
      <c r="X720" t="inlineStr">
        <is>
          <t>.</t>
        </is>
      </c>
      <c r="Y720" t="inlineStr">
        <is>
          <t>.</t>
        </is>
      </c>
      <c r="Z720" t="inlineStr">
        <is>
          <t>2/7</t>
        </is>
      </c>
      <c r="AA720" t="inlineStr">
        <is>
          <t>Uncertain significance</t>
        </is>
      </c>
      <c r="AB720" t="inlineStr">
        <is>
          <t>.</t>
        </is>
      </c>
      <c r="AC720" t="inlineStr">
        <is>
          <t>0/1</t>
        </is>
      </c>
      <c r="AD720" t="inlineStr">
        <is>
          <t>1</t>
        </is>
      </c>
      <c r="AE720" t="inlineStr">
        <is>
          <t>2.27450532319603e-24</t>
        </is>
      </c>
      <c r="AF720" t="inlineStr">
        <is>
          <t>uromodulin like 1</t>
        </is>
      </c>
      <c r="AG720" t="inlineStr">
        <is>
          <t>.</t>
        </is>
      </c>
      <c r="AH720" t="inlineStr">
        <is>
          <t>.</t>
        </is>
      </c>
      <c r="AI720" t="inlineStr">
        <is>
          <t>.</t>
        </is>
      </c>
      <c r="AJ720" t="inlineStr">
        <is>
          <t>.</t>
        </is>
      </c>
      <c r="AK720" t="inlineStr">
        <is>
          <t>.</t>
        </is>
      </c>
      <c r="AL720" t="inlineStr">
        <is>
          <t>.</t>
        </is>
      </c>
    </row>
    <row r="721">
      <c r="A721" t="inlineStr"/>
      <c r="B721">
        <f>HYPERLINK("https://genome.ucsc.edu/cgi-bin/hgTracks?db=hg19&amp;position=chr21%3A43896152%2D43896152", "chr21:43896152")</f>
        <v/>
      </c>
      <c r="C721" t="inlineStr">
        <is>
          <t>chr21</t>
        </is>
      </c>
      <c r="D721" t="n">
        <v>43896152</v>
      </c>
      <c r="E721" t="n">
        <v>43896152</v>
      </c>
      <c r="F721" t="inlineStr">
        <is>
          <t>C</t>
        </is>
      </c>
      <c r="G721" t="inlineStr">
        <is>
          <t>T</t>
        </is>
      </c>
      <c r="H721" t="inlineStr">
        <is>
          <t>1419.64</t>
        </is>
      </c>
      <c r="I721" t="inlineStr">
        <is>
          <t>93</t>
        </is>
      </c>
      <c r="J721" t="inlineStr">
        <is>
          <t>43,50</t>
        </is>
      </c>
      <c r="K721" t="inlineStr">
        <is>
          <t>.</t>
        </is>
      </c>
      <c r="L721">
        <f>HYPERLINK("https://www.ncbi.nlm.nih.gov/snp/rs151158140", "rs151158140")</f>
        <v/>
      </c>
      <c r="M721">
        <f>HYPERLINK("https://www.genecards.org/Search/Keyword?queryString=%5Baliases%5D(%20RSPH1%20)&amp;keywords=RSPH1", "RSPH1")</f>
        <v/>
      </c>
      <c r="N721" t="inlineStr">
        <is>
          <t>exonic</t>
        </is>
      </c>
      <c r="O721" t="inlineStr">
        <is>
          <t>nonsynonymous SNV</t>
        </is>
      </c>
      <c r="P721" t="inlineStr">
        <is>
          <t>RSPH1:NM_001286506:exon7:c.G619A:p.G207R,RSPH1:NM_080860:exon8:c.G733A:p.G245R;RSPH1:uc002zbg.3:exon8:c.G733A:p.G245R;RSPH1:ENST00000398352.3_3:exon7:c.G619A:p.G207R,RSPH1:ENST00000291536.8_5:exon8:c.G733A:p.G245R</t>
        </is>
      </c>
      <c r="Q721" t="n">
        <v>0.015152</v>
      </c>
      <c r="R721" t="n">
        <v>0.0038</v>
      </c>
      <c r="S721" t="n">
        <v>0.005</v>
      </c>
      <c r="T721" t="n">
        <v>-1</v>
      </c>
      <c r="U721" t="n">
        <v>0.0041</v>
      </c>
      <c r="V721" t="inlineStr">
        <is>
          <t>3/11</t>
        </is>
      </c>
      <c r="W721" t="inlineStr">
        <is>
          <t>.</t>
        </is>
      </c>
      <c r="X721" t="inlineStr">
        <is>
          <t>.</t>
        </is>
      </c>
      <c r="Y721" t="inlineStr">
        <is>
          <t>.</t>
        </is>
      </c>
      <c r="Z721" t="inlineStr">
        <is>
          <t>1/7</t>
        </is>
      </c>
      <c r="AA721" t="inlineStr">
        <is>
          <t>Likely benign</t>
        </is>
      </c>
      <c r="AB721" t="inlineStr">
        <is>
          <t>Benign</t>
        </is>
      </c>
      <c r="AC721" t="inlineStr">
        <is>
          <t>0/1</t>
        </is>
      </c>
      <c r="AD721" t="inlineStr">
        <is>
          <t>1</t>
        </is>
      </c>
      <c r="AE721" t="inlineStr">
        <is>
          <t>0.000210570388617988</t>
        </is>
      </c>
      <c r="AF721" t="inlineStr">
        <is>
          <t>radial spoke head 1 homolog (Chlamydomonas)</t>
        </is>
      </c>
      <c r="AG721" t="inlineStr">
        <is>
          <t xml:space="preserve">FUNCTION: May play an important role in male meiosis (By similarity). It is necessary for proper building of the axonemal central pair and radial spokes. {ECO:0000250, ECO:0000269|PubMed:23993197}.; </t>
        </is>
      </c>
      <c r="AH721" t="inlineStr">
        <is>
          <t>.</t>
        </is>
      </c>
      <c r="AI721" t="inlineStr">
        <is>
          <t>.</t>
        </is>
      </c>
      <c r="AJ721" t="inlineStr">
        <is>
          <t>.</t>
        </is>
      </c>
      <c r="AK721" t="inlineStr">
        <is>
          <t>.</t>
        </is>
      </c>
      <c r="AL721" t="inlineStr">
        <is>
          <t>.</t>
        </is>
      </c>
    </row>
    <row r="722">
      <c r="A722" t="inlineStr"/>
      <c r="B722">
        <f>HYPERLINK("https://genome.ucsc.edu/cgi-bin/hgTracks?db=hg19&amp;position=chr21%3A44483184%2D44483184", "chr21:44483184")</f>
        <v/>
      </c>
      <c r="C722" t="inlineStr">
        <is>
          <t>chr21</t>
        </is>
      </c>
      <c r="D722" t="n">
        <v>44483184</v>
      </c>
      <c r="E722" t="n">
        <v>44483184</v>
      </c>
      <c r="F722" t="inlineStr">
        <is>
          <t>A</t>
        </is>
      </c>
      <c r="G722" t="inlineStr">
        <is>
          <t>G</t>
        </is>
      </c>
      <c r="H722" t="inlineStr">
        <is>
          <t>89.64</t>
        </is>
      </c>
      <c r="I722" t="inlineStr">
        <is>
          <t>162</t>
        </is>
      </c>
      <c r="J722" t="inlineStr">
        <is>
          <t>139,23</t>
        </is>
      </c>
      <c r="K722" t="inlineStr">
        <is>
          <t>CM115666;CM920136</t>
        </is>
      </c>
      <c r="L722">
        <f>HYPERLINK("https://www.ncbi.nlm.nih.gov/snp/rs5742905", "rs5742905")</f>
        <v/>
      </c>
      <c r="M722">
        <f>HYPERLINK("https://www.genecards.org/Search/Keyword?queryString=%5Baliases%5D(%20CBS%20)%20OR%20%5Baliases%5D(%20CBSL%20)&amp;keywords=CBS,CBSL", "CBS;CBSL")</f>
        <v/>
      </c>
      <c r="N722" t="inlineStr">
        <is>
          <t>exonic</t>
        </is>
      </c>
      <c r="O722" t="inlineStr">
        <is>
          <t>nonsynonymous SNV</t>
        </is>
      </c>
      <c r="P722" t="inlineStr">
        <is>
          <t>CBS:NM_001321072:exon7:c.T518C:p.I173T,CBS:NM_000071:exon10:c.T833C:p.I278T,CBS:NM_001178008:exon10:c.T833C:p.I278T,CBS:NM_001178009:exon10:c.T833C:p.I278T,CBSL:NM_001321073:exon10:c.T833C:p.I278T,CBSL:NM_001354008:exon10:c.T833C:p.I278T,CBSL:NM_001354009:exon10:c.T833C:p.I278T,CBSL:NM_001354010:exon10:c.T833C:p.I278T,CBSL:NM_001354012:exon10:c.T833C:p.I278T,CBSL:NM_001354014:exon10:c.T833C:p.I278T,CBSL:NM_001354015:exon10:c.T833C:p.I278T,CBS:NM_001320298:exon11:c.T833C:p.I278T,CBSL:NM_001354006:exon11:c.T833C:p.I278T,CBSL:NM_001354007:exon11:c.T833C:p.I278T;CBS:uc002zcs.1:exon7:c.T518C:p.I173T,CBS:uc002zct.2:exon10:c.T833C:p.I278T,CBS:uc002zcu.2:exon10:c.T833C:p.I278T,CBS:uc002zcv.2:exon10:c.T833C:p.I278T,CBS:uc002zcw.3:exon10:c.T833C:p.I278T;CBS:ENST00000352178.9_3:exon10:c.T833C:p.I278T,CBS:ENST00000359624.7_3:exon10:c.T833C:p.I278T,CBS:ENST00000398158.5_3:exon10:c.T833C:p.I278T,CBS:ENST00000398165.8_5:exon10:c.T833C:p.I278T</t>
        </is>
      </c>
      <c r="Q722" t="n">
        <v>0.020202</v>
      </c>
      <c r="R722" t="n">
        <v>0.0011</v>
      </c>
      <c r="S722" t="n">
        <v>0.0015</v>
      </c>
      <c r="T722" t="n">
        <v>-1</v>
      </c>
      <c r="U722" t="n">
        <v>0.0009</v>
      </c>
      <c r="V722" t="inlineStr">
        <is>
          <t>10/11</t>
        </is>
      </c>
      <c r="W722" t="inlineStr">
        <is>
          <t>.</t>
        </is>
      </c>
      <c r="X722" t="inlineStr">
        <is>
          <t>.</t>
        </is>
      </c>
      <c r="Y722" t="inlineStr">
        <is>
          <t>.</t>
        </is>
      </c>
      <c r="Z722" t="inlineStr">
        <is>
          <t>2/7</t>
        </is>
      </c>
      <c r="AA722" t="inlineStr">
        <is>
          <t>Pathogenic</t>
        </is>
      </c>
      <c r="AB722" t="inlineStr">
        <is>
          <t>Pathogenic</t>
        </is>
      </c>
      <c r="AC722" t="inlineStr">
        <is>
          <t>0/1</t>
        </is>
      </c>
      <c r="AD722" t="inlineStr">
        <is>
          <t>1;1</t>
        </is>
      </c>
      <c r="AE722" t="inlineStr">
        <is>
          <t>0.00677205373062702</t>
        </is>
      </c>
      <c r="AF722" t="inlineStr">
        <is>
          <t>cystathionine-beta-synthase;cystathionine-beta-synthase like</t>
        </is>
      </c>
      <c r="AG722" t="inlineStr">
        <is>
          <t xml:space="preserve">FUNCTION: Hydro-lyase catalyzing the first step of the transsulfuration pathway, where the hydroxyl group of L-serine is displaced by L-homocysteine in a beta-replacement reaction to form L-cystathionine, the precursor of L-cysteine. This catabolic route allows the elimination of L-methionine and the toxic metabolite L- homocysteine (PubMed:23981774, PubMed:20506325, PubMed:23974653). Also involved in the production of hydrogen sulfide, a gasotransmitter with signaling and cytoprotective effects on neurons (By similarity). {ECO:0000250|UniProtKB:P32232, ECO:0000269|PubMed:20506325, ECO:0000269|PubMed:23974653, ECO:0000269|PubMed:23981774}.; ;FUNCTION: Hydro-lyase catalyzing the first step of the transsulfuration pathway, where the hydroxyl group of L-serine is displaced by L-homocysteine in a beta-replacement reaction to form L-cystathionine, the precursor of L-cysteine. This catabolic route allows the elimination of L-methionine and the toxic metabolite L- homocysteine. Also involved in the production of hydrogen sulfide, a gasotransmitter with signaling and cytoprotective effects on neurons. {ECO:0000250|UniProtKB:P32232, ECO:0000250|UniProtKB:P35520}.; </t>
        </is>
      </c>
      <c r="AH722" t="inlineStr">
        <is>
          <t>.</t>
        </is>
      </c>
      <c r="AI722" t="inlineStr">
        <is>
          <t>.</t>
        </is>
      </c>
      <c r="AJ722" t="inlineStr">
        <is>
          <t>.</t>
        </is>
      </c>
      <c r="AK722" t="inlineStr">
        <is>
          <t>.</t>
        </is>
      </c>
      <c r="AL722" t="inlineStr">
        <is>
          <t>.</t>
        </is>
      </c>
    </row>
    <row r="723">
      <c r="A723" t="inlineStr"/>
      <c r="B723">
        <f>HYPERLINK("https://genome.ucsc.edu/cgi-bin/hgTracks?db=hg19&amp;position=chr21%3A44589920%2D44589920", "chr21:44589920")</f>
        <v/>
      </c>
      <c r="C723" t="inlineStr">
        <is>
          <t>chr21</t>
        </is>
      </c>
      <c r="D723" t="n">
        <v>44589920</v>
      </c>
      <c r="E723" t="n">
        <v>44589920</v>
      </c>
      <c r="F723" t="inlineStr">
        <is>
          <t>-</t>
        </is>
      </c>
      <c r="G723" t="inlineStr">
        <is>
          <t>C</t>
        </is>
      </c>
      <c r="H723" t="inlineStr">
        <is>
          <t>488.60</t>
        </is>
      </c>
      <c r="I723" t="inlineStr">
        <is>
          <t>73</t>
        </is>
      </c>
      <c r="J723" t="inlineStr">
        <is>
          <t>31,23</t>
        </is>
      </c>
      <c r="K723" t="inlineStr">
        <is>
          <t>.</t>
        </is>
      </c>
      <c r="L723">
        <f>HYPERLINK("https://www.ncbi.nlm.nih.gov/snp/rs5844151", "rs5844151")</f>
        <v/>
      </c>
      <c r="M723">
        <f>HYPERLINK("https://www.genecards.org/Search/Keyword?queryString=%5Baliases%5D(%20CRYAA%20)%20OR%20%5Baliases%5D(%20CRYAA2%20)&amp;keywords=CRYAA,CRYAA2", "CRYAA;CRYAA2")</f>
        <v/>
      </c>
      <c r="N723" t="inlineStr">
        <is>
          <t>exonic;intronic</t>
        </is>
      </c>
      <c r="O723" t="inlineStr">
        <is>
          <t>frameshift insertion</t>
        </is>
      </c>
      <c r="P723" t="inlineStr">
        <is>
          <t>CRYAA:ENST00000398133.5_1:exon1:c.87dupC:p.H33Pfs*9</t>
        </is>
      </c>
      <c r="Q723" t="n">
        <v>0.0001164</v>
      </c>
      <c r="R723" t="n">
        <v>-1</v>
      </c>
      <c r="S723" t="n">
        <v>-1</v>
      </c>
      <c r="T723" t="n">
        <v>-1</v>
      </c>
      <c r="U723" t="n">
        <v>-1</v>
      </c>
      <c r="V723" t="inlineStr">
        <is>
          <t>.</t>
        </is>
      </c>
      <c r="W723" t="inlineStr">
        <is>
          <t>.</t>
        </is>
      </c>
      <c r="X723" t="inlineStr">
        <is>
          <t>.</t>
        </is>
      </c>
      <c r="Y723" t="inlineStr">
        <is>
          <t>.</t>
        </is>
      </c>
      <c r="Z723" t="inlineStr">
        <is>
          <t>.</t>
        </is>
      </c>
      <c r="AA723" t="inlineStr">
        <is>
          <t>.</t>
        </is>
      </c>
      <c r="AB723" t="inlineStr">
        <is>
          <t>.</t>
        </is>
      </c>
      <c r="AC723" t="inlineStr">
        <is>
          <t>0/1</t>
        </is>
      </c>
      <c r="AD723" t="inlineStr">
        <is>
          <t>1;1</t>
        </is>
      </c>
      <c r="AE723" t="inlineStr">
        <is>
          <t>0.521020324207416</t>
        </is>
      </c>
      <c r="AF723" t="inlineStr">
        <is>
          <t>crystallin alpha A</t>
        </is>
      </c>
      <c r="AG723" t="inlineStr">
        <is>
          <t xml:space="preserve">FUNCTION: Contributes to the transparency and refractive index of the lens. Has chaperone-like activity, preventing aggregation of various proteins under a wide range of stress conditions. {ECO:0000269|PubMed:22120592}.; </t>
        </is>
      </c>
      <c r="AH723" t="inlineStr">
        <is>
          <t xml:space="preserve">DISEASE: Note=Alpha-crystallin A 1-172 is found at nearly twofold higher levels in diabetic lenses than in age-matched control lenses. {ECO:0000269|PubMed:12356833}.; DISEASE: Cataract 9, multiple types (CTRCT9) [MIM:604219]: An opacification of the crystalline lens of the eye that frequently results in visual impairment or blindness. Opacities vary in morphology, are often confined to a portion of the lens, and may be static or progressive. In general, the more posteriorly located and dense an opacity, the greater the impact on visual function. CTRCT9 includes nuclear, zonular central nuclear, anterior polar, cortical, embryonal, anterior subcapsular, fan-shaped, and total cataracts, among others. In some cases cataract is associated with microcornea without any other systemic anomaly or dysmorphism. Microcornea is defined by a corneal diameter inferior to 10 mm in both meridians in an otherwise normal eye. {ECO:0000269|PubMed:14512969, ECO:0000269|PubMed:16453125, ECO:0000269|PubMed:18302245, ECO:0000269|PubMed:18407550, ECO:0000269|PubMed:23508780, ECO:0000269|PubMed:9467006}. Note=The disease is caused by mutations affecting the gene represented in this entry.; </t>
        </is>
      </c>
      <c r="AI723" t="inlineStr">
        <is>
          <t>.</t>
        </is>
      </c>
      <c r="AJ723" t="inlineStr">
        <is>
          <t>.</t>
        </is>
      </c>
      <c r="AK723" t="inlineStr">
        <is>
          <t>.</t>
        </is>
      </c>
      <c r="AL723" t="inlineStr">
        <is>
          <t>.</t>
        </is>
      </c>
    </row>
    <row r="724">
      <c r="A724" t="inlineStr"/>
      <c r="B724">
        <f>HYPERLINK("https://genome.ucsc.edu/cgi-bin/hgTracks?db=hg19&amp;position=chr21%3A44841184%2D44841184", "chr21:44841184")</f>
        <v/>
      </c>
      <c r="C724" t="inlineStr">
        <is>
          <t>chr21</t>
        </is>
      </c>
      <c r="D724" t="n">
        <v>44841184</v>
      </c>
      <c r="E724" t="n">
        <v>44841184</v>
      </c>
      <c r="F724" t="inlineStr">
        <is>
          <t>G</t>
        </is>
      </c>
      <c r="G724" t="inlineStr">
        <is>
          <t>C</t>
        </is>
      </c>
      <c r="H724" t="inlineStr">
        <is>
          <t>2107.64</t>
        </is>
      </c>
      <c r="I724" t="inlineStr">
        <is>
          <t>206</t>
        </is>
      </c>
      <c r="J724" t="inlineStr">
        <is>
          <t>111,95</t>
        </is>
      </c>
      <c r="K724" t="inlineStr">
        <is>
          <t>.</t>
        </is>
      </c>
      <c r="L724">
        <f>HYPERLINK("https://www.ncbi.nlm.nih.gov/snp/rs754959423", "rs754959423")</f>
        <v/>
      </c>
      <c r="M724">
        <f>HYPERLINK("https://www.genecards.org/Search/Keyword?queryString=%5Baliases%5D(%20SIK1%20)%20OR%20%5Baliases%5D(%20SIK1B%20)&amp;keywords=SIK1,SIK1B", "SIK1;SIK1B")</f>
        <v/>
      </c>
      <c r="N724" t="inlineStr">
        <is>
          <t>exonic</t>
        </is>
      </c>
      <c r="O724" t="inlineStr">
        <is>
          <t>nonsynonymous SNV</t>
        </is>
      </c>
      <c r="P724" t="inlineStr">
        <is>
          <t>SIK1B:NM_001320643:exon6:c.C563G:p.P188R,SIK1:NM_173354:exon6:c.C563G:p.P188R;SIK1:uc002zdf.2:exon6:c.C563G:p.P188R;SIK1:ENST00000270162.8_6:exon6:c.C563G:p.P188R</t>
        </is>
      </c>
      <c r="Q724" t="n">
        <v>1.29e-05</v>
      </c>
      <c r="R724" t="n">
        <v>-1</v>
      </c>
      <c r="S724" t="n">
        <v>-1</v>
      </c>
      <c r="T724" t="n">
        <v>-1</v>
      </c>
      <c r="U724" t="n">
        <v>-1</v>
      </c>
      <c r="V724" t="inlineStr">
        <is>
          <t>6/12</t>
        </is>
      </c>
      <c r="W724" t="inlineStr">
        <is>
          <t>.</t>
        </is>
      </c>
      <c r="X724" t="inlineStr">
        <is>
          <t>.</t>
        </is>
      </c>
      <c r="Y724" t="inlineStr">
        <is>
          <t>.</t>
        </is>
      </c>
      <c r="Z724" t="inlineStr">
        <is>
          <t>2/7</t>
        </is>
      </c>
      <c r="AA724" t="inlineStr">
        <is>
          <t>Uncertain significance</t>
        </is>
      </c>
      <c r="AB724" t="inlineStr">
        <is>
          <t>.</t>
        </is>
      </c>
      <c r="AC724" t="inlineStr">
        <is>
          <t>0/1</t>
        </is>
      </c>
      <c r="AD724" t="inlineStr">
        <is>
          <t>1;1</t>
        </is>
      </c>
      <c r="AE724" t="inlineStr">
        <is>
          <t>0.993830465042737</t>
        </is>
      </c>
      <c r="AF724" t="inlineStr">
        <is>
          <t>salt inducible kinase 1</t>
        </is>
      </c>
      <c r="AG724" t="inlineStr">
        <is>
          <t xml:space="preserve">FUNCTION: Serine/threonine-protein kinase involved in various processes such as cell cycle regulation, gluconeogenesis and lipogenesis regulation, muscle growth and differentiation and tumor suppression. Phosphorylates HDAC4, HDAC5, PPME1, SREBF1, CRTC1/TORC1 and CRTC2/TORC2. Acts as a tumor suppressor and plays a key role in p53/TP53-dependent anoikis, a type of apoptosis triggered by cell detachment: required for phosphorylation of p53/TP53 in response to loss of adhesion and is able to suppress metastasis. Part of a sodium-sensing signaling network, probably by mediating phosphorylation of PPME1: following increases in intracellular sodium, SIK1 is activated by CaMK1 and phosphorylates PPME1 subunit of protein phosphatase 2A (PP2A), leading to dephosphorylation of sodium/potassium-transporting ATPase ATP1A1 and subsequent increase activity of ATP1A1. Acts as a regulator of muscle cells by phosphorylating and inhibiting class II histone deacetylases HDAC4 and HDAC5, leading to promote expression of MEF2 target genes in myocytes. Also required during cardiomyogenesis by regulating the exit of cardiomyoblasts from the cell cycle via down-regulation of CDKN1C/p57Kip2. Acts as a regulator of hepatic gluconeogenesis by phosphorylating and repressing the CREB-specific coactivators CRTC1/TORC1 and CRTC2/TORC2, leading to inhibit CREB activity. Also regulates hepatic lipogenesis by phosphorylating and inhibiting SREBF1. In concert with CRTC1/TORC1, regulates the light-induced entrainment of the circadian clock by attenuating PER1 induction; represses CREB-mediated transcription of PER1 by phosphorylating and deactivating CRTC1/TORC1 (By similarity). {ECO:0000250|UniProtKB:Q60670, ECO:0000269|PubMed:14976552, ECO:0000269|PubMed:16306228, ECO:0000269|PubMed:18348280, ECO:0000269|PubMed:19622832}.; </t>
        </is>
      </c>
      <c r="AH724" t="inlineStr">
        <is>
          <t xml:space="preserve">DISEASE: Epileptic encephalopathy, early infantile, 30 (EIEE30) [MIM:616341]: A form of epileptic encephalopathy, a heterogeneous group of severe childhood onset epilepsies characterized by refractory seizures, neurodevelopmental impairment, and poor prognosis. Development is normal prior to seizure onset, after which cognitive and motor delays become apparent. {ECO:0000269|PubMed:25839329}. Note=The disease is caused by mutations affecting the gene represented in this entry.; DISEASE: Note=Defects in SIK1 may be associated with some cancers, such as breast cancers. Loss of SIK1 correlates with poor patient outcome in breast cancers (PubMed:19622832). {ECO:0000269|PubMed:19622832}.; </t>
        </is>
      </c>
      <c r="AI724" t="inlineStr">
        <is>
          <t>.</t>
        </is>
      </c>
      <c r="AJ724" t="inlineStr">
        <is>
          <t>.</t>
        </is>
      </c>
      <c r="AK724" t="inlineStr">
        <is>
          <t>.</t>
        </is>
      </c>
      <c r="AL724" t="inlineStr">
        <is>
          <t>.</t>
        </is>
      </c>
    </row>
    <row r="725">
      <c r="A725" t="inlineStr"/>
      <c r="B725">
        <f>HYPERLINK("https://genome.ucsc.edu/cgi-bin/hgTracks?db=hg19&amp;position=chr21%3A45211025%2D45211025", "chr21:45211025")</f>
        <v/>
      </c>
      <c r="C725" t="inlineStr">
        <is>
          <t>chr21</t>
        </is>
      </c>
      <c r="D725" t="n">
        <v>45211025</v>
      </c>
      <c r="E725" t="n">
        <v>45211025</v>
      </c>
      <c r="F725" t="inlineStr">
        <is>
          <t>T</t>
        </is>
      </c>
      <c r="G725" t="inlineStr">
        <is>
          <t>G</t>
        </is>
      </c>
      <c r="H725" t="inlineStr">
        <is>
          <t>52.64</t>
        </is>
      </c>
      <c r="I725" t="inlineStr">
        <is>
          <t>6</t>
        </is>
      </c>
      <c r="J725" t="inlineStr">
        <is>
          <t>4,2</t>
        </is>
      </c>
      <c r="K725" t="inlineStr">
        <is>
          <t>.</t>
        </is>
      </c>
      <c r="L725" t="inlineStr">
        <is>
          <t>.</t>
        </is>
      </c>
      <c r="M725">
        <f>HYPERLINK("https://www.genecards.org/Search/Keyword?queryString=%5Baliases%5D(%20RRP1%20)&amp;keywords=RRP1", "RRP1")</f>
        <v/>
      </c>
      <c r="N725" t="inlineStr">
        <is>
          <t>intronic</t>
        </is>
      </c>
      <c r="O725" t="inlineStr">
        <is>
          <t>.</t>
        </is>
      </c>
      <c r="P725" t="inlineStr">
        <is>
          <t>.</t>
        </is>
      </c>
      <c r="Q725" t="n">
        <v>-1</v>
      </c>
      <c r="R725" t="n">
        <v>-1</v>
      </c>
      <c r="S725" t="n">
        <v>-1</v>
      </c>
      <c r="T725" t="n">
        <v>-1</v>
      </c>
      <c r="U725" t="n">
        <v>-1</v>
      </c>
      <c r="V725" t="inlineStr">
        <is>
          <t>.</t>
        </is>
      </c>
      <c r="W725" t="inlineStr">
        <is>
          <t>.</t>
        </is>
      </c>
      <c r="X725" t="inlineStr">
        <is>
          <t>D</t>
        </is>
      </c>
      <c r="Y725" t="inlineStr">
        <is>
          <t>off</t>
        </is>
      </c>
      <c r="Z725" t="inlineStr">
        <is>
          <t>.</t>
        </is>
      </c>
      <c r="AA725" t="inlineStr">
        <is>
          <t>.</t>
        </is>
      </c>
      <c r="AB725" t="inlineStr">
        <is>
          <t>.</t>
        </is>
      </c>
      <c r="AC725" t="inlineStr">
        <is>
          <t>0/1</t>
        </is>
      </c>
      <c r="AD725" t="inlineStr">
        <is>
          <t>1</t>
        </is>
      </c>
      <c r="AE725" t="inlineStr">
        <is>
          <t>0.00185041139129439</t>
        </is>
      </c>
      <c r="AF725" t="inlineStr">
        <is>
          <t>ribosomal RNA processing 1</t>
        </is>
      </c>
      <c r="AG725" t="inlineStr">
        <is>
          <t xml:space="preserve">FUNCTION: Plays a critical role in the generation of 28S rRNA.; </t>
        </is>
      </c>
      <c r="AH725" t="inlineStr">
        <is>
          <t>.</t>
        </is>
      </c>
      <c r="AI725" t="inlineStr">
        <is>
          <t>.</t>
        </is>
      </c>
      <c r="AJ725" t="inlineStr">
        <is>
          <t>.</t>
        </is>
      </c>
      <c r="AK725" t="inlineStr">
        <is>
          <t>.</t>
        </is>
      </c>
      <c r="AL725" t="inlineStr">
        <is>
          <t>.</t>
        </is>
      </c>
    </row>
    <row r="726">
      <c r="A726" t="inlineStr"/>
      <c r="B726">
        <f>HYPERLINK("https://genome.ucsc.edu/cgi-bin/hgTracks?db=hg19&amp;position=chr21%3A45959603%2D45959603", "chr21:45959603")</f>
        <v/>
      </c>
      <c r="C726" t="inlineStr">
        <is>
          <t>chr21</t>
        </is>
      </c>
      <c r="D726" t="n">
        <v>45959603</v>
      </c>
      <c r="E726" t="n">
        <v>45959603</v>
      </c>
      <c r="F726" t="inlineStr">
        <is>
          <t>G</t>
        </is>
      </c>
      <c r="G726" t="inlineStr">
        <is>
          <t>T</t>
        </is>
      </c>
      <c r="H726" t="inlineStr">
        <is>
          <t>1712.64</t>
        </is>
      </c>
      <c r="I726" t="inlineStr">
        <is>
          <t>307</t>
        </is>
      </c>
      <c r="J726" t="inlineStr">
        <is>
          <t>228,79</t>
        </is>
      </c>
      <c r="K726" t="inlineStr">
        <is>
          <t>.</t>
        </is>
      </c>
      <c r="L726" t="inlineStr">
        <is>
          <t>.</t>
        </is>
      </c>
      <c r="M726">
        <f>HYPERLINK("https://www.genecards.org/Search/Keyword?queryString=%5Baliases%5D(%20KRTAP10-1%20)&amp;keywords=KRTAP10-1", "KRTAP10-1")</f>
        <v/>
      </c>
      <c r="N726" t="inlineStr">
        <is>
          <t>exonic</t>
        </is>
      </c>
      <c r="O726" t="inlineStr">
        <is>
          <t>nonsynonymous SNV</t>
        </is>
      </c>
      <c r="P726" t="inlineStr">
        <is>
          <t>KRTAP10-1:NM_198691:exon1:c.C431A:p.P144H;KRTAP10-1:uc002zfh.1:exon1:c.C431A:p.P144H;KRTAP10-1:ENST00000400375.1_4:exon1:c.C431A:p.P144H</t>
        </is>
      </c>
      <c r="Q726" t="n">
        <v>-1</v>
      </c>
      <c r="R726" t="n">
        <v>-1</v>
      </c>
      <c r="S726" t="n">
        <v>-1</v>
      </c>
      <c r="T726" t="n">
        <v>-1</v>
      </c>
      <c r="U726" t="n">
        <v>-1</v>
      </c>
      <c r="V726" t="inlineStr">
        <is>
          <t>5/11</t>
        </is>
      </c>
      <c r="W726" t="inlineStr">
        <is>
          <t>.</t>
        </is>
      </c>
      <c r="X726" t="inlineStr">
        <is>
          <t>.</t>
        </is>
      </c>
      <c r="Y726" t="inlineStr">
        <is>
          <t>.</t>
        </is>
      </c>
      <c r="Z726" t="inlineStr">
        <is>
          <t>0/7</t>
        </is>
      </c>
      <c r="AA726" t="inlineStr">
        <is>
          <t>Uncertain significance</t>
        </is>
      </c>
      <c r="AB726" t="inlineStr">
        <is>
          <t>.</t>
        </is>
      </c>
      <c r="AC726" t="inlineStr">
        <is>
          <t>0/1</t>
        </is>
      </c>
      <c r="AD726" t="inlineStr">
        <is>
          <t>1</t>
        </is>
      </c>
      <c r="AE726" t="inlineStr">
        <is>
          <t>0.106027011173101</t>
        </is>
      </c>
      <c r="AF726" t="inlineStr">
        <is>
          <t>keratin associated protein 10-1</t>
        </is>
      </c>
      <c r="AG726" t="inlineStr">
        <is>
          <t xml:space="preserve">FUNCTION: In the hair cortex, hair keratin intermediate filaments are embedded in an interfilamentous matrix, consisting of hair keratin-associated proteins (KRTAP), which are essential for the formation of a rigid and resistant hair shaft through their extensive disulfide bond cross-linking with abundant cysteine residues of hair keratins. The matrix proteins include the high- sulfur and high-glycine-tyrosine keratins.; </t>
        </is>
      </c>
      <c r="AH726" t="inlineStr">
        <is>
          <t>.</t>
        </is>
      </c>
      <c r="AI726" t="inlineStr">
        <is>
          <t>.</t>
        </is>
      </c>
      <c r="AJ726" t="inlineStr">
        <is>
          <t>.</t>
        </is>
      </c>
      <c r="AK726" t="inlineStr">
        <is>
          <t>.</t>
        </is>
      </c>
      <c r="AL726" t="inlineStr">
        <is>
          <t>NGS_LowStringency</t>
        </is>
      </c>
    </row>
    <row r="727">
      <c r="A727" t="inlineStr"/>
      <c r="B727">
        <f>HYPERLINK("https://genome.ucsc.edu/cgi-bin/hgTracks?db=hg19&amp;position=chr21%3A46047952%2D46047952", "chr21:46047952")</f>
        <v/>
      </c>
      <c r="C727" t="inlineStr">
        <is>
          <t>chr21</t>
        </is>
      </c>
      <c r="D727" t="n">
        <v>46047952</v>
      </c>
      <c r="E727" t="n">
        <v>46047952</v>
      </c>
      <c r="F727" t="inlineStr">
        <is>
          <t>G</t>
        </is>
      </c>
      <c r="G727" t="inlineStr">
        <is>
          <t>C</t>
        </is>
      </c>
      <c r="H727" t="inlineStr">
        <is>
          <t>643.64</t>
        </is>
      </c>
      <c r="I727" t="inlineStr">
        <is>
          <t>202</t>
        </is>
      </c>
      <c r="J727" t="inlineStr">
        <is>
          <t>159,43</t>
        </is>
      </c>
      <c r="K727" t="inlineStr">
        <is>
          <t>.</t>
        </is>
      </c>
      <c r="L727" t="inlineStr">
        <is>
          <t>.</t>
        </is>
      </c>
      <c r="M727">
        <f>HYPERLINK("https://www.genecards.org/Search/Keyword?queryString=%5Baliases%5D(%20KRTAP10-9%20)&amp;keywords=KRTAP10-9", "KRTAP10-9")</f>
        <v/>
      </c>
      <c r="N727" t="inlineStr">
        <is>
          <t>exonic</t>
        </is>
      </c>
      <c r="O727" t="inlineStr">
        <is>
          <t>nonsynonymous SNV</t>
        </is>
      </c>
      <c r="P727" t="inlineStr">
        <is>
          <t>KRTAP10-9:NM_198690:exon1:c.G864C:p.Q288H;KRTAP10-9:uc002zfp.4:exon1:c.G864C:p.Q288H;KRTAP10-9:ENST00000397911.5_4:exon1:c.G864C:p.Q288H</t>
        </is>
      </c>
      <c r="Q727" t="n">
        <v>-1</v>
      </c>
      <c r="R727" t="n">
        <v>-1</v>
      </c>
      <c r="S727" t="n">
        <v>-1</v>
      </c>
      <c r="T727" t="n">
        <v>-1</v>
      </c>
      <c r="U727" t="n">
        <v>-1</v>
      </c>
      <c r="V727" t="inlineStr">
        <is>
          <t>4/11</t>
        </is>
      </c>
      <c r="W727" t="inlineStr">
        <is>
          <t>.</t>
        </is>
      </c>
      <c r="X727" t="inlineStr">
        <is>
          <t>.</t>
        </is>
      </c>
      <c r="Y727" t="inlineStr">
        <is>
          <t>.</t>
        </is>
      </c>
      <c r="Z727" t="inlineStr">
        <is>
          <t>0/7</t>
        </is>
      </c>
      <c r="AA727" t="inlineStr">
        <is>
          <t>Uncertain significance</t>
        </is>
      </c>
      <c r="AB727" t="inlineStr">
        <is>
          <t>.</t>
        </is>
      </c>
      <c r="AC727" t="inlineStr">
        <is>
          <t>0/1</t>
        </is>
      </c>
      <c r="AD727" t="inlineStr">
        <is>
          <t>1</t>
        </is>
      </c>
      <c r="AE727" t="inlineStr">
        <is>
          <t>0.44279392690144</t>
        </is>
      </c>
      <c r="AF727" t="inlineStr">
        <is>
          <t>keratin associated protein 10-9</t>
        </is>
      </c>
      <c r="AG727" t="inlineStr">
        <is>
          <t xml:space="preserve">FUNCTION: In the hair cortex, hair keratin intermediate filaments are embedded in an interfilamentous matrix, consisting of hair keratin-associated proteins (KRTAP), which are essential for the formation of a rigid and resistant hair shaft through their extensive disulfide bond cross-linking with abundant cysteine residues of hair keratins. The matrix proteins include the high- sulfur and high-glycine-tyrosine keratins.; </t>
        </is>
      </c>
      <c r="AH727" t="inlineStr">
        <is>
          <t>.</t>
        </is>
      </c>
      <c r="AI727" t="inlineStr">
        <is>
          <t>.</t>
        </is>
      </c>
      <c r="AJ727" t="inlineStr">
        <is>
          <t>.</t>
        </is>
      </c>
      <c r="AK727" t="inlineStr">
        <is>
          <t>.</t>
        </is>
      </c>
      <c r="AL727" t="inlineStr">
        <is>
          <t>NGS_LowStringency</t>
        </is>
      </c>
    </row>
    <row r="728">
      <c r="A728" t="inlineStr"/>
      <c r="B728">
        <f>HYPERLINK("https://genome.ucsc.edu/cgi-bin/hgTracks?db=hg19&amp;position=chr21%3A46930245%2D46930245", "chr21:46930245")</f>
        <v/>
      </c>
      <c r="C728" t="inlineStr">
        <is>
          <t>chr21</t>
        </is>
      </c>
      <c r="D728" t="n">
        <v>46930245</v>
      </c>
      <c r="E728" t="n">
        <v>46930245</v>
      </c>
      <c r="F728" t="inlineStr">
        <is>
          <t>G</t>
        </is>
      </c>
      <c r="G728" t="inlineStr">
        <is>
          <t>A</t>
        </is>
      </c>
      <c r="H728" t="inlineStr">
        <is>
          <t>743.64</t>
        </is>
      </c>
      <c r="I728" t="inlineStr">
        <is>
          <t>40</t>
        </is>
      </c>
      <c r="J728" t="inlineStr">
        <is>
          <t>13,27</t>
        </is>
      </c>
      <c r="K728" t="inlineStr">
        <is>
          <t>.</t>
        </is>
      </c>
      <c r="L728">
        <f>HYPERLINK("https://www.ncbi.nlm.nih.gov/snp/rs977551159", "rs977551159")</f>
        <v/>
      </c>
      <c r="M728">
        <f>HYPERLINK("https://www.genecards.org/Search/Keyword?queryString=%5Baliases%5D(%20COL18A1%20)%20OR%20%5Baliases%5D(%20SLC19A1%20)&amp;keywords=COL18A1,SLC19A1", "COL18A1;SLC19A1")</f>
        <v/>
      </c>
      <c r="N728" t="inlineStr">
        <is>
          <t>intronic</t>
        </is>
      </c>
      <c r="O728" t="inlineStr">
        <is>
          <t>.</t>
        </is>
      </c>
      <c r="P728" t="inlineStr">
        <is>
          <t>.</t>
        </is>
      </c>
      <c r="Q728" t="n">
        <v>-1</v>
      </c>
      <c r="R728" t="n">
        <v>-1</v>
      </c>
      <c r="S728" t="n">
        <v>-1</v>
      </c>
      <c r="T728" t="n">
        <v>-1</v>
      </c>
      <c r="U728" t="n">
        <v>-1</v>
      </c>
      <c r="V728" t="inlineStr">
        <is>
          <t>.</t>
        </is>
      </c>
      <c r="W728" t="inlineStr">
        <is>
          <t>.</t>
        </is>
      </c>
      <c r="X728" t="inlineStr">
        <is>
          <t>D</t>
        </is>
      </c>
      <c r="Y728" t="inlineStr">
        <is>
          <t>off</t>
        </is>
      </c>
      <c r="Z728" t="inlineStr">
        <is>
          <t>.</t>
        </is>
      </c>
      <c r="AA728" t="inlineStr">
        <is>
          <t>.</t>
        </is>
      </c>
      <c r="AB728" t="inlineStr">
        <is>
          <t>.</t>
        </is>
      </c>
      <c r="AC728" t="inlineStr">
        <is>
          <t>0/1</t>
        </is>
      </c>
      <c r="AD728" t="inlineStr">
        <is>
          <t>1;1</t>
        </is>
      </c>
      <c r="AE728" t="inlineStr">
        <is>
          <t>0.0123881003346845;1.23766303264373e-05</t>
        </is>
      </c>
      <c r="AF728" t="inlineStr">
        <is>
          <t>collagen type XVIII alpha 1;solute carrier family 19 member 1</t>
        </is>
      </c>
      <c r="AG728" t="inlineStr">
        <is>
          <t xml:space="preserve">FUNCTION: COLA18A probably plays a major role in determining the retinal structure as well as in the closure of the neural tube.; ;FUNCTION: Transporter for the intake of folate. Uptake of folate in human placental choriocarcinoma cells occurs by a novel mechanism called potocytosis which functionally couples three components, namely the folate receptor, the folate transporter, and a V-type H(+)-pump.; </t>
        </is>
      </c>
      <c r="AH728" t="inlineStr">
        <is>
          <t xml:space="preserve">DISEASE: Knobloch syndrome 1 (KNO1) [MIM:267750]: A developmental disorder primarily characterized by typical eye abnormalities, including high myopia, cataracts, dislocated lens, vitreoretinal degeneration, and retinal detachment, with occipital skull defects, which can range from occipital encephalocele to occult cutis aplasia. {ECO:0000269|PubMed:10942434, ECO:0000269|PubMed:23667181}. Note=The disease is caused by mutations affecting the gene represented in this entry.; </t>
        </is>
      </c>
      <c r="AI728" t="inlineStr">
        <is>
          <t>.</t>
        </is>
      </c>
      <c r="AJ728" t="inlineStr">
        <is>
          <t>.</t>
        </is>
      </c>
      <c r="AK728" t="inlineStr">
        <is>
          <t>.</t>
        </is>
      </c>
      <c r="AL728" t="inlineStr">
        <is>
          <t>.</t>
        </is>
      </c>
    </row>
    <row r="729">
      <c r="A729" t="inlineStr"/>
      <c r="B729">
        <f>HYPERLINK("https://genome.ucsc.edu/cgi-bin/hgTracks?db=hg19&amp;position=chr21%3A47532288%2D47532288", "chr21:47532288")</f>
        <v/>
      </c>
      <c r="C729" t="inlineStr">
        <is>
          <t>chr21</t>
        </is>
      </c>
      <c r="D729" t="n">
        <v>47532288</v>
      </c>
      <c r="E729" t="n">
        <v>47532288</v>
      </c>
      <c r="F729" t="inlineStr">
        <is>
          <t>G</t>
        </is>
      </c>
      <c r="G729" t="inlineStr">
        <is>
          <t>A</t>
        </is>
      </c>
      <c r="H729" t="inlineStr">
        <is>
          <t>1644.64</t>
        </is>
      </c>
      <c r="I729" t="inlineStr">
        <is>
          <t>150</t>
        </is>
      </c>
      <c r="J729" t="inlineStr">
        <is>
          <t>81,69</t>
        </is>
      </c>
      <c r="K729" t="inlineStr">
        <is>
          <t>.</t>
        </is>
      </c>
      <c r="L729">
        <f>HYPERLINK("https://www.ncbi.nlm.nih.gov/snp/rs200710788", "rs200710788")</f>
        <v/>
      </c>
      <c r="M729">
        <f>HYPERLINK("https://www.genecards.org/Search/Keyword?queryString=%5Baliases%5D(%20COL6A2%20)&amp;keywords=COL6A2", "COL6A2")</f>
        <v/>
      </c>
      <c r="N729" t="inlineStr">
        <is>
          <t>exonic</t>
        </is>
      </c>
      <c r="O729" t="inlineStr">
        <is>
          <t>nonsynonymous SNV</t>
        </is>
      </c>
      <c r="P729" t="inlineStr">
        <is>
          <t>COL6A2:NM_001849:exon3:c.G511A:p.G171R,COL6A2:NM_058174:exon3:c.G511A:p.G171R,COL6A2:NM_058175:exon3:c.G511A:p.G171R;COL6A2:uc002zhy.1:exon3:c.G511A:p.G171R,COL6A2:uc002zhz.1:exon3:c.G511A:p.G171R,COL6A2:uc002zia.1:exon3:c.G511A:p.G171R;COL6A2:ENST00000397763.5_1:exon2:c.G511A:p.G171R,COL6A2:ENST00000409416.6_2:exon2:c.G511A:p.G171R,COL6A2:ENST00000300527.9_3:exon3:c.G511A:p.G171R,COL6A2:ENST00000310645.9_1:exon3:c.G511A:p.G171R</t>
        </is>
      </c>
      <c r="Q729" t="n">
        <v>0.003788</v>
      </c>
      <c r="R729" t="n">
        <v>0.001</v>
      </c>
      <c r="S729" t="n">
        <v>0.0014</v>
      </c>
      <c r="T729" t="n">
        <v>-1</v>
      </c>
      <c r="U729" t="n">
        <v>0.0005</v>
      </c>
      <c r="V729" t="inlineStr">
        <is>
          <t>9/11</t>
        </is>
      </c>
      <c r="W729" t="inlineStr">
        <is>
          <t>.</t>
        </is>
      </c>
      <c r="X729" t="inlineStr">
        <is>
          <t>.</t>
        </is>
      </c>
      <c r="Y729" t="inlineStr">
        <is>
          <t>.</t>
        </is>
      </c>
      <c r="Z729" t="inlineStr">
        <is>
          <t>1/7</t>
        </is>
      </c>
      <c r="AA729" t="inlineStr">
        <is>
          <t>Uncertain significance</t>
        </is>
      </c>
      <c r="AB729" t="inlineStr">
        <is>
          <t>Conflicting_interpretations_of_pathogenicity</t>
        </is>
      </c>
      <c r="AC729" t="inlineStr">
        <is>
          <t>0/1</t>
        </is>
      </c>
      <c r="AD729" t="inlineStr">
        <is>
          <t>2</t>
        </is>
      </c>
      <c r="AE729" t="inlineStr">
        <is>
          <t>0.00213375739441823</t>
        </is>
      </c>
      <c r="AF729" t="inlineStr">
        <is>
          <t>collagen type VI alpha 2</t>
        </is>
      </c>
      <c r="AG729" t="inlineStr">
        <is>
          <t xml:space="preserve">FUNCTION: Collagen VI acts as a cell-binding protein.; </t>
        </is>
      </c>
      <c r="AH729" t="inlineStr">
        <is>
          <t xml:space="preserve">DISEASE: Bethlem myopathy 1 (BTHLM1) [MIM:158810]: A benign proximal myopathy characterized by early childhood onset and joint contractures most frequently affecting the elbows and ankles. {ECO:0000269|PubMed:11865138, ECO:0000269|PubMed:15689448, ECO:0000269|PubMed:17886299, ECO:0000269|PubMed:8782832}. Note=The disease is caused by mutations affecting the gene represented in this entry.; DISEASE: Ullrich congenital muscular dystrophy 1 (UCMD1) [MIM:254090]: A congenital myopathy characterized by muscle weakness and multiple joint contractures, generally noted at birth or early infancy. The clinical course is more severe than in Bethlem myopathy. {ECO:0000269|PubMed:15563506, ECO:0000269|PubMed:15689448}. Note=The disease is caused by mutations affecting the gene represented in this entry.; DISEASE: Myosclerosis autosomal recessive (MYOSAR) [MIM:255600]: A condition characterized by chronic inflammation of skeletal muscle with hyperplasia of the interstitial connective tissue. The clinical picture includes slender muscles with firm 'woody' consistency and restriction of movement of many joints because of muscle contractures. Note=The disease is caused by mutations affecting the gene represented in this entry.; </t>
        </is>
      </c>
      <c r="AI729" t="inlineStr">
        <is>
          <t>.</t>
        </is>
      </c>
      <c r="AJ729" t="inlineStr">
        <is>
          <t>.</t>
        </is>
      </c>
      <c r="AK729" t="inlineStr">
        <is>
          <t>.</t>
        </is>
      </c>
      <c r="AL729" t="inlineStr">
        <is>
          <t>.</t>
        </is>
      </c>
    </row>
    <row r="730">
      <c r="A730" t="inlineStr"/>
      <c r="B730">
        <f>HYPERLINK("https://genome.ucsc.edu/cgi-bin/hgTracks?db=hg19&amp;position=chr21%3A47552554%2D47552554", "chr21:47552554")</f>
        <v/>
      </c>
      <c r="C730" t="inlineStr">
        <is>
          <t>chr21</t>
        </is>
      </c>
      <c r="D730" t="n">
        <v>47552554</v>
      </c>
      <c r="E730" t="n">
        <v>47552554</v>
      </c>
      <c r="F730" t="inlineStr">
        <is>
          <t>G</t>
        </is>
      </c>
      <c r="G730" t="inlineStr">
        <is>
          <t>C</t>
        </is>
      </c>
      <c r="H730" t="inlineStr">
        <is>
          <t>649.64</t>
        </is>
      </c>
      <c r="I730" t="inlineStr">
        <is>
          <t>33</t>
        </is>
      </c>
      <c r="J730" t="inlineStr">
        <is>
          <t>10,23</t>
        </is>
      </c>
      <c r="K730" t="inlineStr">
        <is>
          <t>.</t>
        </is>
      </c>
      <c r="L730">
        <f>HYPERLINK("https://www.ncbi.nlm.nih.gov/snp/rs369124688", "rs369124688")</f>
        <v/>
      </c>
      <c r="M730">
        <f>HYPERLINK("https://www.genecards.org/Search/Keyword?queryString=%5Baliases%5D(%20COL6A2%20)%20OR%20%5Baliases%5D(%20DKFZp586E1322%20)&amp;keywords=COL6A2,DKFZp586E1322", "COL6A2;DKFZp586E1322")</f>
        <v/>
      </c>
      <c r="N730" t="inlineStr">
        <is>
          <t>UTR3;ncRNA_exonic</t>
        </is>
      </c>
      <c r="O730" t="inlineStr">
        <is>
          <t>.</t>
        </is>
      </c>
      <c r="P730" t="inlineStr">
        <is>
          <t>NM_001849:c.*88G&gt;C;ENST00000300527.9_3:c.*88G&gt;C</t>
        </is>
      </c>
      <c r="Q730" t="n">
        <v>0.0123</v>
      </c>
      <c r="R730" t="n">
        <v>0.0049</v>
      </c>
      <c r="S730" t="n">
        <v>0.0054</v>
      </c>
      <c r="T730" t="n">
        <v>-1</v>
      </c>
      <c r="U730" t="n">
        <v>0.0081</v>
      </c>
      <c r="V730" t="inlineStr">
        <is>
          <t>.</t>
        </is>
      </c>
      <c r="W730" t="inlineStr">
        <is>
          <t>.</t>
        </is>
      </c>
      <c r="X730" t="inlineStr">
        <is>
          <t>.</t>
        </is>
      </c>
      <c r="Y730" t="inlineStr">
        <is>
          <t>.</t>
        </is>
      </c>
      <c r="Z730" t="inlineStr">
        <is>
          <t>.</t>
        </is>
      </c>
      <c r="AA730" t="inlineStr">
        <is>
          <t>.</t>
        </is>
      </c>
      <c r="AB730" t="inlineStr">
        <is>
          <t>Likely_benign</t>
        </is>
      </c>
      <c r="AC730" t="inlineStr">
        <is>
          <t>0/1</t>
        </is>
      </c>
      <c r="AD730" t="inlineStr">
        <is>
          <t>2;1</t>
        </is>
      </c>
      <c r="AE730" t="inlineStr">
        <is>
          <t>0.00213375739441823</t>
        </is>
      </c>
      <c r="AF730" t="inlineStr">
        <is>
          <t>collagen type VI alpha 2</t>
        </is>
      </c>
      <c r="AG730" t="inlineStr">
        <is>
          <t xml:space="preserve">FUNCTION: Collagen VI acts as a cell-binding protein.; </t>
        </is>
      </c>
      <c r="AH730" t="inlineStr">
        <is>
          <t xml:space="preserve">DISEASE: Bethlem myopathy 1 (BTHLM1) [MIM:158810]: A benign proximal myopathy characterized by early childhood onset and joint contractures most frequently affecting the elbows and ankles. {ECO:0000269|PubMed:11865138, ECO:0000269|PubMed:15689448, ECO:0000269|PubMed:17886299, ECO:0000269|PubMed:8782832}. Note=The disease is caused by mutations affecting the gene represented in this entry.; DISEASE: Ullrich congenital muscular dystrophy 1 (UCMD1) [MIM:254090]: A congenital myopathy characterized by muscle weakness and multiple joint contractures, generally noted at birth or early infancy. The clinical course is more severe than in Bethlem myopathy. {ECO:0000269|PubMed:15563506, ECO:0000269|PubMed:15689448}. Note=The disease is caused by mutations affecting the gene represented in this entry.; DISEASE: Myosclerosis autosomal recessive (MYOSAR) [MIM:255600]: A condition characterized by chronic inflammation of skeletal muscle with hyperplasia of the interstitial connective tissue. The clinical picture includes slender muscles with firm 'woody' consistency and restriction of movement of many joints because of muscle contractures. Note=The disease is caused by mutations affecting the gene represented in this entry.; </t>
        </is>
      </c>
      <c r="AI730" t="inlineStr">
        <is>
          <t>.</t>
        </is>
      </c>
      <c r="AJ730" t="inlineStr">
        <is>
          <t>.</t>
        </is>
      </c>
      <c r="AK730" t="inlineStr">
        <is>
          <t>.</t>
        </is>
      </c>
      <c r="AL730" t="inlineStr">
        <is>
          <t>.</t>
        </is>
      </c>
    </row>
    <row r="731">
      <c r="A731" t="inlineStr"/>
      <c r="B731">
        <f>HYPERLINK("https://genome.ucsc.edu/cgi-bin/hgTracks?db=hg19&amp;position=chr21%3A47965873%2D47965873", "chr21:47965873")</f>
        <v/>
      </c>
      <c r="C731" t="inlineStr">
        <is>
          <t>chr21</t>
        </is>
      </c>
      <c r="D731" t="n">
        <v>47965873</v>
      </c>
      <c r="E731" t="n">
        <v>47965873</v>
      </c>
      <c r="F731" t="inlineStr">
        <is>
          <t>C</t>
        </is>
      </c>
      <c r="G731" t="inlineStr">
        <is>
          <t>T</t>
        </is>
      </c>
      <c r="H731" t="inlineStr">
        <is>
          <t>1763.64</t>
        </is>
      </c>
      <c r="I731" t="inlineStr">
        <is>
          <t>160</t>
        </is>
      </c>
      <c r="J731" t="inlineStr">
        <is>
          <t>83,77</t>
        </is>
      </c>
      <c r="K731" t="inlineStr">
        <is>
          <t>.</t>
        </is>
      </c>
      <c r="L731">
        <f>HYPERLINK("https://www.ncbi.nlm.nih.gov/snp/rs144400668", "rs144400668")</f>
        <v/>
      </c>
      <c r="M731">
        <f>HYPERLINK("https://www.genecards.org/Search/Keyword?queryString=%5Baliases%5D(%20DIP2A%20)&amp;keywords=DIP2A", "DIP2A")</f>
        <v/>
      </c>
      <c r="N731" t="inlineStr">
        <is>
          <t>exonic</t>
        </is>
      </c>
      <c r="O731" t="inlineStr">
        <is>
          <t>nonsynonymous SNV</t>
        </is>
      </c>
      <c r="P731" t="inlineStr">
        <is>
          <t>DIP2A:NM_001146115:exon19:c.C2264T:p.P755L,DIP2A:NM_001353944:exon19:c.C2144T:p.P715L,DIP2A:NM_001146116:exon20:c.C2381T:p.P794L,DIP2A:NM_001353942:exon20:c.C2396T:p.P799L,DIP2A:NM_001353943:exon20:c.C2393T:p.P798L,DIP2A:NM_015151:exon20:c.C2393T:p.P798L,DIP2A:NM_206889:exon20:c.C2393T:p.P798L,DIP2A:NM_206890:exon20:c.C2393T:p.P798L,DIP2A:NM_206891:exon20:c.C2393T:p.P798L;DIP2A:uc011afy.1:exon18:c.C2201T:p.P734L,DIP2A:uc010gql.3:exon19:c.C2264T:p.P755L,DIP2A:uc002zjl.3:exon20:c.C2393T:p.P798L,DIP2A:uc002zjm.3:exon20:c.C2393T:p.P798L,DIP2A:uc002zjn.3:exon20:c.C2393T:p.P798L,DIP2A:uc002zjo.2:exon20:c.C2393T:p.P798L,DIP2A:uc011afz.1:exon20:c.C2381T:p.P794L;DIP2A:ENST00000466639.5_1:exon19:c.C2264T:p.P755L,DIP2A:ENST00000400274.5_1:exon20:c.C2381T:p.P794L,DIP2A:ENST00000417564.3_8:exon20:c.C2393T:p.P798L,DIP2A:ENST00000435722.7_1:exon20:c.C2393T:p.P798L,DIP2A:ENST00000457905.7_1:exon20:c.C2393T:p.P798L,DIP2A:ENST00000651436.1_1:exon20:c.C2393T:p.P798L</t>
        </is>
      </c>
      <c r="Q731" t="n">
        <v>0.0104</v>
      </c>
      <c r="R731" t="n">
        <v>0.0095</v>
      </c>
      <c r="S731" t="n">
        <v>0.0101</v>
      </c>
      <c r="T731" t="n">
        <v>-1</v>
      </c>
      <c r="U731" t="n">
        <v>0.0078</v>
      </c>
      <c r="V731" t="inlineStr">
        <is>
          <t>7/10</t>
        </is>
      </c>
      <c r="W731" t="inlineStr">
        <is>
          <t>D</t>
        </is>
      </c>
      <c r="X731" t="inlineStr">
        <is>
          <t>.</t>
        </is>
      </c>
      <c r="Y731" t="inlineStr">
        <is>
          <t>.</t>
        </is>
      </c>
      <c r="Z731" t="inlineStr">
        <is>
          <t>4/7</t>
        </is>
      </c>
      <c r="AA731" t="inlineStr">
        <is>
          <t>Uncertain significance</t>
        </is>
      </c>
      <c r="AB731" t="inlineStr">
        <is>
          <t>Likely_benign</t>
        </is>
      </c>
      <c r="AC731" t="inlineStr">
        <is>
          <t>0/1</t>
        </is>
      </c>
      <c r="AD731" t="inlineStr">
        <is>
          <t>1</t>
        </is>
      </c>
      <c r="AE731" t="inlineStr">
        <is>
          <t>0.726099073608303</t>
        </is>
      </c>
      <c r="AF731" t="inlineStr">
        <is>
          <t>disco interacting protein 2 homolog A</t>
        </is>
      </c>
      <c r="AG731" t="inlineStr">
        <is>
          <t xml:space="preserve">FUNCTION: May provide positional cues for axon pathfinding and patterning in the central nervous system.; </t>
        </is>
      </c>
      <c r="AH731" t="inlineStr">
        <is>
          <t>.</t>
        </is>
      </c>
      <c r="AI731" t="inlineStr">
        <is>
          <t>.</t>
        </is>
      </c>
      <c r="AJ731" t="inlineStr">
        <is>
          <t>.</t>
        </is>
      </c>
      <c r="AK731" t="inlineStr">
        <is>
          <t>.</t>
        </is>
      </c>
      <c r="AL731" t="inlineStr">
        <is>
          <t>.</t>
        </is>
      </c>
    </row>
    <row r="732">
      <c r="A732" t="inlineStr"/>
      <c r="B732">
        <f>HYPERLINK("https://genome.ucsc.edu/cgi-bin/hgTracks?db=hg19&amp;position=chr22%3A17978690%2D17978690", "chr22:17978690")</f>
        <v/>
      </c>
      <c r="C732" t="inlineStr">
        <is>
          <t>chr22</t>
        </is>
      </c>
      <c r="D732" t="n">
        <v>17978690</v>
      </c>
      <c r="E732" t="n">
        <v>17978690</v>
      </c>
      <c r="F732" t="inlineStr">
        <is>
          <t>C</t>
        </is>
      </c>
      <c r="G732" t="inlineStr">
        <is>
          <t>G</t>
        </is>
      </c>
      <c r="H732" t="inlineStr">
        <is>
          <t>356.64</t>
        </is>
      </c>
      <c r="I732" t="inlineStr">
        <is>
          <t>17</t>
        </is>
      </c>
      <c r="J732" t="inlineStr">
        <is>
          <t>7,10</t>
        </is>
      </c>
      <c r="K732" t="inlineStr">
        <is>
          <t>.</t>
        </is>
      </c>
      <c r="L732">
        <f>HYPERLINK("https://www.ncbi.nlm.nih.gov/snp/rs118024395", "rs118024395")</f>
        <v/>
      </c>
      <c r="M732">
        <f>HYPERLINK("https://www.genecards.org/Search/Keyword?queryString=%5Baliases%5D(%20CECR2%20)&amp;keywords=CECR2", "CECR2")</f>
        <v/>
      </c>
      <c r="N732" t="inlineStr">
        <is>
          <t>intronic</t>
        </is>
      </c>
      <c r="O732" t="inlineStr">
        <is>
          <t>.</t>
        </is>
      </c>
      <c r="P732" t="inlineStr">
        <is>
          <t>.</t>
        </is>
      </c>
      <c r="Q732" t="n">
        <v>0.013136</v>
      </c>
      <c r="R732" t="n">
        <v>0.0118</v>
      </c>
      <c r="S732" t="n">
        <v>0.0119</v>
      </c>
      <c r="T732" t="n">
        <v>-1</v>
      </c>
      <c r="U732" t="n">
        <v>0.0133</v>
      </c>
      <c r="V732" t="inlineStr">
        <is>
          <t>.</t>
        </is>
      </c>
      <c r="W732" t="inlineStr">
        <is>
          <t>.</t>
        </is>
      </c>
      <c r="X732" t="inlineStr">
        <is>
          <t>D</t>
        </is>
      </c>
      <c r="Y732" t="inlineStr">
        <is>
          <t>off</t>
        </is>
      </c>
      <c r="Z732" t="inlineStr">
        <is>
          <t>.</t>
        </is>
      </c>
      <c r="AA732" t="inlineStr">
        <is>
          <t>.</t>
        </is>
      </c>
      <c r="AB732" t="inlineStr">
        <is>
          <t>.</t>
        </is>
      </c>
      <c r="AC732" t="inlineStr">
        <is>
          <t>0/1</t>
        </is>
      </c>
      <c r="AD732" t="inlineStr">
        <is>
          <t>1</t>
        </is>
      </c>
      <c r="AE732" t="inlineStr">
        <is>
          <t>.</t>
        </is>
      </c>
      <c r="AF732" t="inlineStr">
        <is>
          <t>cat eye syndrome chromosome region, candidate 2</t>
        </is>
      </c>
      <c r="AG732" t="inlineStr">
        <is>
          <t xml:space="preserve">FUNCTION: Part of the CERF (CECR2-containing-remodeling factor) complex, which facilitates the perturbation of chromatin structure in an ATP-dependent manner. May be involved through its interaction with LRPPRC in the integration of cytoskeletal network with vesicular trafficking, nucleocytosolic shuttling, transcription, chromosome remodeling and cytokinesis. {ECO:0000269|PubMed:15640247}.; </t>
        </is>
      </c>
      <c r="AH732" t="inlineStr">
        <is>
          <t>.</t>
        </is>
      </c>
      <c r="AI732" t="inlineStr">
        <is>
          <t>.</t>
        </is>
      </c>
      <c r="AJ732" t="inlineStr">
        <is>
          <t>.</t>
        </is>
      </c>
      <c r="AK732" t="inlineStr">
        <is>
          <t>.</t>
        </is>
      </c>
      <c r="AL732" t="inlineStr">
        <is>
          <t>.</t>
        </is>
      </c>
    </row>
    <row r="733">
      <c r="A733" t="inlineStr"/>
      <c r="B733">
        <f>HYPERLINK("https://genome.ucsc.edu/cgi-bin/hgTracks?db=hg19&amp;position=chr22%3A19119929%2D19119929", "chr22:19119929")</f>
        <v/>
      </c>
      <c r="C733" t="inlineStr">
        <is>
          <t>chr22</t>
        </is>
      </c>
      <c r="D733" t="n">
        <v>19119929</v>
      </c>
      <c r="E733" t="n">
        <v>19119929</v>
      </c>
      <c r="F733" t="inlineStr">
        <is>
          <t>G</t>
        </is>
      </c>
      <c r="G733" t="inlineStr">
        <is>
          <t>T</t>
        </is>
      </c>
      <c r="H733" t="inlineStr">
        <is>
          <t>125.64</t>
        </is>
      </c>
      <c r="I733" t="inlineStr">
        <is>
          <t>354</t>
        </is>
      </c>
      <c r="J733" t="inlineStr">
        <is>
          <t>313,41</t>
        </is>
      </c>
      <c r="K733" t="inlineStr">
        <is>
          <t>.</t>
        </is>
      </c>
      <c r="L733" t="inlineStr">
        <is>
          <t>.</t>
        </is>
      </c>
      <c r="M733">
        <f>HYPERLINK("https://www.genecards.org/Search/Keyword?queryString=%5Baliases%5D(%20TSSK2%20)&amp;keywords=TSSK2", "TSSK2")</f>
        <v/>
      </c>
      <c r="N733" t="inlineStr">
        <is>
          <t>exonic</t>
        </is>
      </c>
      <c r="O733" t="inlineStr">
        <is>
          <t>nonsynonymous SNV</t>
        </is>
      </c>
      <c r="P733" t="inlineStr">
        <is>
          <t>TSSK2:NM_053006:exon1:c.G1017T:p.E339D;TSSK2:uc002zow.2:exon1:c.G1017T:p.E339D;TSSK2:ENST00000399635.4_3:exon1:c.G1017T:p.E339D</t>
        </is>
      </c>
      <c r="Q733" t="n">
        <v>-1</v>
      </c>
      <c r="R733" t="n">
        <v>-1</v>
      </c>
      <c r="S733" t="n">
        <v>-1</v>
      </c>
      <c r="T733" t="n">
        <v>-1</v>
      </c>
      <c r="U733" t="n">
        <v>-1</v>
      </c>
      <c r="V733" t="inlineStr">
        <is>
          <t>4/12</t>
        </is>
      </c>
      <c r="W733" t="inlineStr">
        <is>
          <t>.</t>
        </is>
      </c>
      <c r="X733" t="inlineStr">
        <is>
          <t>.</t>
        </is>
      </c>
      <c r="Y733" t="inlineStr">
        <is>
          <t>.</t>
        </is>
      </c>
      <c r="Z733" t="inlineStr">
        <is>
          <t>3/7</t>
        </is>
      </c>
      <c r="AA733" t="inlineStr">
        <is>
          <t>Uncertain significance</t>
        </is>
      </c>
      <c r="AB733" t="inlineStr">
        <is>
          <t>.</t>
        </is>
      </c>
      <c r="AC733" t="inlineStr">
        <is>
          <t>0/1</t>
        </is>
      </c>
      <c r="AD733" t="inlineStr">
        <is>
          <t>1</t>
        </is>
      </c>
      <c r="AE733" t="inlineStr">
        <is>
          <t>0.0041565292806896</t>
        </is>
      </c>
      <c r="AF733" t="inlineStr">
        <is>
          <t>testis specific serine kinase 2</t>
        </is>
      </c>
      <c r="AG733" t="inlineStr">
        <is>
          <t xml:space="preserve">FUNCTION: Testis-specific serine/threonine-protein kinase required during spermatid development. Phosphorylates TSKS at 'Ser-288' and SPAG16. Involved in the late stages of spermatogenesis, during the reconstruction of the cytoplasm. During spermatogenesis, required for the transformation of a ring-shaped structure around the base of the flagellum originating from the chromatoid body. {ECO:0000269|PubMed:15044604, ECO:0000269|PubMed:18533145, ECO:0000269|PubMed:20729278}.; </t>
        </is>
      </c>
      <c r="AH733" t="inlineStr">
        <is>
          <t>.</t>
        </is>
      </c>
      <c r="AI733" t="inlineStr">
        <is>
          <t>.</t>
        </is>
      </c>
      <c r="AJ733" t="inlineStr">
        <is>
          <t>.</t>
        </is>
      </c>
      <c r="AK733" t="inlineStr">
        <is>
          <t>.</t>
        </is>
      </c>
      <c r="AL733" t="inlineStr">
        <is>
          <t>.</t>
        </is>
      </c>
    </row>
    <row r="734">
      <c r="A734" t="inlineStr"/>
      <c r="B734">
        <f>HYPERLINK("https://genome.ucsc.edu/cgi-bin/hgTracks?db=hg19&amp;position=chr22%3A19348776%2D19348776", "chr22:19348776")</f>
        <v/>
      </c>
      <c r="C734" t="inlineStr">
        <is>
          <t>chr22</t>
        </is>
      </c>
      <c r="D734" t="n">
        <v>19348776</v>
      </c>
      <c r="E734" t="n">
        <v>19348776</v>
      </c>
      <c r="F734" t="inlineStr">
        <is>
          <t>C</t>
        </is>
      </c>
      <c r="G734" t="inlineStr">
        <is>
          <t>G</t>
        </is>
      </c>
      <c r="H734" t="inlineStr">
        <is>
          <t>321.64</t>
        </is>
      </c>
      <c r="I734" t="inlineStr">
        <is>
          <t>290</t>
        </is>
      </c>
      <c r="J734" t="inlineStr">
        <is>
          <t>255,35</t>
        </is>
      </c>
      <c r="K734" t="inlineStr">
        <is>
          <t>.</t>
        </is>
      </c>
      <c r="L734">
        <f>HYPERLINK("https://www.ncbi.nlm.nih.gov/snp/rs774490830", "rs774490830")</f>
        <v/>
      </c>
      <c r="M734">
        <f>HYPERLINK("https://www.genecards.org/Search/Keyword?queryString=%5Baliases%5D(%20HIRA%20)&amp;keywords=HIRA", "HIRA")</f>
        <v/>
      </c>
      <c r="N734" t="inlineStr">
        <is>
          <t>exonic</t>
        </is>
      </c>
      <c r="O734" t="inlineStr">
        <is>
          <t>nonsynonymous SNV</t>
        </is>
      </c>
      <c r="P734" t="inlineStr">
        <is>
          <t>HIRA:NM_003325:exon17:c.G2069C:p.R690T;HIRA:uc002zpf.1:exon17:c.G2069C:p.R690T,HIRA:uc010gro.2:exon17:c.G1937C:p.R646T,HIRA:uc011agx.1:exon19:c.G1667C:p.R556T;HIRA:ENST00000263208.5_5:exon17:c.G2069C:p.R690T</t>
        </is>
      </c>
      <c r="Q734" t="n">
        <v>0.0002</v>
      </c>
      <c r="R734" t="n">
        <v>9.027e-05</v>
      </c>
      <c r="S734" t="n">
        <v>0.0002</v>
      </c>
      <c r="T734" t="n">
        <v>-1</v>
      </c>
      <c r="U734" t="n">
        <v>0.0002</v>
      </c>
      <c r="V734" t="inlineStr">
        <is>
          <t>6/11</t>
        </is>
      </c>
      <c r="W734" t="inlineStr">
        <is>
          <t>.</t>
        </is>
      </c>
      <c r="X734" t="inlineStr">
        <is>
          <t>.</t>
        </is>
      </c>
      <c r="Y734" t="inlineStr">
        <is>
          <t>.</t>
        </is>
      </c>
      <c r="Z734" t="inlineStr">
        <is>
          <t>2/7</t>
        </is>
      </c>
      <c r="AA734" t="inlineStr">
        <is>
          <t>Uncertain significance</t>
        </is>
      </c>
      <c r="AB734" t="inlineStr">
        <is>
          <t>.</t>
        </is>
      </c>
      <c r="AC734" t="inlineStr">
        <is>
          <t>0/1</t>
        </is>
      </c>
      <c r="AD734" t="inlineStr">
        <is>
          <t>1</t>
        </is>
      </c>
      <c r="AE734" t="inlineStr">
        <is>
          <t>0.999998171154956</t>
        </is>
      </c>
      <c r="AF734" t="inlineStr">
        <is>
          <t>histone cell cycle regulator</t>
        </is>
      </c>
      <c r="AG734" t="inlineStr">
        <is>
          <t xml:space="preserve">FUNCTION: Cooperates with ASF1A to promote replication-independent chromatin assembly. Required for the periodic repression of histone gene transcription during the cell cycle. Required for the formation of senescence-associated heterochromatin foci (SAHF) and efficient senescence-associated cell cycle exit. {ECO:0000269|PubMed:12370293, ECO:0000269|PubMed:14718166, ECO:0000269|PubMed:15621527}.; </t>
        </is>
      </c>
      <c r="AH734" t="inlineStr">
        <is>
          <t>.</t>
        </is>
      </c>
      <c r="AI734" t="inlineStr">
        <is>
          <t>.</t>
        </is>
      </c>
      <c r="AJ734" t="inlineStr">
        <is>
          <t>.</t>
        </is>
      </c>
      <c r="AK734" t="inlineStr">
        <is>
          <t>.</t>
        </is>
      </c>
      <c r="AL734" t="inlineStr">
        <is>
          <t>.</t>
        </is>
      </c>
    </row>
    <row r="735">
      <c r="A735" t="inlineStr"/>
      <c r="B735">
        <f>HYPERLINK("https://genome.ucsc.edu/cgi-bin/hgTracks?db=hg19&amp;position=chr22%3A21104150%2D21104150", "chr22:21104150")</f>
        <v/>
      </c>
      <c r="C735" t="inlineStr">
        <is>
          <t>chr22</t>
        </is>
      </c>
      <c r="D735" t="n">
        <v>21104150</v>
      </c>
      <c r="E735" t="n">
        <v>21104150</v>
      </c>
      <c r="F735" t="inlineStr">
        <is>
          <t>T</t>
        </is>
      </c>
      <c r="G735" t="inlineStr">
        <is>
          <t>C</t>
        </is>
      </c>
      <c r="H735" t="inlineStr">
        <is>
          <t>5223.64</t>
        </is>
      </c>
      <c r="I735" t="inlineStr">
        <is>
          <t>224</t>
        </is>
      </c>
      <c r="J735" t="inlineStr">
        <is>
          <t>30,194</t>
        </is>
      </c>
      <c r="K735" t="inlineStr">
        <is>
          <t>.</t>
        </is>
      </c>
      <c r="L735">
        <f>HYPERLINK("https://www.ncbi.nlm.nih.gov/snp/rs189388424", "rs189388424")</f>
        <v/>
      </c>
      <c r="M735">
        <f>HYPERLINK("https://www.genecards.org/Search/Keyword?queryString=%5Baliases%5D(%20LOC107987389%20)%20OR%20%5Baliases%5D(%20PI4KA%20)&amp;keywords=LOC107987389,PI4KA", "LOC107987389;PI4KA")</f>
        <v/>
      </c>
      <c r="N735" t="inlineStr">
        <is>
          <t>intronic;ncRNA_intronic</t>
        </is>
      </c>
      <c r="O735" t="inlineStr">
        <is>
          <t>.</t>
        </is>
      </c>
      <c r="P735" t="inlineStr">
        <is>
          <t>.</t>
        </is>
      </c>
      <c r="Q735" t="n">
        <v>0.018062</v>
      </c>
      <c r="R735" t="n">
        <v>0.0069</v>
      </c>
      <c r="S735" t="n">
        <v>0.0074</v>
      </c>
      <c r="T735" t="n">
        <v>-1</v>
      </c>
      <c r="U735" t="n">
        <v>0.0041</v>
      </c>
      <c r="V735" t="inlineStr">
        <is>
          <t>.</t>
        </is>
      </c>
      <c r="W735" t="inlineStr">
        <is>
          <t>.</t>
        </is>
      </c>
      <c r="X735" t="inlineStr">
        <is>
          <t>D</t>
        </is>
      </c>
      <c r="Y735" t="inlineStr">
        <is>
          <t>off</t>
        </is>
      </c>
      <c r="Z735" t="inlineStr">
        <is>
          <t>.</t>
        </is>
      </c>
      <c r="AA735" t="inlineStr">
        <is>
          <t>.</t>
        </is>
      </c>
      <c r="AB735" t="inlineStr">
        <is>
          <t>.</t>
        </is>
      </c>
      <c r="AC735" t="inlineStr">
        <is>
          <t>0/1</t>
        </is>
      </c>
      <c r="AD735" t="inlineStr">
        <is>
          <t>3;1</t>
        </is>
      </c>
      <c r="AE735" t="inlineStr">
        <is>
          <t>0.000804073363471932</t>
        </is>
      </c>
      <c r="AF735" t="inlineStr">
        <is>
          <t>phosphatidylinositol 4-kinase alpha</t>
        </is>
      </c>
      <c r="AG735" t="inlineStr">
        <is>
          <t xml:space="preserve">FUNCTION: Acts on phosphatidylinositol (PtdIns) in the first committed step in the production of the second messenger inositol- 1,4,5,-trisphosphate. {ECO:0000269|PubMed:10101268, ECO:0000269|PubMed:23229899}.; </t>
        </is>
      </c>
      <c r="AH735" t="inlineStr">
        <is>
          <t>.</t>
        </is>
      </c>
      <c r="AI735" t="inlineStr">
        <is>
          <t>.</t>
        </is>
      </c>
      <c r="AJ735" t="inlineStr">
        <is>
          <t>.</t>
        </is>
      </c>
      <c r="AK735" t="inlineStr">
        <is>
          <t>.</t>
        </is>
      </c>
      <c r="AL735" t="inlineStr">
        <is>
          <t>.</t>
        </is>
      </c>
    </row>
    <row r="736">
      <c r="A736" t="inlineStr"/>
      <c r="B736">
        <f>HYPERLINK("https://genome.ucsc.edu/cgi-bin/hgTracks?db=hg19&amp;position=chr22%3A21337041%2D21337041", "chr22:21337041")</f>
        <v/>
      </c>
      <c r="C736" t="inlineStr">
        <is>
          <t>chr22</t>
        </is>
      </c>
      <c r="D736" t="n">
        <v>21337041</v>
      </c>
      <c r="E736" t="n">
        <v>21337041</v>
      </c>
      <c r="F736" t="inlineStr">
        <is>
          <t>G</t>
        </is>
      </c>
      <c r="G736" t="inlineStr">
        <is>
          <t>A</t>
        </is>
      </c>
      <c r="H736" t="inlineStr">
        <is>
          <t>36.64</t>
        </is>
      </c>
      <c r="I736" t="inlineStr">
        <is>
          <t>13</t>
        </is>
      </c>
      <c r="J736" t="inlineStr">
        <is>
          <t>11,2</t>
        </is>
      </c>
      <c r="K736" t="inlineStr">
        <is>
          <t>.</t>
        </is>
      </c>
      <c r="L736">
        <f>HYPERLINK("https://www.ncbi.nlm.nih.gov/snp/rs942734650", "rs942734650")</f>
        <v/>
      </c>
      <c r="M736">
        <f>HYPERLINK("https://www.genecards.org/Search/Keyword?queryString=%5Baliases%5D(%20LOC107987389%20)%20OR%20%5Baliases%5D(%20LZTR1%20)&amp;keywords=LOC107987389,LZTR1", "LOC107987389;LZTR1")</f>
        <v/>
      </c>
      <c r="N736" t="inlineStr">
        <is>
          <t>intronic;ncRNA_intronic</t>
        </is>
      </c>
      <c r="O736" t="inlineStr">
        <is>
          <t>.</t>
        </is>
      </c>
      <c r="P736" t="inlineStr">
        <is>
          <t>.</t>
        </is>
      </c>
      <c r="Q736" t="n">
        <v>-1</v>
      </c>
      <c r="R736" t="n">
        <v>-1</v>
      </c>
      <c r="S736" t="n">
        <v>-1</v>
      </c>
      <c r="T736" t="n">
        <v>-1</v>
      </c>
      <c r="U736" t="n">
        <v>-1</v>
      </c>
      <c r="V736" t="inlineStr">
        <is>
          <t>.</t>
        </is>
      </c>
      <c r="W736" t="inlineStr">
        <is>
          <t>.</t>
        </is>
      </c>
      <c r="X736" t="inlineStr">
        <is>
          <t>B</t>
        </is>
      </c>
      <c r="Y736" t="inlineStr">
        <is>
          <t>off</t>
        </is>
      </c>
      <c r="Z736" t="inlineStr">
        <is>
          <t>.</t>
        </is>
      </c>
      <c r="AA736" t="inlineStr">
        <is>
          <t>.</t>
        </is>
      </c>
      <c r="AB736" t="inlineStr">
        <is>
          <t>.</t>
        </is>
      </c>
      <c r="AC736" t="inlineStr">
        <is>
          <t>0/1</t>
        </is>
      </c>
      <c r="AD736" t="inlineStr">
        <is>
          <t>3;2</t>
        </is>
      </c>
      <c r="AE736" t="inlineStr">
        <is>
          <t>3.38323005538586e-52</t>
        </is>
      </c>
      <c r="AF736" t="inlineStr">
        <is>
          <t>leucine-zipper-like transcription regulator 1</t>
        </is>
      </c>
      <c r="AG736" t="inlineStr">
        <is>
          <t xml:space="preserve">FUNCTION: Probable transcriptional regulator that may play a crucial role in embryogenesis.; </t>
        </is>
      </c>
      <c r="AH736" t="inlineStr">
        <is>
          <t xml:space="preserve">DISEASE: Schwannomatosis 2 (SWNTS2) [MIM:615670]: A cancer predisposition syndrome in which patients develop multiple non- vestibular schwannomas, benign neoplasms that arise from Schwann cells of the cranial, peripheral, and autonomic nerves. {ECO:0000269|PubMed:24362817}. Note=Disease susceptibility is associated with variations affecting the gene represented in this entry.; </t>
        </is>
      </c>
      <c r="AI736" t="inlineStr">
        <is>
          <t>.</t>
        </is>
      </c>
      <c r="AJ736" t="inlineStr">
        <is>
          <t>.</t>
        </is>
      </c>
      <c r="AK736" t="inlineStr">
        <is>
          <t>.</t>
        </is>
      </c>
      <c r="AL736" t="inlineStr">
        <is>
          <t>.</t>
        </is>
      </c>
    </row>
    <row r="737">
      <c r="A737" t="inlineStr"/>
      <c r="B737">
        <f>HYPERLINK("https://genome.ucsc.edu/cgi-bin/hgTracks?db=hg19&amp;position=chr22%3A21337519%2D21337519", "chr22:21337519")</f>
        <v/>
      </c>
      <c r="C737" t="inlineStr">
        <is>
          <t>chr22</t>
        </is>
      </c>
      <c r="D737" t="n">
        <v>21337519</v>
      </c>
      <c r="E737" t="n">
        <v>21337519</v>
      </c>
      <c r="F737" t="inlineStr">
        <is>
          <t>C</t>
        </is>
      </c>
      <c r="G737" t="inlineStr">
        <is>
          <t>A</t>
        </is>
      </c>
      <c r="H737" t="inlineStr">
        <is>
          <t>937.64</t>
        </is>
      </c>
      <c r="I737" t="inlineStr">
        <is>
          <t>32</t>
        </is>
      </c>
      <c r="J737" t="inlineStr">
        <is>
          <t>6,26</t>
        </is>
      </c>
      <c r="K737" t="inlineStr">
        <is>
          <t>.</t>
        </is>
      </c>
      <c r="L737">
        <f>HYPERLINK("https://www.ncbi.nlm.nih.gov/snp/rs933584776", "rs933584776")</f>
        <v/>
      </c>
      <c r="M737">
        <f>HYPERLINK("https://www.genecards.org/Search/Keyword?queryString=%5Baliases%5D(%20LOC107987389%20)%20OR%20%5Baliases%5D(%20LZTR1%20)&amp;keywords=LOC107987389,LZTR1", "LOC107987389;LZTR1")</f>
        <v/>
      </c>
      <c r="N737" t="inlineStr">
        <is>
          <t>intronic;ncRNA_intronic</t>
        </is>
      </c>
      <c r="O737" t="inlineStr">
        <is>
          <t>.</t>
        </is>
      </c>
      <c r="P737" t="inlineStr">
        <is>
          <t>.</t>
        </is>
      </c>
      <c r="Q737" t="n">
        <v>-1</v>
      </c>
      <c r="R737" t="n">
        <v>-1</v>
      </c>
      <c r="S737" t="n">
        <v>-1</v>
      </c>
      <c r="T737" t="n">
        <v>-1</v>
      </c>
      <c r="U737" t="n">
        <v>-1</v>
      </c>
      <c r="V737" t="inlineStr">
        <is>
          <t>.</t>
        </is>
      </c>
      <c r="W737" t="inlineStr">
        <is>
          <t>.</t>
        </is>
      </c>
      <c r="X737" t="inlineStr">
        <is>
          <t>B</t>
        </is>
      </c>
      <c r="Y737" t="inlineStr">
        <is>
          <t>off</t>
        </is>
      </c>
      <c r="Z737" t="inlineStr">
        <is>
          <t>.</t>
        </is>
      </c>
      <c r="AA737" t="inlineStr">
        <is>
          <t>.</t>
        </is>
      </c>
      <c r="AB737" t="inlineStr">
        <is>
          <t>.</t>
        </is>
      </c>
      <c r="AC737" t="inlineStr">
        <is>
          <t>0/1</t>
        </is>
      </c>
      <c r="AD737" t="inlineStr">
        <is>
          <t>3;2</t>
        </is>
      </c>
      <c r="AE737" t="inlineStr">
        <is>
          <t>3.38323005538586e-52</t>
        </is>
      </c>
      <c r="AF737" t="inlineStr">
        <is>
          <t>leucine-zipper-like transcription regulator 1</t>
        </is>
      </c>
      <c r="AG737" t="inlineStr">
        <is>
          <t xml:space="preserve">FUNCTION: Probable transcriptional regulator that may play a crucial role in embryogenesis.; </t>
        </is>
      </c>
      <c r="AH737" t="inlineStr">
        <is>
          <t xml:space="preserve">DISEASE: Schwannomatosis 2 (SWNTS2) [MIM:615670]: A cancer predisposition syndrome in which patients develop multiple non- vestibular schwannomas, benign neoplasms that arise from Schwann cells of the cranial, peripheral, and autonomic nerves. {ECO:0000269|PubMed:24362817}. Note=Disease susceptibility is associated with variations affecting the gene represented in this entry.; </t>
        </is>
      </c>
      <c r="AI737" t="inlineStr">
        <is>
          <t>.</t>
        </is>
      </c>
      <c r="AJ737" t="inlineStr">
        <is>
          <t>.</t>
        </is>
      </c>
      <c r="AK737" t="inlineStr">
        <is>
          <t>.</t>
        </is>
      </c>
      <c r="AL737" t="inlineStr">
        <is>
          <t>.</t>
        </is>
      </c>
    </row>
    <row r="738">
      <c r="A738" t="inlineStr"/>
      <c r="B738">
        <f>HYPERLINK("https://genome.ucsc.edu/cgi-bin/hgTracks?db=hg19&amp;position=chr22%3A23654017%2D23654017", "chr22:23654017")</f>
        <v/>
      </c>
      <c r="C738" t="inlineStr">
        <is>
          <t>chr22</t>
        </is>
      </c>
      <c r="D738" t="n">
        <v>23654017</v>
      </c>
      <c r="E738" t="n">
        <v>23654017</v>
      </c>
      <c r="F738" t="inlineStr">
        <is>
          <t>G</t>
        </is>
      </c>
      <c r="G738" t="inlineStr">
        <is>
          <t>A</t>
        </is>
      </c>
      <c r="H738" t="inlineStr">
        <is>
          <t>134.64</t>
        </is>
      </c>
      <c r="I738" t="inlineStr">
        <is>
          <t>39</t>
        </is>
      </c>
      <c r="J738" t="inlineStr">
        <is>
          <t>31,8</t>
        </is>
      </c>
      <c r="K738" t="inlineStr">
        <is>
          <t>.</t>
        </is>
      </c>
      <c r="L738">
        <f>HYPERLINK("https://www.ncbi.nlm.nih.gov/snp/rs879255379", "rs879255379")</f>
        <v/>
      </c>
      <c r="M738">
        <f>HYPERLINK("https://www.genecards.org/Search/Keyword?queryString=%5Baliases%5D(%20BCR%20)&amp;keywords=BCR", "BCR")</f>
        <v/>
      </c>
      <c r="N738" t="inlineStr">
        <is>
          <t>exonic</t>
        </is>
      </c>
      <c r="O738" t="inlineStr">
        <is>
          <t>nonsynonymous SNV</t>
        </is>
      </c>
      <c r="P738" t="inlineStr">
        <is>
          <t>BCR:NM_021574:exon18:c.G3184A:p.D1062N,BCR:NM_004327:exon19:c.G3316A:p.D1106N;BCR:uc002zwx.3:exon18:c.G3184A:p.D1062N,BCR:uc002zww.3:exon19:c.G3316A:p.D1106N,BCR:uc011aiy.2:exon19:c.G2083A:p.D695N;BCR:ENST00000359540.7_4:exon18:c.G3184A:p.D1062N,BCR:ENST00000305877.13_6:exon19:c.G3316A:p.D1106N</t>
        </is>
      </c>
      <c r="Q738" t="n">
        <v>0.0276</v>
      </c>
      <c r="R738" t="n">
        <v>0.007900000000000001</v>
      </c>
      <c r="S738" t="n">
        <v>0.0077</v>
      </c>
      <c r="T738" t="n">
        <v>-1</v>
      </c>
      <c r="U738" t="n">
        <v>0.008800000000000001</v>
      </c>
      <c r="V738" t="inlineStr">
        <is>
          <t>6/11</t>
        </is>
      </c>
      <c r="W738" t="inlineStr">
        <is>
          <t>.</t>
        </is>
      </c>
      <c r="X738" t="inlineStr">
        <is>
          <t>.</t>
        </is>
      </c>
      <c r="Y738" t="inlineStr">
        <is>
          <t>.</t>
        </is>
      </c>
      <c r="Z738" t="inlineStr">
        <is>
          <t>3/7</t>
        </is>
      </c>
      <c r="AA738" t="inlineStr">
        <is>
          <t>Uncertain significance</t>
        </is>
      </c>
      <c r="AB738" t="inlineStr">
        <is>
          <t>Uncertain_significance</t>
        </is>
      </c>
      <c r="AC738" t="inlineStr">
        <is>
          <t>0/1</t>
        </is>
      </c>
      <c r="AD738" t="inlineStr">
        <is>
          <t>1</t>
        </is>
      </c>
      <c r="AE738" t="inlineStr">
        <is>
          <t>0.999967224797783</t>
        </is>
      </c>
      <c r="AF738" t="inlineStr">
        <is>
          <t>breakpoint cluster region</t>
        </is>
      </c>
      <c r="AG738" t="inlineStr">
        <is>
          <t xml:space="preserve">FUNCTION: GTPase-activating protein for RAC1 and CDC42. Promotes the exchange of RAC or CDC42-bound GDP by GTP, thereby activating them. Displays serine/threonine kinase activity. {ECO:0000269|PubMed:1657398, ECO:0000269|PubMed:1903516}.; </t>
        </is>
      </c>
      <c r="AH738" t="inlineStr">
        <is>
          <t xml:space="preserve">DISEASE: Leukemia, chronic myeloid (CML) [MIM:608232]: A clonal myeloproliferative disorder of a pluripotent stem cell with a specific cytogenetic abnormality, the Philadelphia chromosome (Ph), involving myeloid, erythroid, megakaryocytic, B-lymphoid, and sometimes T-lymphoid cells, but not marrow fibroblasts. {ECO:0000269|PubMed:2407300, ECO:0000269|PubMed:3107980, ECO:0000269|PubMed:3540951}. Note=The gene represented in this entry is involved in disease pathogenesis.; DISEASE: Note=A chromosomal aberration involving BCR has been found in patients with chronic myeloid leukemia. Translocation t(9;22)(q34;q11) with ABL1. The translocation produces a BCR-ABL found also in acute myeloid leukemia (AML) and acute lymphoblastic leukemia (ALL). {ECO:0000269|PubMed:3107980, ECO:0000269|PubMed:7665185}.; </t>
        </is>
      </c>
      <c r="AI738" t="inlineStr">
        <is>
          <t>.</t>
        </is>
      </c>
      <c r="AJ738" t="inlineStr">
        <is>
          <t>.</t>
        </is>
      </c>
      <c r="AK738" t="inlineStr">
        <is>
          <t>.</t>
        </is>
      </c>
      <c r="AL738" t="inlineStr">
        <is>
          <t>NGS_LowStringency</t>
        </is>
      </c>
    </row>
    <row r="739">
      <c r="A739" t="inlineStr"/>
      <c r="B739">
        <f>HYPERLINK("https://genome.ucsc.edu/cgi-bin/hgTracks?db=hg19&amp;position=chr22%3A24698376%2D24698376", "chr22:24698376")</f>
        <v/>
      </c>
      <c r="C739" t="inlineStr">
        <is>
          <t>chr22</t>
        </is>
      </c>
      <c r="D739" t="n">
        <v>24698376</v>
      </c>
      <c r="E739" t="n">
        <v>24698376</v>
      </c>
      <c r="F739" t="inlineStr">
        <is>
          <t>A</t>
        </is>
      </c>
      <c r="G739" t="inlineStr">
        <is>
          <t>C</t>
        </is>
      </c>
      <c r="H739" t="inlineStr">
        <is>
          <t>1337.06</t>
        </is>
      </c>
      <c r="I739" t="inlineStr">
        <is>
          <t>44</t>
        </is>
      </c>
      <c r="J739" t="inlineStr">
        <is>
          <t>1,43</t>
        </is>
      </c>
      <c r="K739" t="inlineStr">
        <is>
          <t>.</t>
        </is>
      </c>
      <c r="L739">
        <f>HYPERLINK("https://www.ncbi.nlm.nih.gov/snp/rs772144957", "rs772144957")</f>
        <v/>
      </c>
      <c r="M739">
        <f>HYPERLINK("https://www.genecards.org/Search/Keyword?queryString=%5Baliases%5D(%20SPECC1L%20)%20OR%20%5Baliases%5D(%20SPECC1L-ADORA2A%20)&amp;keywords=SPECC1L,SPECC1L-ADORA2A", "SPECC1L;SPECC1L-ADORA2A")</f>
        <v/>
      </c>
      <c r="N739" t="inlineStr">
        <is>
          <t>intronic;ncRNA_intronic</t>
        </is>
      </c>
      <c r="O739" t="inlineStr">
        <is>
          <t>.</t>
        </is>
      </c>
      <c r="P739" t="inlineStr">
        <is>
          <t>.</t>
        </is>
      </c>
      <c r="Q739" t="n">
        <v>0.0003</v>
      </c>
      <c r="R739" t="n">
        <v>-1</v>
      </c>
      <c r="S739" t="n">
        <v>-1</v>
      </c>
      <c r="T739" t="n">
        <v>-1</v>
      </c>
      <c r="U739" t="n">
        <v>-1</v>
      </c>
      <c r="V739" t="inlineStr">
        <is>
          <t>.</t>
        </is>
      </c>
      <c r="W739" t="inlineStr">
        <is>
          <t>.</t>
        </is>
      </c>
      <c r="X739" t="inlineStr">
        <is>
          <t>B</t>
        </is>
      </c>
      <c r="Y739" t="inlineStr">
        <is>
          <t>off</t>
        </is>
      </c>
      <c r="Z739" t="inlineStr">
        <is>
          <t>.</t>
        </is>
      </c>
      <c r="AA739" t="inlineStr">
        <is>
          <t>.</t>
        </is>
      </c>
      <c r="AB739" t="inlineStr">
        <is>
          <t>.</t>
        </is>
      </c>
      <c r="AC739" t="inlineStr">
        <is>
          <t>HOMO</t>
        </is>
      </c>
      <c r="AD739" t="inlineStr">
        <is>
          <t>2;2</t>
        </is>
      </c>
      <c r="AE739" t="inlineStr">
        <is>
          <t>0.993395147293948</t>
        </is>
      </c>
      <c r="AF739" t="inlineStr">
        <is>
          <t>SPECC1L-ADORA2A readthrough (NMD candidate);sperm antigen with calponin homology and coiled-coil domains 1-like</t>
        </is>
      </c>
      <c r="AG739" t="inlineStr">
        <is>
          <t xml:space="preserve">FUNCTION: Involved in cytokinesis and spindle organization. May play a role in actin cytoskeleton organization and microtubule stabilization and hence required for proper cell adhesion and migration. {ECO:0000269|PubMed:21703590}.; </t>
        </is>
      </c>
      <c r="AH739" t="inlineStr">
        <is>
          <t xml:space="preserve">DISEASE: Facial clefting, oblique, 1 (OBLFC1) [MIM:600251]: A rare form of facial clefting. A facial cleft is any of the fissures between the embryonic prominences that normally unite to form the face. {ECO:0000269|PubMed:21703590}. Note=The disease is caused by mutations affecting the gene represented in this entry.; DISEASE: Opitz GBBB syndrome 2 (GBBB2) [MIM:145410]: A form of Opitz GBBB syndrome, a congenital midline malformation syndrome characterized by hypertelorism, genital-urinary defects such as hypospadias in males and splayed labia in females, cleft lip/palate, laryngotracheoesophageal abnormalities, imperforate anus, developmental delay and congenital heart defects. {ECO:0000269|PubMed:25412741}. Note=The disease is caused by mutations affecting the gene represented in this entry.; </t>
        </is>
      </c>
      <c r="AI739" t="inlineStr">
        <is>
          <t>.</t>
        </is>
      </c>
      <c r="AJ739" t="inlineStr">
        <is>
          <t>.</t>
        </is>
      </c>
      <c r="AK739" t="inlineStr">
        <is>
          <t>.</t>
        </is>
      </c>
      <c r="AL739" t="inlineStr">
        <is>
          <t>.</t>
        </is>
      </c>
    </row>
    <row r="740">
      <c r="A740" t="inlineStr"/>
      <c r="B740">
        <f>HYPERLINK("https://genome.ucsc.edu/cgi-bin/hgTracks?db=hg19&amp;position=chr22%3A24759357%2D24759357", "chr22:24759357")</f>
        <v/>
      </c>
      <c r="C740" t="inlineStr">
        <is>
          <t>chr22</t>
        </is>
      </c>
      <c r="D740" t="n">
        <v>24759357</v>
      </c>
      <c r="E740" t="n">
        <v>24759357</v>
      </c>
      <c r="F740" t="inlineStr">
        <is>
          <t>G</t>
        </is>
      </c>
      <c r="G740" t="inlineStr">
        <is>
          <t>A</t>
        </is>
      </c>
      <c r="H740" t="inlineStr">
        <is>
          <t>1550.06</t>
        </is>
      </c>
      <c r="I740" t="inlineStr">
        <is>
          <t>58</t>
        </is>
      </c>
      <c r="J740" t="inlineStr">
        <is>
          <t>3,55</t>
        </is>
      </c>
      <c r="K740" t="inlineStr">
        <is>
          <t>.</t>
        </is>
      </c>
      <c r="L740">
        <f>HYPERLINK("https://www.ncbi.nlm.nih.gov/snp/rs140912068", "rs140912068")</f>
        <v/>
      </c>
      <c r="M740">
        <f>HYPERLINK("https://www.genecards.org/Search/Keyword?queryString=%5Baliases%5D(%20SPECC1L%20)%20OR%20%5Baliases%5D(%20SPECC1L-ADORA2A%20)&amp;keywords=SPECC1L,SPECC1L-ADORA2A", "SPECC1L;SPECC1L-ADORA2A")</f>
        <v/>
      </c>
      <c r="N740" t="inlineStr">
        <is>
          <t>intronic;ncRNA_intronic</t>
        </is>
      </c>
      <c r="O740" t="inlineStr">
        <is>
          <t>.</t>
        </is>
      </c>
      <c r="P740" t="inlineStr">
        <is>
          <t>.</t>
        </is>
      </c>
      <c r="Q740" t="n">
        <v>0.005747</v>
      </c>
      <c r="R740" t="n">
        <v>0.0032</v>
      </c>
      <c r="S740" t="n">
        <v>0.0041</v>
      </c>
      <c r="T740" t="n">
        <v>-1</v>
      </c>
      <c r="U740" t="n">
        <v>0.0038</v>
      </c>
      <c r="V740" t="inlineStr">
        <is>
          <t>.</t>
        </is>
      </c>
      <c r="W740" t="inlineStr">
        <is>
          <t>.</t>
        </is>
      </c>
      <c r="X740" t="inlineStr">
        <is>
          <t>B</t>
        </is>
      </c>
      <c r="Y740" t="inlineStr">
        <is>
          <t>off</t>
        </is>
      </c>
      <c r="Z740" t="inlineStr">
        <is>
          <t>.</t>
        </is>
      </c>
      <c r="AA740" t="inlineStr">
        <is>
          <t>.</t>
        </is>
      </c>
      <c r="AB740" t="inlineStr">
        <is>
          <t>.</t>
        </is>
      </c>
      <c r="AC740" t="inlineStr">
        <is>
          <t>HOMO</t>
        </is>
      </c>
      <c r="AD740" t="inlineStr">
        <is>
          <t>2;2</t>
        </is>
      </c>
      <c r="AE740" t="inlineStr">
        <is>
          <t>0.993395147293948</t>
        </is>
      </c>
      <c r="AF740" t="inlineStr">
        <is>
          <t>SPECC1L-ADORA2A readthrough (NMD candidate);sperm antigen with calponin homology and coiled-coil domains 1-like</t>
        </is>
      </c>
      <c r="AG740" t="inlineStr">
        <is>
          <t xml:space="preserve">FUNCTION: Involved in cytokinesis and spindle organization. May play a role in actin cytoskeleton organization and microtubule stabilization and hence required for proper cell adhesion and migration. {ECO:0000269|PubMed:21703590}.; </t>
        </is>
      </c>
      <c r="AH740" t="inlineStr">
        <is>
          <t xml:space="preserve">DISEASE: Facial clefting, oblique, 1 (OBLFC1) [MIM:600251]: A rare form of facial clefting. A facial cleft is any of the fissures between the embryonic prominences that normally unite to form the face. {ECO:0000269|PubMed:21703590}. Note=The disease is caused by mutations affecting the gene represented in this entry.; DISEASE: Opitz GBBB syndrome 2 (GBBB2) [MIM:145410]: A form of Opitz GBBB syndrome, a congenital midline malformation syndrome characterized by hypertelorism, genital-urinary defects such as hypospadias in males and splayed labia in females, cleft lip/palate, laryngotracheoesophageal abnormalities, imperforate anus, developmental delay and congenital heart defects. {ECO:0000269|PubMed:25412741}. Note=The disease is caused by mutations affecting the gene represented in this entry.; </t>
        </is>
      </c>
      <c r="AI740" t="inlineStr">
        <is>
          <t>.</t>
        </is>
      </c>
      <c r="AJ740" t="inlineStr">
        <is>
          <t>.</t>
        </is>
      </c>
      <c r="AK740" t="inlineStr">
        <is>
          <t>.</t>
        </is>
      </c>
      <c r="AL740" t="inlineStr">
        <is>
          <t>.</t>
        </is>
      </c>
    </row>
    <row r="741">
      <c r="A741" t="inlineStr"/>
      <c r="B741">
        <f>HYPERLINK("https://genome.ucsc.edu/cgi-bin/hgTracks?db=hg19&amp;position=chr22%3A25007110%2D25007110", "chr22:25007110")</f>
        <v/>
      </c>
      <c r="C741" t="inlineStr">
        <is>
          <t>chr22</t>
        </is>
      </c>
      <c r="D741" t="n">
        <v>25007110</v>
      </c>
      <c r="E741" t="n">
        <v>25007110</v>
      </c>
      <c r="F741" t="inlineStr">
        <is>
          <t>G</t>
        </is>
      </c>
      <c r="G741" t="inlineStr">
        <is>
          <t>A</t>
        </is>
      </c>
      <c r="H741" t="inlineStr">
        <is>
          <t>216.64</t>
        </is>
      </c>
      <c r="I741" t="inlineStr">
        <is>
          <t>105</t>
        </is>
      </c>
      <c r="J741" t="inlineStr">
        <is>
          <t>93,12</t>
        </is>
      </c>
      <c r="K741" t="inlineStr">
        <is>
          <t>.</t>
        </is>
      </c>
      <c r="L741">
        <f>HYPERLINK("https://www.ncbi.nlm.nih.gov/snp/rs199516749", "rs199516749")</f>
        <v/>
      </c>
      <c r="M741">
        <f>HYPERLINK("https://www.genecards.org/Search/Keyword?queryString=%5Baliases%5D(%20GGT1%20)&amp;keywords=GGT1", "GGT1")</f>
        <v/>
      </c>
      <c r="N741" t="inlineStr">
        <is>
          <t>exonic</t>
        </is>
      </c>
      <c r="O741" t="inlineStr">
        <is>
          <t>nonsynonymous SNV</t>
        </is>
      </c>
      <c r="P741" t="inlineStr">
        <is>
          <t>GGT1:NM_001288833:exon5:c.G62A:p.G21D,GGT1:NM_013430:exon5:c.G62A:p.G21D,GGT1:NM_013421:exon6:c.G62A:p.G21D;GGT1:uc003aan.1:exon5:c.G62A:p.G21D,GGT1:uc003aas.1:exon5:c.G62A:p.G21D,GGT1:uc003aat.1:exon5:c.G62A:p.G21D,GGT1:uc003aau.2:exon5:c.G62A:p.G21D,GGT1:uc003aav.2:exon5:c.G62A:p.G21D,GGT1:uc003aax.2:exon5:c.G62A:p.G21D,GGT1:uc003aaw.2:exon6:c.G62A:p.G21D;GGT1:ENST00000400382.6_3:exon5:c.G62A:p.G21D,GGT1:ENST00000400380.5_2:exon6:c.G62A:p.G21D</t>
        </is>
      </c>
      <c r="Q741" t="n">
        <v>6.5e-06</v>
      </c>
      <c r="R741" t="n">
        <v>-1</v>
      </c>
      <c r="S741" t="n">
        <v>-1</v>
      </c>
      <c r="T741" t="n">
        <v>-1</v>
      </c>
      <c r="U741" t="n">
        <v>-1</v>
      </c>
      <c r="V741" t="inlineStr">
        <is>
          <t>3/11</t>
        </is>
      </c>
      <c r="W741" t="inlineStr">
        <is>
          <t>.</t>
        </is>
      </c>
      <c r="X741" t="inlineStr">
        <is>
          <t>.</t>
        </is>
      </c>
      <c r="Y741" t="inlineStr">
        <is>
          <t>.</t>
        </is>
      </c>
      <c r="Z741" t="inlineStr">
        <is>
          <t>0/7</t>
        </is>
      </c>
      <c r="AA741" t="inlineStr">
        <is>
          <t>Uncertain significance</t>
        </is>
      </c>
      <c r="AB741" t="inlineStr">
        <is>
          <t>.</t>
        </is>
      </c>
      <c r="AC741" t="inlineStr">
        <is>
          <t>.</t>
        </is>
      </c>
      <c r="AD741" t="inlineStr">
        <is>
          <t>10</t>
        </is>
      </c>
      <c r="AE741" t="inlineStr">
        <is>
          <t>0.676974716705773</t>
        </is>
      </c>
      <c r="AF741" t="inlineStr">
        <is>
          <t>gamma-glutamyltransferase 1</t>
        </is>
      </c>
      <c r="AG741" t="inlineStr">
        <is>
          <t xml:space="preserve">FUNCTION: Cleaves the gamma-glutamyl bond of extracellular glutathione (gamma-Glu-Cys-Gly), glutathione conjugates, and other gamma-glutamyl compounds. The metabolism of glutathione releases free glutamate and the dipeptide, cysteinyl-glycine, which is hydrolyzed to cysteine and glycine by dipeptidases. In the presence of high concentrations of dipeptides and some amino acids, can also catalyze a transpeptidation reaction, transferring the gamma-glutamyl moiety to an acceptor amino acid to form a new gamma-glutamyl compound. Initiates extracellular glutathione (GSH) breakdown, provides cells with a local cysteine supply and contributes to maintain intracellular GSH level. It is part of the cell antioxidant defense mechanism. Isoform 3 seems to be inactive. {ECO:0000269|PubMed:20622017, ECO:0000269|PubMed:24047895, ECO:0000269|PubMed:7673200, ECO:0000269|PubMed:7759490, ECO:0000269|PubMed:8095045, ECO:0000269|PubMed:8827453}.; </t>
        </is>
      </c>
      <c r="AH741" t="inlineStr">
        <is>
          <t xml:space="preserve">DISEASE: Glutathionuria (GLUTH) [MIM:231950]: Autosomal recessive disease. Note=The disease is caused by mutations affecting the gene represented in this entry.; </t>
        </is>
      </c>
      <c r="AI741" t="inlineStr">
        <is>
          <t>GenotypeConflict</t>
        </is>
      </c>
      <c r="AJ741" t="inlineStr">
        <is>
          <t>.</t>
        </is>
      </c>
      <c r="AK741" t="inlineStr">
        <is>
          <t>.</t>
        </is>
      </c>
      <c r="AL741" t="inlineStr">
        <is>
          <t>NGS_LowStringency</t>
        </is>
      </c>
    </row>
    <row r="742">
      <c r="A742" t="inlineStr"/>
      <c r="B742">
        <f>HYPERLINK("https://genome.ucsc.edu/cgi-bin/hgTracks?db=hg19&amp;position=chr22%3A25023441%2D25023441", "chr22:25023441")</f>
        <v/>
      </c>
      <c r="C742" t="inlineStr">
        <is>
          <t>chr22</t>
        </is>
      </c>
      <c r="D742" t="n">
        <v>25023441</v>
      </c>
      <c r="E742" t="n">
        <v>25023441</v>
      </c>
      <c r="F742" t="inlineStr">
        <is>
          <t>C</t>
        </is>
      </c>
      <c r="G742" t="inlineStr">
        <is>
          <t>T</t>
        </is>
      </c>
      <c r="H742" t="inlineStr">
        <is>
          <t>1574.64</t>
        </is>
      </c>
      <c r="I742" t="inlineStr">
        <is>
          <t>414</t>
        </is>
      </c>
      <c r="J742" t="inlineStr">
        <is>
          <t>351,63</t>
        </is>
      </c>
      <c r="K742" t="inlineStr">
        <is>
          <t>.</t>
        </is>
      </c>
      <c r="L742">
        <f>HYPERLINK("https://www.ncbi.nlm.nih.gov/snp/rs200419006", "rs200419006")</f>
        <v/>
      </c>
      <c r="M742">
        <f>HYPERLINK("https://www.genecards.org/Search/Keyword?queryString=%5Baliases%5D(%20GGT1%20)&amp;keywords=GGT1", "GGT1")</f>
        <v/>
      </c>
      <c r="N742" t="inlineStr">
        <is>
          <t>exonic</t>
        </is>
      </c>
      <c r="O742" t="inlineStr">
        <is>
          <t>nonsynonymous SNV</t>
        </is>
      </c>
      <c r="P742" t="inlineStr">
        <is>
          <t>GGT1:NM_001288833:exon12:c.C1063T:p.R355W,GGT1:NM_013430:exon12:c.C1063T:p.R355W,GGT1:NM_013421:exon13:c.C1063T:p.R355W;GGT1:uc003aay.1:exon1:c.C31T:p.R11W,GGT1:uc003aan.1:exon12:c.C1063T:p.R355W,GGT1:uc003aas.1:exon12:c.C1063T:p.R355W,GGT1:uc003aat.1:exon12:c.C1063T:p.R355W,GGT1:uc003aau.2:exon12:c.C1063T:p.R355W,GGT1:uc003aav.2:exon12:c.C1063T:p.R355W,GGT1:uc003aax.2:exon12:c.C1063T:p.R355W,GGT1:uc003aaw.2:exon13:c.C1063T:p.R355W;GGT1:ENST00000403838.5_2:exon1:c.C31T:p.R11W,GGT1:ENST00000404223.5_2:exon1:c.C31T:p.R11W,GGT1:ENST00000404920.1_2:exon1:c.C31T:p.R11W,GGT1:ENST00000401885.5_6:exon2:c.C31T:p.R11W,GGT1:ENST00000404532.5_2:exon2:c.C31T:p.R11W,GGT1:ENST00000400382.6_3:exon12:c.C1063T:p.R355W,GGT1:ENST00000400380.5_2:exon13:c.C1063T:p.R355W</t>
        </is>
      </c>
      <c r="Q742" t="n">
        <v>5.17e-05</v>
      </c>
      <c r="R742" t="n">
        <v>-1</v>
      </c>
      <c r="S742" t="n">
        <v>-1</v>
      </c>
      <c r="T742" t="n">
        <v>-1</v>
      </c>
      <c r="U742" t="n">
        <v>-1</v>
      </c>
      <c r="V742" t="inlineStr">
        <is>
          <t>8/12</t>
        </is>
      </c>
      <c r="W742" t="inlineStr">
        <is>
          <t>.</t>
        </is>
      </c>
      <c r="X742" t="inlineStr">
        <is>
          <t>.</t>
        </is>
      </c>
      <c r="Y742" t="inlineStr">
        <is>
          <t>.</t>
        </is>
      </c>
      <c r="Z742" t="inlineStr">
        <is>
          <t>0/7</t>
        </is>
      </c>
      <c r="AA742" t="inlineStr">
        <is>
          <t>Uncertain significance</t>
        </is>
      </c>
      <c r="AB742" t="inlineStr">
        <is>
          <t>.</t>
        </is>
      </c>
      <c r="AC742" t="inlineStr">
        <is>
          <t>.</t>
        </is>
      </c>
      <c r="AD742" t="inlineStr">
        <is>
          <t>10</t>
        </is>
      </c>
      <c r="AE742" t="inlineStr">
        <is>
          <t>0.676974716705773</t>
        </is>
      </c>
      <c r="AF742" t="inlineStr">
        <is>
          <t>gamma-glutamyltransferase 1</t>
        </is>
      </c>
      <c r="AG742" t="inlineStr">
        <is>
          <t xml:space="preserve">FUNCTION: Cleaves the gamma-glutamyl bond of extracellular glutathione (gamma-Glu-Cys-Gly), glutathione conjugates, and other gamma-glutamyl compounds. The metabolism of glutathione releases free glutamate and the dipeptide, cysteinyl-glycine, which is hydrolyzed to cysteine and glycine by dipeptidases. In the presence of high concentrations of dipeptides and some amino acids, can also catalyze a transpeptidation reaction, transferring the gamma-glutamyl moiety to an acceptor amino acid to form a new gamma-glutamyl compound. Initiates extracellular glutathione (GSH) breakdown, provides cells with a local cysteine supply and contributes to maintain intracellular GSH level. It is part of the cell antioxidant defense mechanism. Isoform 3 seems to be inactive. {ECO:0000269|PubMed:20622017, ECO:0000269|PubMed:24047895, ECO:0000269|PubMed:7673200, ECO:0000269|PubMed:7759490, ECO:0000269|PubMed:8095045, ECO:0000269|PubMed:8827453}.; </t>
        </is>
      </c>
      <c r="AH742" t="inlineStr">
        <is>
          <t xml:space="preserve">DISEASE: Glutathionuria (GLUTH) [MIM:231950]: Autosomal recessive disease. Note=The disease is caused by mutations affecting the gene represented in this entry.; </t>
        </is>
      </c>
      <c r="AI742" t="inlineStr">
        <is>
          <t>GenotypeConflict</t>
        </is>
      </c>
      <c r="AJ742" t="inlineStr">
        <is>
          <t>.</t>
        </is>
      </c>
      <c r="AK742" t="inlineStr">
        <is>
          <t>.</t>
        </is>
      </c>
      <c r="AL742" t="inlineStr">
        <is>
          <t>NGS_HighStringency</t>
        </is>
      </c>
    </row>
    <row r="743">
      <c r="A743" t="inlineStr"/>
      <c r="B743">
        <f>HYPERLINK("https://genome.ucsc.edu/cgi-bin/hgTracks?db=hg19&amp;position=chr22%3A25023471%2D25023471", "chr22:25023471")</f>
        <v/>
      </c>
      <c r="C743" t="inlineStr">
        <is>
          <t>chr22</t>
        </is>
      </c>
      <c r="D743" t="n">
        <v>25023471</v>
      </c>
      <c r="E743" t="n">
        <v>25023471</v>
      </c>
      <c r="F743" t="inlineStr">
        <is>
          <t>C</t>
        </is>
      </c>
      <c r="G743" t="inlineStr">
        <is>
          <t>A</t>
        </is>
      </c>
      <c r="H743" t="inlineStr">
        <is>
          <t>1460.64</t>
        </is>
      </c>
      <c r="I743" t="inlineStr">
        <is>
          <t>499</t>
        </is>
      </c>
      <c r="J743" t="inlineStr">
        <is>
          <t>433,66</t>
        </is>
      </c>
      <c r="K743" t="inlineStr">
        <is>
          <t>.</t>
        </is>
      </c>
      <c r="L743">
        <f>HYPERLINK("https://www.ncbi.nlm.nih.gov/snp/rs201397128", "rs201397128")</f>
        <v/>
      </c>
      <c r="M743">
        <f>HYPERLINK("https://www.genecards.org/Search/Keyword?queryString=%5Baliases%5D(%20GGT1%20)&amp;keywords=GGT1", "GGT1")</f>
        <v/>
      </c>
      <c r="N743" t="inlineStr">
        <is>
          <t>exonic</t>
        </is>
      </c>
      <c r="O743" t="inlineStr">
        <is>
          <t>nonsynonymous SNV</t>
        </is>
      </c>
      <c r="P743" t="inlineStr">
        <is>
          <t>GGT1:NM_001288833:exon12:c.C1093A:p.P365T,GGT1:NM_013430:exon12:c.C1093A:p.P365T,GGT1:NM_013421:exon13:c.C1093A:p.P365T;GGT1:uc003aay.1:exon1:c.C61A:p.P21T,GGT1:uc003aan.1:exon12:c.C1093A:p.P365T,GGT1:uc003aas.1:exon12:c.C1093A:p.P365T,GGT1:uc003aat.1:exon12:c.C1093A:p.P365T,GGT1:uc003aau.2:exon12:c.C1093A:p.P365T,GGT1:uc003aav.2:exon12:c.C1093A:p.P365T,GGT1:uc003aax.2:exon12:c.C1093A:p.P365T,GGT1:uc003aaw.2:exon13:c.C1093A:p.P365T;GGT1:ENST00000403838.5_2:exon1:c.C61A:p.P21T,GGT1:ENST00000404223.5_2:exon1:c.C61A:p.P21T,GGT1:ENST00000404920.1_2:exon1:c.C61A:p.P21T,GGT1:ENST00000401885.5_6:exon2:c.C61A:p.P21T,GGT1:ENST00000404532.5_2:exon2:c.C61A:p.P21T,GGT1:ENST00000400382.6_3:exon12:c.C1093A:p.P365T,GGT1:ENST00000400380.5_2:exon13:c.C1093A:p.P365T</t>
        </is>
      </c>
      <c r="Q743" t="n">
        <v>0.0002005</v>
      </c>
      <c r="R743" t="n">
        <v>-1</v>
      </c>
      <c r="S743" t="n">
        <v>-1</v>
      </c>
      <c r="T743" t="n">
        <v>-1</v>
      </c>
      <c r="U743" t="n">
        <v>-1</v>
      </c>
      <c r="V743" t="inlineStr">
        <is>
          <t>3/11</t>
        </is>
      </c>
      <c r="W743" t="inlineStr">
        <is>
          <t>.</t>
        </is>
      </c>
      <c r="X743" t="inlineStr">
        <is>
          <t>.</t>
        </is>
      </c>
      <c r="Y743" t="inlineStr">
        <is>
          <t>.</t>
        </is>
      </c>
      <c r="Z743" t="inlineStr">
        <is>
          <t>0/7</t>
        </is>
      </c>
      <c r="AA743" t="inlineStr">
        <is>
          <t>Uncertain significance</t>
        </is>
      </c>
      <c r="AB743" t="inlineStr">
        <is>
          <t>.</t>
        </is>
      </c>
      <c r="AC743" t="inlineStr">
        <is>
          <t>.</t>
        </is>
      </c>
      <c r="AD743" t="inlineStr">
        <is>
          <t>10</t>
        </is>
      </c>
      <c r="AE743" t="inlineStr">
        <is>
          <t>0.676974716705773</t>
        </is>
      </c>
      <c r="AF743" t="inlineStr">
        <is>
          <t>gamma-glutamyltransferase 1</t>
        </is>
      </c>
      <c r="AG743" t="inlineStr">
        <is>
          <t xml:space="preserve">FUNCTION: Cleaves the gamma-glutamyl bond of extracellular glutathione (gamma-Glu-Cys-Gly), glutathione conjugates, and other gamma-glutamyl compounds. The metabolism of glutathione releases free glutamate and the dipeptide, cysteinyl-glycine, which is hydrolyzed to cysteine and glycine by dipeptidases. In the presence of high concentrations of dipeptides and some amino acids, can also catalyze a transpeptidation reaction, transferring the gamma-glutamyl moiety to an acceptor amino acid to form a new gamma-glutamyl compound. Initiates extracellular glutathione (GSH) breakdown, provides cells with a local cysteine supply and contributes to maintain intracellular GSH level. It is part of the cell antioxidant defense mechanism. Isoform 3 seems to be inactive. {ECO:0000269|PubMed:20622017, ECO:0000269|PubMed:24047895, ECO:0000269|PubMed:7673200, ECO:0000269|PubMed:7759490, ECO:0000269|PubMed:8095045, ECO:0000269|PubMed:8827453}.; </t>
        </is>
      </c>
      <c r="AH743" t="inlineStr">
        <is>
          <t xml:space="preserve">DISEASE: Glutathionuria (GLUTH) [MIM:231950]: Autosomal recessive disease. Note=The disease is caused by mutations affecting the gene represented in this entry.; </t>
        </is>
      </c>
      <c r="AI743" t="inlineStr">
        <is>
          <t>GenotypeConflict</t>
        </is>
      </c>
      <c r="AJ743" t="inlineStr">
        <is>
          <t>.</t>
        </is>
      </c>
      <c r="AK743" t="inlineStr">
        <is>
          <t>.</t>
        </is>
      </c>
      <c r="AL743" t="inlineStr">
        <is>
          <t>NGS_HighStringency</t>
        </is>
      </c>
    </row>
    <row r="744">
      <c r="A744" t="inlineStr"/>
      <c r="B744">
        <f>HYPERLINK("https://genome.ucsc.edu/cgi-bin/hgTracks?db=hg19&amp;position=chr22%3A25023537%2D25023537", "chr22:25023537")</f>
        <v/>
      </c>
      <c r="C744" t="inlineStr">
        <is>
          <t>chr22</t>
        </is>
      </c>
      <c r="D744" t="n">
        <v>25023537</v>
      </c>
      <c r="E744" t="n">
        <v>25023537</v>
      </c>
      <c r="F744" t="inlineStr">
        <is>
          <t>G</t>
        </is>
      </c>
      <c r="G744" t="inlineStr">
        <is>
          <t>A</t>
        </is>
      </c>
      <c r="H744" t="inlineStr">
        <is>
          <t>146.64</t>
        </is>
      </c>
      <c r="I744" t="inlineStr">
        <is>
          <t>502</t>
        </is>
      </c>
      <c r="J744" t="inlineStr">
        <is>
          <t>465,37</t>
        </is>
      </c>
      <c r="K744" t="inlineStr">
        <is>
          <t>.</t>
        </is>
      </c>
      <c r="L744">
        <f>HYPERLINK("https://www.ncbi.nlm.nih.gov/snp/rs768399767", "rs768399767")</f>
        <v/>
      </c>
      <c r="M744">
        <f>HYPERLINK("https://www.genecards.org/Search/Keyword?queryString=%5Baliases%5D(%20GGT1%20)&amp;keywords=GGT1", "GGT1")</f>
        <v/>
      </c>
      <c r="N744" t="inlineStr">
        <is>
          <t>exonic</t>
        </is>
      </c>
      <c r="O744" t="inlineStr">
        <is>
          <t>nonsynonymous SNV</t>
        </is>
      </c>
      <c r="P744" t="inlineStr">
        <is>
          <t>GGT1:NM_001288833:exon12:c.G1159A:p.V387I,GGT1:NM_013430:exon12:c.G1159A:p.V387I,GGT1:NM_013421:exon13:c.G1159A:p.V387I;GGT1:uc003aay.1:exon1:c.G127A:p.V43I,GGT1:uc003aan.1:exon12:c.G1159A:p.V387I,GGT1:uc003aas.1:exon12:c.G1159A:p.V387I,GGT1:uc003aat.1:exon12:c.G1159A:p.V387I,GGT1:uc003aau.2:exon12:c.G1159A:p.V387I,GGT1:uc003aav.2:exon12:c.G1159A:p.V387I,GGT1:uc003aax.2:exon12:c.G1159A:p.V387I,GGT1:uc003aaw.2:exon13:c.G1159A:p.V387I;GGT1:ENST00000403838.5_2:exon1:c.G127A:p.V43I,GGT1:ENST00000404223.5_2:exon1:c.G127A:p.V43I,GGT1:ENST00000404920.1_2:exon1:c.G127A:p.V43I,GGT1:ENST00000401885.5_6:exon2:c.G127A:p.V43I,GGT1:ENST00000404532.5_2:exon2:c.G127A:p.V43I,GGT1:ENST00000400382.6_3:exon12:c.G1159A:p.V387I,GGT1:ENST00000400380.5_2:exon13:c.G1159A:p.V387I</t>
        </is>
      </c>
      <c r="Q744" t="n">
        <v>0.0007374</v>
      </c>
      <c r="R744" t="n">
        <v>-1</v>
      </c>
      <c r="S744" t="n">
        <v>-1</v>
      </c>
      <c r="T744" t="n">
        <v>-1</v>
      </c>
      <c r="U744" t="n">
        <v>-1</v>
      </c>
      <c r="V744" t="inlineStr">
        <is>
          <t>3/12</t>
        </is>
      </c>
      <c r="W744" t="inlineStr">
        <is>
          <t>.</t>
        </is>
      </c>
      <c r="X744" t="inlineStr">
        <is>
          <t>.</t>
        </is>
      </c>
      <c r="Y744" t="inlineStr">
        <is>
          <t>.</t>
        </is>
      </c>
      <c r="Z744" t="inlineStr">
        <is>
          <t>1/7</t>
        </is>
      </c>
      <c r="AA744" t="inlineStr">
        <is>
          <t>Uncertain significance</t>
        </is>
      </c>
      <c r="AB744" t="inlineStr">
        <is>
          <t>.</t>
        </is>
      </c>
      <c r="AC744" t="inlineStr">
        <is>
          <t>.</t>
        </is>
      </c>
      <c r="AD744" t="inlineStr">
        <is>
          <t>10</t>
        </is>
      </c>
      <c r="AE744" t="inlineStr">
        <is>
          <t>0.676974716705773</t>
        </is>
      </c>
      <c r="AF744" t="inlineStr">
        <is>
          <t>gamma-glutamyltransferase 1</t>
        </is>
      </c>
      <c r="AG744" t="inlineStr">
        <is>
          <t xml:space="preserve">FUNCTION: Cleaves the gamma-glutamyl bond of extracellular glutathione (gamma-Glu-Cys-Gly), glutathione conjugates, and other gamma-glutamyl compounds. The metabolism of glutathione releases free glutamate and the dipeptide, cysteinyl-glycine, which is hydrolyzed to cysteine and glycine by dipeptidases. In the presence of high concentrations of dipeptides and some amino acids, can also catalyze a transpeptidation reaction, transferring the gamma-glutamyl moiety to an acceptor amino acid to form a new gamma-glutamyl compound. Initiates extracellular glutathione (GSH) breakdown, provides cells with a local cysteine supply and contributes to maintain intracellular GSH level. It is part of the cell antioxidant defense mechanism. Isoform 3 seems to be inactive. {ECO:0000269|PubMed:20622017, ECO:0000269|PubMed:24047895, ECO:0000269|PubMed:7673200, ECO:0000269|PubMed:7759490, ECO:0000269|PubMed:8095045, ECO:0000269|PubMed:8827453}.; </t>
        </is>
      </c>
      <c r="AH744" t="inlineStr">
        <is>
          <t xml:space="preserve">DISEASE: Glutathionuria (GLUTH) [MIM:231950]: Autosomal recessive disease. Note=The disease is caused by mutations affecting the gene represented in this entry.; </t>
        </is>
      </c>
      <c r="AI744" t="inlineStr">
        <is>
          <t>.</t>
        </is>
      </c>
      <c r="AJ744" t="inlineStr">
        <is>
          <t>.</t>
        </is>
      </c>
      <c r="AK744" t="inlineStr">
        <is>
          <t>.</t>
        </is>
      </c>
      <c r="AL744" t="inlineStr">
        <is>
          <t>NGS_HighStringency</t>
        </is>
      </c>
    </row>
    <row r="745">
      <c r="A745" t="inlineStr"/>
      <c r="B745">
        <f>HYPERLINK("https://genome.ucsc.edu/cgi-bin/hgTracks?db=hg19&amp;position=chr22%3A25023540%2D25023540", "chr22:25023540")</f>
        <v/>
      </c>
      <c r="C745" t="inlineStr">
        <is>
          <t>chr22</t>
        </is>
      </c>
      <c r="D745" t="n">
        <v>25023540</v>
      </c>
      <c r="E745" t="n">
        <v>25023540</v>
      </c>
      <c r="F745" t="inlineStr">
        <is>
          <t>G</t>
        </is>
      </c>
      <c r="G745" t="inlineStr">
        <is>
          <t>A</t>
        </is>
      </c>
      <c r="H745" t="inlineStr">
        <is>
          <t>101.64</t>
        </is>
      </c>
      <c r="I745" t="inlineStr">
        <is>
          <t>487</t>
        </is>
      </c>
      <c r="J745" t="inlineStr">
        <is>
          <t>452,35</t>
        </is>
      </c>
      <c r="K745" t="inlineStr">
        <is>
          <t>.</t>
        </is>
      </c>
      <c r="L745">
        <f>HYPERLINK("https://www.ncbi.nlm.nih.gov/snp/rs761538704", "rs761538704")</f>
        <v/>
      </c>
      <c r="M745">
        <f>HYPERLINK("https://www.genecards.org/Search/Keyword?queryString=%5Baliases%5D(%20GGT1%20)&amp;keywords=GGT1", "GGT1")</f>
        <v/>
      </c>
      <c r="N745" t="inlineStr">
        <is>
          <t>exonic</t>
        </is>
      </c>
      <c r="O745" t="inlineStr">
        <is>
          <t>nonsynonymous SNV</t>
        </is>
      </c>
      <c r="P745" t="inlineStr">
        <is>
          <t>GGT1:NM_001288833:exon12:c.G1162A:p.A388T,GGT1:NM_013430:exon12:c.G1162A:p.A388T,GGT1:NM_013421:exon13:c.G1162A:p.A388T;GGT1:uc003aay.1:exon1:c.G130A:p.A44T,GGT1:uc003aan.1:exon12:c.G1162A:p.A388T,GGT1:uc003aas.1:exon12:c.G1162A:p.A388T,GGT1:uc003aat.1:exon12:c.G1162A:p.A388T,GGT1:uc003aau.2:exon12:c.G1162A:p.A388T,GGT1:uc003aav.2:exon12:c.G1162A:p.A388T,GGT1:uc003aax.2:exon12:c.G1162A:p.A388T,GGT1:uc003aaw.2:exon13:c.G1162A:p.A388T;GGT1:ENST00000403838.5_2:exon1:c.G130A:p.A44T,GGT1:ENST00000404223.5_2:exon1:c.G130A:p.A44T,GGT1:ENST00000404920.1_2:exon1:c.G130A:p.A44T,GGT1:ENST00000401885.5_6:exon2:c.G130A:p.A44T,GGT1:ENST00000404532.5_2:exon2:c.G130A:p.A44T,GGT1:ENST00000400382.6_3:exon12:c.G1162A:p.A388T,GGT1:ENST00000400380.5_2:exon13:c.G1162A:p.A388T</t>
        </is>
      </c>
      <c r="Q745" t="n">
        <v>0.0005951</v>
      </c>
      <c r="R745" t="n">
        <v>-1</v>
      </c>
      <c r="S745" t="n">
        <v>-1</v>
      </c>
      <c r="T745" t="n">
        <v>-1</v>
      </c>
      <c r="U745" t="n">
        <v>-1</v>
      </c>
      <c r="V745" t="inlineStr">
        <is>
          <t>5/12</t>
        </is>
      </c>
      <c r="W745" t="inlineStr">
        <is>
          <t>.</t>
        </is>
      </c>
      <c r="X745" t="inlineStr">
        <is>
          <t>.</t>
        </is>
      </c>
      <c r="Y745" t="inlineStr">
        <is>
          <t>.</t>
        </is>
      </c>
      <c r="Z745" t="inlineStr">
        <is>
          <t>1/7</t>
        </is>
      </c>
      <c r="AA745" t="inlineStr">
        <is>
          <t>Uncertain significance</t>
        </is>
      </c>
      <c r="AB745" t="inlineStr">
        <is>
          <t>.</t>
        </is>
      </c>
      <c r="AC745" t="inlineStr">
        <is>
          <t>.</t>
        </is>
      </c>
      <c r="AD745" t="inlineStr">
        <is>
          <t>10</t>
        </is>
      </c>
      <c r="AE745" t="inlineStr">
        <is>
          <t>0.676974716705773</t>
        </is>
      </c>
      <c r="AF745" t="inlineStr">
        <is>
          <t>gamma-glutamyltransferase 1</t>
        </is>
      </c>
      <c r="AG745" t="inlineStr">
        <is>
          <t xml:space="preserve">FUNCTION: Cleaves the gamma-glutamyl bond of extracellular glutathione (gamma-Glu-Cys-Gly), glutathione conjugates, and other gamma-glutamyl compounds. The metabolism of glutathione releases free glutamate and the dipeptide, cysteinyl-glycine, which is hydrolyzed to cysteine and glycine by dipeptidases. In the presence of high concentrations of dipeptides and some amino acids, can also catalyze a transpeptidation reaction, transferring the gamma-glutamyl moiety to an acceptor amino acid to form a new gamma-glutamyl compound. Initiates extracellular glutathione (GSH) breakdown, provides cells with a local cysteine supply and contributes to maintain intracellular GSH level. It is part of the cell antioxidant defense mechanism. Isoform 3 seems to be inactive. {ECO:0000269|PubMed:20622017, ECO:0000269|PubMed:24047895, ECO:0000269|PubMed:7673200, ECO:0000269|PubMed:7759490, ECO:0000269|PubMed:8095045, ECO:0000269|PubMed:8827453}.; </t>
        </is>
      </c>
      <c r="AH745" t="inlineStr">
        <is>
          <t xml:space="preserve">DISEASE: Glutathionuria (GLUTH) [MIM:231950]: Autosomal recessive disease. Note=The disease is caused by mutations affecting the gene represented in this entry.; </t>
        </is>
      </c>
      <c r="AI745" t="inlineStr">
        <is>
          <t>.</t>
        </is>
      </c>
      <c r="AJ745" t="inlineStr">
        <is>
          <t>.</t>
        </is>
      </c>
      <c r="AK745" t="inlineStr">
        <is>
          <t>.</t>
        </is>
      </c>
      <c r="AL745" t="inlineStr">
        <is>
          <t>NGS_HighStringency</t>
        </is>
      </c>
    </row>
    <row r="746">
      <c r="A746" t="inlineStr"/>
      <c r="B746">
        <f>HYPERLINK("https://genome.ucsc.edu/cgi-bin/hgTracks?db=hg19&amp;position=chr22%3A25023793%2D25023793", "chr22:25023793")</f>
        <v/>
      </c>
      <c r="C746" t="inlineStr">
        <is>
          <t>chr22</t>
        </is>
      </c>
      <c r="D746" t="n">
        <v>25023793</v>
      </c>
      <c r="E746" t="n">
        <v>25023793</v>
      </c>
      <c r="F746" t="inlineStr">
        <is>
          <t>C</t>
        </is>
      </c>
      <c r="G746" t="inlineStr">
        <is>
          <t>T</t>
        </is>
      </c>
      <c r="H746" t="inlineStr">
        <is>
          <t>188.64</t>
        </is>
      </c>
      <c r="I746" t="inlineStr">
        <is>
          <t>46</t>
        </is>
      </c>
      <c r="J746" t="inlineStr">
        <is>
          <t>38,8</t>
        </is>
      </c>
      <c r="K746" t="inlineStr">
        <is>
          <t>.</t>
        </is>
      </c>
      <c r="L746">
        <f>HYPERLINK("https://www.ncbi.nlm.nih.gov/snp/rs200677500", "rs200677500")</f>
        <v/>
      </c>
      <c r="M746">
        <f>HYPERLINK("https://www.genecards.org/Search/Keyword?queryString=%5Baliases%5D(%20GGT1%20)&amp;keywords=GGT1", "GGT1")</f>
        <v/>
      </c>
      <c r="N746" t="inlineStr">
        <is>
          <t>intronic</t>
        </is>
      </c>
      <c r="O746" t="inlineStr">
        <is>
          <t>.</t>
        </is>
      </c>
      <c r="P746" t="inlineStr">
        <is>
          <t>.</t>
        </is>
      </c>
      <c r="Q746" t="n">
        <v>0.0103</v>
      </c>
      <c r="R746" t="n">
        <v>0.0022</v>
      </c>
      <c r="S746" t="n">
        <v>0.0012</v>
      </c>
      <c r="T746" t="n">
        <v>-1</v>
      </c>
      <c r="U746" t="n">
        <v>0.0022</v>
      </c>
      <c r="V746" t="inlineStr">
        <is>
          <t>.</t>
        </is>
      </c>
      <c r="W746" t="inlineStr">
        <is>
          <t>.</t>
        </is>
      </c>
      <c r="X746" t="inlineStr">
        <is>
          <t>PD</t>
        </is>
      </c>
      <c r="Y746" t="inlineStr">
        <is>
          <t>off</t>
        </is>
      </c>
      <c r="Z746" t="inlineStr">
        <is>
          <t>.</t>
        </is>
      </c>
      <c r="AA746" t="inlineStr">
        <is>
          <t>.</t>
        </is>
      </c>
      <c r="AB746" t="inlineStr">
        <is>
          <t>.</t>
        </is>
      </c>
      <c r="AC746" t="inlineStr">
        <is>
          <t>.</t>
        </is>
      </c>
      <c r="AD746" t="inlineStr">
        <is>
          <t>10</t>
        </is>
      </c>
      <c r="AE746" t="inlineStr">
        <is>
          <t>0.676974716705773</t>
        </is>
      </c>
      <c r="AF746" t="inlineStr">
        <is>
          <t>gamma-glutamyltransferase 1</t>
        </is>
      </c>
      <c r="AG746" t="inlineStr">
        <is>
          <t xml:space="preserve">FUNCTION: Cleaves the gamma-glutamyl bond of extracellular glutathione (gamma-Glu-Cys-Gly), glutathione conjugates, and other gamma-glutamyl compounds. The metabolism of glutathione releases free glutamate and the dipeptide, cysteinyl-glycine, which is hydrolyzed to cysteine and glycine by dipeptidases. In the presence of high concentrations of dipeptides and some amino acids, can also catalyze a transpeptidation reaction, transferring the gamma-glutamyl moiety to an acceptor amino acid to form a new gamma-glutamyl compound. Initiates extracellular glutathione (GSH) breakdown, provides cells with a local cysteine supply and contributes to maintain intracellular GSH level. It is part of the cell antioxidant defense mechanism. Isoform 3 seems to be inactive. {ECO:0000269|PubMed:20622017, ECO:0000269|PubMed:24047895, ECO:0000269|PubMed:7673200, ECO:0000269|PubMed:7759490, ECO:0000269|PubMed:8095045, ECO:0000269|PubMed:8827453}.; </t>
        </is>
      </c>
      <c r="AH746" t="inlineStr">
        <is>
          <t xml:space="preserve">DISEASE: Glutathionuria (GLUTH) [MIM:231950]: Autosomal recessive disease. Note=The disease is caused by mutations affecting the gene represented in this entry.; </t>
        </is>
      </c>
      <c r="AI746" t="inlineStr">
        <is>
          <t>.</t>
        </is>
      </c>
      <c r="AJ746" t="inlineStr">
        <is>
          <t>.</t>
        </is>
      </c>
      <c r="AK746" t="inlineStr">
        <is>
          <t>.</t>
        </is>
      </c>
      <c r="AL746" t="inlineStr">
        <is>
          <t>NGS_HighStringency</t>
        </is>
      </c>
    </row>
    <row r="747">
      <c r="A747" t="inlineStr"/>
      <c r="B747">
        <f>HYPERLINK("https://genome.ucsc.edu/cgi-bin/hgTracks?db=hg19&amp;position=chr22%3A25024040%2D25024040", "chr22:25024040")</f>
        <v/>
      </c>
      <c r="C747" t="inlineStr">
        <is>
          <t>chr22</t>
        </is>
      </c>
      <c r="D747" t="n">
        <v>25024040</v>
      </c>
      <c r="E747" t="n">
        <v>25024040</v>
      </c>
      <c r="F747" t="inlineStr">
        <is>
          <t>G</t>
        </is>
      </c>
      <c r="G747" t="inlineStr">
        <is>
          <t>A</t>
        </is>
      </c>
      <c r="H747" t="inlineStr">
        <is>
          <t>1715.64</t>
        </is>
      </c>
      <c r="I747" t="inlineStr">
        <is>
          <t>160</t>
        </is>
      </c>
      <c r="J747" t="inlineStr">
        <is>
          <t>79,81</t>
        </is>
      </c>
      <c r="K747" t="inlineStr">
        <is>
          <t>.</t>
        </is>
      </c>
      <c r="L747">
        <f>HYPERLINK("https://www.ncbi.nlm.nih.gov/snp/rs74279113", "rs74279113")</f>
        <v/>
      </c>
      <c r="M747">
        <f>HYPERLINK("https://www.genecards.org/Search/Keyword?queryString=%5Baliases%5D(%20GGT1%20)&amp;keywords=GGT1", "GGT1")</f>
        <v/>
      </c>
      <c r="N747" t="inlineStr">
        <is>
          <t>intronic</t>
        </is>
      </c>
      <c r="O747" t="inlineStr">
        <is>
          <t>.</t>
        </is>
      </c>
      <c r="P747" t="inlineStr">
        <is>
          <t>.</t>
        </is>
      </c>
      <c r="Q747" t="n">
        <v>0.0101163</v>
      </c>
      <c r="R747" t="n">
        <v>-1</v>
      </c>
      <c r="S747" t="n">
        <v>-1</v>
      </c>
      <c r="T747" t="n">
        <v>-1</v>
      </c>
      <c r="U747" t="n">
        <v>-1</v>
      </c>
      <c r="V747" t="inlineStr">
        <is>
          <t>.</t>
        </is>
      </c>
      <c r="W747" t="inlineStr">
        <is>
          <t>D</t>
        </is>
      </c>
      <c r="X747" t="inlineStr">
        <is>
          <t>PD</t>
        </is>
      </c>
      <c r="Y747" t="inlineStr">
        <is>
          <t>on</t>
        </is>
      </c>
      <c r="Z747" t="inlineStr">
        <is>
          <t>.</t>
        </is>
      </c>
      <c r="AA747" t="inlineStr">
        <is>
          <t>.</t>
        </is>
      </c>
      <c r="AB747" t="inlineStr">
        <is>
          <t>.</t>
        </is>
      </c>
      <c r="AC747" t="inlineStr">
        <is>
          <t>0/1</t>
        </is>
      </c>
      <c r="AD747" t="inlineStr">
        <is>
          <t>10</t>
        </is>
      </c>
      <c r="AE747" t="inlineStr">
        <is>
          <t>0.676974716705773</t>
        </is>
      </c>
      <c r="AF747" t="inlineStr">
        <is>
          <t>gamma-glutamyltransferase 1</t>
        </is>
      </c>
      <c r="AG747" t="inlineStr">
        <is>
          <t xml:space="preserve">FUNCTION: Cleaves the gamma-glutamyl bond of extracellular glutathione (gamma-Glu-Cys-Gly), glutathione conjugates, and other gamma-glutamyl compounds. The metabolism of glutathione releases free glutamate and the dipeptide, cysteinyl-glycine, which is hydrolyzed to cysteine and glycine by dipeptidases. In the presence of high concentrations of dipeptides and some amino acids, can also catalyze a transpeptidation reaction, transferring the gamma-glutamyl moiety to an acceptor amino acid to form a new gamma-glutamyl compound. Initiates extracellular glutathione (GSH) breakdown, provides cells with a local cysteine supply and contributes to maintain intracellular GSH level. It is part of the cell antioxidant defense mechanism. Isoform 3 seems to be inactive. {ECO:0000269|PubMed:20622017, ECO:0000269|PubMed:24047895, ECO:0000269|PubMed:7673200, ECO:0000269|PubMed:7759490, ECO:0000269|PubMed:8095045, ECO:0000269|PubMed:8827453}.; </t>
        </is>
      </c>
      <c r="AH747" t="inlineStr">
        <is>
          <t xml:space="preserve">DISEASE: Glutathionuria (GLUTH) [MIM:231950]: Autosomal recessive disease. Note=The disease is caused by mutations affecting the gene represented in this entry.; </t>
        </is>
      </c>
      <c r="AI747" t="inlineStr">
        <is>
          <t>GenotypeConflict</t>
        </is>
      </c>
      <c r="AJ747" t="inlineStr">
        <is>
          <t>.</t>
        </is>
      </c>
      <c r="AK747" t="inlineStr">
        <is>
          <t>.</t>
        </is>
      </c>
      <c r="AL747" t="inlineStr">
        <is>
          <t>NGS_HighStringency</t>
        </is>
      </c>
    </row>
    <row r="748">
      <c r="A748" t="inlineStr"/>
      <c r="B748">
        <f>HYPERLINK("https://genome.ucsc.edu/cgi-bin/hgTracks?db=hg19&amp;position=chr22%3A25024072%2D25024072", "chr22:25024072")</f>
        <v/>
      </c>
      <c r="C748" t="inlineStr">
        <is>
          <t>chr22</t>
        </is>
      </c>
      <c r="D748" t="n">
        <v>25024072</v>
      </c>
      <c r="E748" t="n">
        <v>25024072</v>
      </c>
      <c r="F748" t="inlineStr">
        <is>
          <t>G</t>
        </is>
      </c>
      <c r="G748" t="inlineStr">
        <is>
          <t>T</t>
        </is>
      </c>
      <c r="H748" t="inlineStr">
        <is>
          <t>2375.64</t>
        </is>
      </c>
      <c r="I748" t="inlineStr">
        <is>
          <t>158</t>
        </is>
      </c>
      <c r="J748" t="inlineStr">
        <is>
          <t>94,64</t>
        </is>
      </c>
      <c r="K748" t="inlineStr">
        <is>
          <t>.</t>
        </is>
      </c>
      <c r="L748">
        <f>HYPERLINK("https://www.ncbi.nlm.nih.gov/snp/rs199681469", "rs199681469")</f>
        <v/>
      </c>
      <c r="M748">
        <f>HYPERLINK("https://www.genecards.org/Search/Keyword?queryString=%5Baliases%5D(%20GGT1%20)&amp;keywords=GGT1", "GGT1")</f>
        <v/>
      </c>
      <c r="N748" t="inlineStr">
        <is>
          <t>exonic</t>
        </is>
      </c>
      <c r="O748" t="inlineStr">
        <is>
          <t>nonsynonymous SNV</t>
        </is>
      </c>
      <c r="P748" t="inlineStr">
        <is>
          <t>GGT1:NM_001288833:exon14:c.G1361T:p.C454F,GGT1:NM_013430:exon14:c.G1361T:p.C454F,GGT1:NM_013421:exon15:c.G1361T:p.C454F;GGT1:uc003aay.1:exon3:c.G329T:p.C110F,GGT1:uc003aan.1:exon14:c.G1361T:p.C454F,GGT1:uc003aas.1:exon14:c.G1361T:p.C454F,GGT1:uc003aat.1:exon14:c.G1361T:p.C454F,GGT1:uc003aau.2:exon14:c.G1361T:p.C454F,GGT1:uc003aav.2:exon14:c.G1361T:p.C454F,GGT1:uc003aax.2:exon14:c.G1361T:p.C454F,GGT1:uc003aaw.2:exon15:c.G1361T:p.C454F;GGT1:ENST00000403838.5_2:exon3:c.G329T:p.C110F,GGT1:ENST00000404223.5_2:exon3:c.G329T:p.C110F,GGT1:ENST00000404920.1_2:exon3:c.G329T:p.C110F,GGT1:ENST00000401885.5_6:exon4:c.G329T:p.C110F,GGT1:ENST00000404532.5_2:exon4:c.G329T:p.C110F,GGT1:ENST00000400382.6_3:exon14:c.G1361T:p.C454F,GGT1:ENST00000400380.5_2:exon15:c.G1361T:p.C454F</t>
        </is>
      </c>
      <c r="Q748" t="n">
        <v>0.0035834</v>
      </c>
      <c r="R748" t="n">
        <v>-1</v>
      </c>
      <c r="S748" t="n">
        <v>-1</v>
      </c>
      <c r="T748" t="n">
        <v>-1</v>
      </c>
      <c r="U748" t="n">
        <v>-1</v>
      </c>
      <c r="V748" t="inlineStr">
        <is>
          <t>7/12</t>
        </is>
      </c>
      <c r="W748" t="inlineStr">
        <is>
          <t>.</t>
        </is>
      </c>
      <c r="X748" t="inlineStr">
        <is>
          <t>.</t>
        </is>
      </c>
      <c r="Y748" t="inlineStr">
        <is>
          <t>.</t>
        </is>
      </c>
      <c r="Z748" t="inlineStr">
        <is>
          <t>2/7</t>
        </is>
      </c>
      <c r="AA748" t="inlineStr">
        <is>
          <t>Uncertain significance</t>
        </is>
      </c>
      <c r="AB748" t="inlineStr">
        <is>
          <t>.</t>
        </is>
      </c>
      <c r="AC748" t="inlineStr">
        <is>
          <t>.</t>
        </is>
      </c>
      <c r="AD748" t="inlineStr">
        <is>
          <t>10</t>
        </is>
      </c>
      <c r="AE748" t="inlineStr">
        <is>
          <t>0.676974716705773</t>
        </is>
      </c>
      <c r="AF748" t="inlineStr">
        <is>
          <t>gamma-glutamyltransferase 1</t>
        </is>
      </c>
      <c r="AG748" t="inlineStr">
        <is>
          <t xml:space="preserve">FUNCTION: Cleaves the gamma-glutamyl bond of extracellular glutathione (gamma-Glu-Cys-Gly), glutathione conjugates, and other gamma-glutamyl compounds. The metabolism of glutathione releases free glutamate and the dipeptide, cysteinyl-glycine, which is hydrolyzed to cysteine and glycine by dipeptidases. In the presence of high concentrations of dipeptides and some amino acids, can also catalyze a transpeptidation reaction, transferring the gamma-glutamyl moiety to an acceptor amino acid to form a new gamma-glutamyl compound. Initiates extracellular glutathione (GSH) breakdown, provides cells with a local cysteine supply and contributes to maintain intracellular GSH level. It is part of the cell antioxidant defense mechanism. Isoform 3 seems to be inactive. {ECO:0000269|PubMed:20622017, ECO:0000269|PubMed:24047895, ECO:0000269|PubMed:7673200, ECO:0000269|PubMed:7759490, ECO:0000269|PubMed:8095045, ECO:0000269|PubMed:8827453}.; </t>
        </is>
      </c>
      <c r="AH748" t="inlineStr">
        <is>
          <t xml:space="preserve">DISEASE: Glutathionuria (GLUTH) [MIM:231950]: Autosomal recessive disease. Note=The disease is caused by mutations affecting the gene represented in this entry.; </t>
        </is>
      </c>
      <c r="AI748" t="inlineStr">
        <is>
          <t>GenotypeConflict</t>
        </is>
      </c>
      <c r="AJ748" t="inlineStr">
        <is>
          <t>.</t>
        </is>
      </c>
      <c r="AK748" t="inlineStr">
        <is>
          <t>.</t>
        </is>
      </c>
      <c r="AL748" t="inlineStr">
        <is>
          <t>NGS_HighStringency</t>
        </is>
      </c>
    </row>
    <row r="749">
      <c r="A749" t="inlineStr"/>
      <c r="B749">
        <f>HYPERLINK("https://genome.ucsc.edu/cgi-bin/hgTracks?db=hg19&amp;position=chr22%3A25024296%2D25024296", "chr22:25024296")</f>
        <v/>
      </c>
      <c r="C749" t="inlineStr">
        <is>
          <t>chr22</t>
        </is>
      </c>
      <c r="D749" t="n">
        <v>25024296</v>
      </c>
      <c r="E749" t="n">
        <v>25024296</v>
      </c>
      <c r="F749" t="inlineStr">
        <is>
          <t>C</t>
        </is>
      </c>
      <c r="G749" t="inlineStr">
        <is>
          <t>T</t>
        </is>
      </c>
      <c r="H749" t="inlineStr">
        <is>
          <t>170.64</t>
        </is>
      </c>
      <c r="I749" t="inlineStr">
        <is>
          <t>99</t>
        </is>
      </c>
      <c r="J749" t="inlineStr">
        <is>
          <t>86,13</t>
        </is>
      </c>
      <c r="K749" t="inlineStr">
        <is>
          <t>.</t>
        </is>
      </c>
      <c r="L749">
        <f>HYPERLINK("https://www.ncbi.nlm.nih.gov/snp/rs377488360", "rs377488360")</f>
        <v/>
      </c>
      <c r="M749">
        <f>HYPERLINK("https://www.genecards.org/Search/Keyword?queryString=%5Baliases%5D(%20GGT1%20)&amp;keywords=GGT1", "GGT1")</f>
        <v/>
      </c>
      <c r="N749" t="inlineStr">
        <is>
          <t>exonic</t>
        </is>
      </c>
      <c r="O749" t="inlineStr">
        <is>
          <t>nonsynonymous SNV</t>
        </is>
      </c>
      <c r="P749" t="inlineStr">
        <is>
          <t>GGT1:NM_001288833:exon15:c.C1504T:p.P502S,GGT1:NM_013430:exon15:c.C1504T:p.P502S,GGT1:NM_013421:exon16:c.C1504T:p.P502S;GGT1:uc003aay.1:exon4:c.C472T:p.P158S,GGT1:uc003aan.1:exon15:c.C1504T:p.P502S,GGT1:uc003aat.1:exon15:c.C1504T:p.P502S,GGT1:uc003aau.2:exon15:c.C1504T:p.P502S,GGT1:uc003aav.2:exon15:c.C1504T:p.P502S,GGT1:uc003aax.2:exon15:c.C1504T:p.P502S,GGT1:uc003aaw.2:exon16:c.C1504T:p.P502S;GGT1:ENST00000404223.5_2:exon3:c.C553T:p.P185S,GGT1:ENST00000403838.5_2:exon4:c.C472T:p.P158S,GGT1:ENST00000404920.1_2:exon4:c.C451T:p.P151S,GGT1:ENST00000401885.5_6:exon5:c.C472T:p.P158S,GGT1:ENST00000404532.5_2:exon5:c.C472T:p.P158S,GGT1:ENST00000400382.6_3:exon15:c.C1504T:p.P502S,GGT1:ENST00000400380.5_2:exon16:c.C1504T:p.P502S</t>
        </is>
      </c>
      <c r="Q749" t="n">
        <v>0.0002393</v>
      </c>
      <c r="R749" t="n">
        <v>-1</v>
      </c>
      <c r="S749" t="n">
        <v>-1</v>
      </c>
      <c r="T749" t="n">
        <v>-1</v>
      </c>
      <c r="U749" t="n">
        <v>-1</v>
      </c>
      <c r="V749" t="inlineStr">
        <is>
          <t>7/12</t>
        </is>
      </c>
      <c r="W749" t="inlineStr">
        <is>
          <t>.</t>
        </is>
      </c>
      <c r="X749" t="inlineStr">
        <is>
          <t>.</t>
        </is>
      </c>
      <c r="Y749" t="inlineStr">
        <is>
          <t>.</t>
        </is>
      </c>
      <c r="Z749" t="inlineStr">
        <is>
          <t>2/7</t>
        </is>
      </c>
      <c r="AA749" t="inlineStr">
        <is>
          <t>Uncertain significance</t>
        </is>
      </c>
      <c r="AB749" t="inlineStr">
        <is>
          <t>.</t>
        </is>
      </c>
      <c r="AC749" t="inlineStr">
        <is>
          <t>0/1</t>
        </is>
      </c>
      <c r="AD749" t="inlineStr">
        <is>
          <t>10</t>
        </is>
      </c>
      <c r="AE749" t="inlineStr">
        <is>
          <t>0.676974716705773</t>
        </is>
      </c>
      <c r="AF749" t="inlineStr">
        <is>
          <t>gamma-glutamyltransferase 1</t>
        </is>
      </c>
      <c r="AG749" t="inlineStr">
        <is>
          <t xml:space="preserve">FUNCTION: Cleaves the gamma-glutamyl bond of extracellular glutathione (gamma-Glu-Cys-Gly), glutathione conjugates, and other gamma-glutamyl compounds. The metabolism of glutathione releases free glutamate and the dipeptide, cysteinyl-glycine, which is hydrolyzed to cysteine and glycine by dipeptidases. In the presence of high concentrations of dipeptides and some amino acids, can also catalyze a transpeptidation reaction, transferring the gamma-glutamyl moiety to an acceptor amino acid to form a new gamma-glutamyl compound. Initiates extracellular glutathione (GSH) breakdown, provides cells with a local cysteine supply and contributes to maintain intracellular GSH level. It is part of the cell antioxidant defense mechanism. Isoform 3 seems to be inactive. {ECO:0000269|PubMed:20622017, ECO:0000269|PubMed:24047895, ECO:0000269|PubMed:7673200, ECO:0000269|PubMed:7759490, ECO:0000269|PubMed:8095045, ECO:0000269|PubMed:8827453}.; </t>
        </is>
      </c>
      <c r="AH749" t="inlineStr">
        <is>
          <t xml:space="preserve">DISEASE: Glutathionuria (GLUTH) [MIM:231950]: Autosomal recessive disease. Note=The disease is caused by mutations affecting the gene represented in this entry.; </t>
        </is>
      </c>
      <c r="AI749" t="inlineStr">
        <is>
          <t>GenotypeConflict</t>
        </is>
      </c>
      <c r="AJ749" t="inlineStr">
        <is>
          <t>.</t>
        </is>
      </c>
      <c r="AK749" t="inlineStr">
        <is>
          <t>.</t>
        </is>
      </c>
      <c r="AL749" t="inlineStr">
        <is>
          <t>NGS_HighStringency</t>
        </is>
      </c>
    </row>
    <row r="750">
      <c r="A750" t="inlineStr"/>
      <c r="B750">
        <f>HYPERLINK("https://genome.ucsc.edu/cgi-bin/hgTracks?db=hg19&amp;position=chr22%3A25024363%2D25024363", "chr22:25024363")</f>
        <v/>
      </c>
      <c r="C750" t="inlineStr">
        <is>
          <t>chr22</t>
        </is>
      </c>
      <c r="D750" t="n">
        <v>25024363</v>
      </c>
      <c r="E750" t="n">
        <v>25024363</v>
      </c>
      <c r="F750" t="inlineStr">
        <is>
          <t>G</t>
        </is>
      </c>
      <c r="G750" t="inlineStr">
        <is>
          <t>A</t>
        </is>
      </c>
      <c r="H750" t="inlineStr">
        <is>
          <t>306.64</t>
        </is>
      </c>
      <c r="I750" t="inlineStr">
        <is>
          <t>85</t>
        </is>
      </c>
      <c r="J750" t="inlineStr">
        <is>
          <t>68,17</t>
        </is>
      </c>
      <c r="K750" t="inlineStr">
        <is>
          <t>.</t>
        </is>
      </c>
      <c r="L750">
        <f>HYPERLINK("https://www.ncbi.nlm.nih.gov/snp/rs756886269", "rs756886269")</f>
        <v/>
      </c>
      <c r="M750">
        <f>HYPERLINK("https://www.genecards.org/Search/Keyword?queryString=%5Baliases%5D(%20GGT1%20)&amp;keywords=GGT1", "GGT1")</f>
        <v/>
      </c>
      <c r="N750" t="inlineStr">
        <is>
          <t>intronic</t>
        </is>
      </c>
      <c r="O750" t="inlineStr">
        <is>
          <t>.</t>
        </is>
      </c>
      <c r="P750" t="inlineStr">
        <is>
          <t>.</t>
        </is>
      </c>
      <c r="Q750" t="n">
        <v>6.490000000000001e-05</v>
      </c>
      <c r="R750" t="n">
        <v>9.037e-05</v>
      </c>
      <c r="S750" t="n">
        <v>7.354e-05</v>
      </c>
      <c r="T750" t="n">
        <v>-1</v>
      </c>
      <c r="U750" t="n">
        <v>-1</v>
      </c>
      <c r="V750" t="inlineStr">
        <is>
          <t>.</t>
        </is>
      </c>
      <c r="W750" t="inlineStr">
        <is>
          <t>T</t>
        </is>
      </c>
      <c r="X750" t="inlineStr">
        <is>
          <t>D</t>
        </is>
      </c>
      <c r="Y750" t="inlineStr">
        <is>
          <t>off</t>
        </is>
      </c>
      <c r="Z750" t="inlineStr">
        <is>
          <t>.</t>
        </is>
      </c>
      <c r="AA750" t="inlineStr">
        <is>
          <t>.</t>
        </is>
      </c>
      <c r="AB750" t="inlineStr">
        <is>
          <t>.</t>
        </is>
      </c>
      <c r="AC750" t="inlineStr">
        <is>
          <t>0/1</t>
        </is>
      </c>
      <c r="AD750" t="inlineStr">
        <is>
          <t>10</t>
        </is>
      </c>
      <c r="AE750" t="inlineStr">
        <is>
          <t>0.676974716705773</t>
        </is>
      </c>
      <c r="AF750" t="inlineStr">
        <is>
          <t>gamma-glutamyltransferase 1</t>
        </is>
      </c>
      <c r="AG750" t="inlineStr">
        <is>
          <t xml:space="preserve">FUNCTION: Cleaves the gamma-glutamyl bond of extracellular glutathione (gamma-Glu-Cys-Gly), glutathione conjugates, and other gamma-glutamyl compounds. The metabolism of glutathione releases free glutamate and the dipeptide, cysteinyl-glycine, which is hydrolyzed to cysteine and glycine by dipeptidases. In the presence of high concentrations of dipeptides and some amino acids, can also catalyze a transpeptidation reaction, transferring the gamma-glutamyl moiety to an acceptor amino acid to form a new gamma-glutamyl compound. Initiates extracellular glutathione (GSH) breakdown, provides cells with a local cysteine supply and contributes to maintain intracellular GSH level. It is part of the cell antioxidant defense mechanism. Isoform 3 seems to be inactive. {ECO:0000269|PubMed:20622017, ECO:0000269|PubMed:24047895, ECO:0000269|PubMed:7673200, ECO:0000269|PubMed:7759490, ECO:0000269|PubMed:8095045, ECO:0000269|PubMed:8827453}.; </t>
        </is>
      </c>
      <c r="AH750" t="inlineStr">
        <is>
          <t xml:space="preserve">DISEASE: Glutathionuria (GLUTH) [MIM:231950]: Autosomal recessive disease. Note=The disease is caused by mutations affecting the gene represented in this entry.; </t>
        </is>
      </c>
      <c r="AI750" t="inlineStr">
        <is>
          <t>.</t>
        </is>
      </c>
      <c r="AJ750" t="inlineStr">
        <is>
          <t>.</t>
        </is>
      </c>
      <c r="AK750" t="inlineStr">
        <is>
          <t>.</t>
        </is>
      </c>
      <c r="AL750" t="inlineStr">
        <is>
          <t>NGS_HighStringency</t>
        </is>
      </c>
    </row>
    <row r="751">
      <c r="A751" t="inlineStr"/>
      <c r="B751">
        <f>HYPERLINK("https://genome.ucsc.edu/cgi-bin/hgTracks?db=hg19&amp;position=chr22%3A26346379%2D26346379", "chr22:26346379")</f>
        <v/>
      </c>
      <c r="C751" t="inlineStr">
        <is>
          <t>chr22</t>
        </is>
      </c>
      <c r="D751" t="n">
        <v>26346379</v>
      </c>
      <c r="E751" t="n">
        <v>26346379</v>
      </c>
      <c r="F751" t="inlineStr">
        <is>
          <t>A</t>
        </is>
      </c>
      <c r="G751" t="inlineStr">
        <is>
          <t>C</t>
        </is>
      </c>
      <c r="H751" t="inlineStr">
        <is>
          <t>1080.64</t>
        </is>
      </c>
      <c r="I751" t="inlineStr">
        <is>
          <t>111</t>
        </is>
      </c>
      <c r="J751" t="inlineStr">
        <is>
          <t>59,52</t>
        </is>
      </c>
      <c r="K751" t="inlineStr">
        <is>
          <t>.</t>
        </is>
      </c>
      <c r="L751" t="inlineStr">
        <is>
          <t>.</t>
        </is>
      </c>
      <c r="M751">
        <f>HYPERLINK("https://www.genecards.org/Search/Keyword?queryString=%5Baliases%5D(%20MYO18B%20)&amp;keywords=MYO18B", "MYO18B")</f>
        <v/>
      </c>
      <c r="N751" t="inlineStr">
        <is>
          <t>exonic</t>
        </is>
      </c>
      <c r="O751" t="inlineStr">
        <is>
          <t>nonsynonymous SNV</t>
        </is>
      </c>
      <c r="P751" t="inlineStr">
        <is>
          <t>MYO18B:NM_001318245:exon37:c.A5798C:p.E1933A,MYO18B:NM_032608:exon37:c.A5795C:p.E1932A;MYO18B:uc011akb.1:exon33:c.A4334C:p.E1445A,MYO18B:uc011aka.1:exon34:c.A3257C:p.E1086A,MYO18B:uc003aca.1:exon35:c.A5438C:p.E1813A,MYO18B:uc010guy.1:exon35:c.A5441C:p.E1814A,MYO18B:uc010guz.1:exon35:c.A5435C:p.E1812A,MYO18B:uc003abz.1:exon37:c.A5795C:p.E1932A;MYO18B:ENST00000335473.12_8:exon37:c.A5795C:p.E1932A,MYO18B:ENST00000407587.6_2:exon37:c.A5798C:p.E1933A,MYO18B:ENST00000536101.5_7:exon37:c.A5795C:p.E1932A</t>
        </is>
      </c>
      <c r="Q751" t="n">
        <v>-1</v>
      </c>
      <c r="R751" t="n">
        <v>-1</v>
      </c>
      <c r="S751" t="n">
        <v>-1</v>
      </c>
      <c r="T751" t="n">
        <v>-1</v>
      </c>
      <c r="U751" t="n">
        <v>-1</v>
      </c>
      <c r="V751" t="inlineStr">
        <is>
          <t>9/12</t>
        </is>
      </c>
      <c r="W751" t="inlineStr">
        <is>
          <t>.</t>
        </is>
      </c>
      <c r="X751" t="inlineStr">
        <is>
          <t>.</t>
        </is>
      </c>
      <c r="Y751" t="inlineStr">
        <is>
          <t>.</t>
        </is>
      </c>
      <c r="Z751" t="inlineStr">
        <is>
          <t>5/7</t>
        </is>
      </c>
      <c r="AA751" t="inlineStr">
        <is>
          <t>Uncertain significance</t>
        </is>
      </c>
      <c r="AB751" t="inlineStr">
        <is>
          <t>.</t>
        </is>
      </c>
      <c r="AC751" t="inlineStr">
        <is>
          <t>0/1</t>
        </is>
      </c>
      <c r="AD751" t="inlineStr">
        <is>
          <t>1</t>
        </is>
      </c>
      <c r="AE751" t="inlineStr">
        <is>
          <t>2.61207132683228e-15</t>
        </is>
      </c>
      <c r="AF751" t="inlineStr">
        <is>
          <t>myosin XVIIIB</t>
        </is>
      </c>
      <c r="AG751" t="inlineStr">
        <is>
          <t xml:space="preserve">FUNCTION: May be involved in intracellular trafficking of the muscle cell when in the cytoplasm, whereas entering the nucleus, may be involved in the regulation of muscle specific genes. May play a role in the control of tumor development and progression; restored MYO18B expression in lung cancer cells suppresses anchorage-independent growth.; </t>
        </is>
      </c>
      <c r="AH751" t="inlineStr">
        <is>
          <t>.</t>
        </is>
      </c>
      <c r="AI751" t="inlineStr">
        <is>
          <t>.</t>
        </is>
      </c>
      <c r="AJ751" t="inlineStr">
        <is>
          <t>.</t>
        </is>
      </c>
      <c r="AK751" t="inlineStr">
        <is>
          <t>.</t>
        </is>
      </c>
      <c r="AL751" t="inlineStr">
        <is>
          <t>.</t>
        </is>
      </c>
    </row>
    <row r="752">
      <c r="A752" t="inlineStr"/>
      <c r="B752">
        <f>HYPERLINK("https://genome.ucsc.edu/cgi-bin/hgTracks?db=hg19&amp;position=chr22%3A29879534%2D29879534", "chr22:29879534")</f>
        <v/>
      </c>
      <c r="C752" t="inlineStr">
        <is>
          <t>chr22</t>
        </is>
      </c>
      <c r="D752" t="n">
        <v>29879534</v>
      </c>
      <c r="E752" t="n">
        <v>29879534</v>
      </c>
      <c r="F752" t="inlineStr">
        <is>
          <t>C</t>
        </is>
      </c>
      <c r="G752" t="inlineStr">
        <is>
          <t>A</t>
        </is>
      </c>
      <c r="H752" t="inlineStr">
        <is>
          <t>3976.06</t>
        </is>
      </c>
      <c r="I752" t="inlineStr">
        <is>
          <t>130</t>
        </is>
      </c>
      <c r="J752" t="inlineStr">
        <is>
          <t>4,126</t>
        </is>
      </c>
      <c r="K752" t="inlineStr">
        <is>
          <t>.</t>
        </is>
      </c>
      <c r="L752">
        <f>HYPERLINK("https://www.ncbi.nlm.nih.gov/snp/rs149955255", "rs149955255")</f>
        <v/>
      </c>
      <c r="M752">
        <f>HYPERLINK("https://www.genecards.org/Search/Keyword?queryString=%5Baliases%5D(%20NEFH%20)&amp;keywords=NEFH", "NEFH")</f>
        <v/>
      </c>
      <c r="N752" t="inlineStr">
        <is>
          <t>exonic</t>
        </is>
      </c>
      <c r="O752" t="inlineStr">
        <is>
          <t>nonsynonymous SNV</t>
        </is>
      </c>
      <c r="P752" t="inlineStr">
        <is>
          <t>NEFH:NM_021076:exon2:c.C1054A:p.R352S;NEFH:uc003afo.3:exon2:c.C1054A:p.R352S;NEFH:ENST00000310624.7_3:exon2:c.C1054A:p.R352S</t>
        </is>
      </c>
      <c r="Q752" t="n">
        <v>0.004105</v>
      </c>
      <c r="R752" t="n">
        <v>0.0039</v>
      </c>
      <c r="S752" t="n">
        <v>0.0036</v>
      </c>
      <c r="T752" t="n">
        <v>-1</v>
      </c>
      <c r="U752" t="n">
        <v>0.004</v>
      </c>
      <c r="V752" t="inlineStr">
        <is>
          <t>10/11</t>
        </is>
      </c>
      <c r="W752" t="inlineStr">
        <is>
          <t>.</t>
        </is>
      </c>
      <c r="X752" t="inlineStr">
        <is>
          <t>.</t>
        </is>
      </c>
      <c r="Y752" t="inlineStr">
        <is>
          <t>.</t>
        </is>
      </c>
      <c r="Z752" t="inlineStr">
        <is>
          <t>1/7</t>
        </is>
      </c>
      <c r="AA752" t="inlineStr">
        <is>
          <t>Uncertain significance</t>
        </is>
      </c>
      <c r="AB752" t="inlineStr">
        <is>
          <t>Conflicting_interpretations_of_pathogenicity</t>
        </is>
      </c>
      <c r="AC752" t="inlineStr">
        <is>
          <t>HOMO</t>
        </is>
      </c>
      <c r="AD752" t="inlineStr">
        <is>
          <t>1</t>
        </is>
      </c>
      <c r="AE752" t="inlineStr">
        <is>
          <t>0.00126104058830359</t>
        </is>
      </c>
      <c r="AF752" t="inlineStr">
        <is>
          <t>neurofilament, heavy polypeptide</t>
        </is>
      </c>
      <c r="AG752" t="inlineStr">
        <is>
          <t xml:space="preserve">FUNCTION: Neurofilaments usually contain three intermediate filament proteins: L, M, and H which are involved in the maintenance of neuronal caliber. NF-H has an important function in mature axons that is not subserved by the two smaller NF proteins.; </t>
        </is>
      </c>
      <c r="AH752" t="inlineStr">
        <is>
          <t xml:space="preserve">DISEASE: Amyotrophic lateral sclerosis (ALS) [MIM:105400]: A neurodegenerative disorder affecting upper motor neurons in the brain and lower motor neurons in the brain stem and spinal cord, resulting in fatal paralysis. Sensory abnormalities are absent. The pathologic hallmarks of the disease include pallor of the corticospinal tract due to loss of motor neurons, presence of ubiquitin-positive inclusions within surviving motor neurons, and deposition of pathologic aggregates. The etiology of amyotrophic lateral sclerosis is likely to be multifactorial, involving both genetic and environmental factors. The disease is inherited in 5- 10% of the cases. {ECO:0000269|PubMed:7849698}. Note=Disease susceptibility is associated with variations affecting the gene represented in this entry.; </t>
        </is>
      </c>
      <c r="AI752" t="inlineStr">
        <is>
          <t>.</t>
        </is>
      </c>
      <c r="AJ752" t="inlineStr">
        <is>
          <t>.</t>
        </is>
      </c>
      <c r="AK752" t="inlineStr">
        <is>
          <t>.</t>
        </is>
      </c>
      <c r="AL752" t="inlineStr">
        <is>
          <t>.</t>
        </is>
      </c>
    </row>
    <row r="753">
      <c r="A753" t="inlineStr"/>
      <c r="B753">
        <f>HYPERLINK("https://genome.ucsc.edu/cgi-bin/hgTracks?db=hg19&amp;position=chr22%3A30975119%2D30975119", "chr22:30975119")</f>
        <v/>
      </c>
      <c r="C753" t="inlineStr">
        <is>
          <t>chr22</t>
        </is>
      </c>
      <c r="D753" t="n">
        <v>30975119</v>
      </c>
      <c r="E753" t="n">
        <v>30975119</v>
      </c>
      <c r="F753" t="inlineStr">
        <is>
          <t>C</t>
        </is>
      </c>
      <c r="G753" t="inlineStr">
        <is>
          <t>A</t>
        </is>
      </c>
      <c r="H753" t="inlineStr">
        <is>
          <t>2496.06</t>
        </is>
      </c>
      <c r="I753" t="inlineStr">
        <is>
          <t>79</t>
        </is>
      </c>
      <c r="J753" t="inlineStr">
        <is>
          <t>0,79</t>
        </is>
      </c>
      <c r="K753" t="inlineStr">
        <is>
          <t>.</t>
        </is>
      </c>
      <c r="L753">
        <f>HYPERLINK("https://www.ncbi.nlm.nih.gov/snp/rs4395340", "rs4395340")</f>
        <v/>
      </c>
      <c r="M753">
        <f>HYPERLINK("https://www.genecards.org/Search/Keyword?queryString=%5Baliases%5D(%20PES1%20)&amp;keywords=PES1", "PES1")</f>
        <v/>
      </c>
      <c r="N753" t="inlineStr">
        <is>
          <t>intronic</t>
        </is>
      </c>
      <c r="O753" t="inlineStr">
        <is>
          <t>.</t>
        </is>
      </c>
      <c r="P753" t="inlineStr">
        <is>
          <t>.</t>
        </is>
      </c>
      <c r="Q753" t="n">
        <v>0.0248</v>
      </c>
      <c r="R753" t="n">
        <v>0.0189</v>
      </c>
      <c r="S753" t="n">
        <v>0.0154</v>
      </c>
      <c r="T753" t="n">
        <v>-1</v>
      </c>
      <c r="U753" t="n">
        <v>0.0274</v>
      </c>
      <c r="V753" t="inlineStr">
        <is>
          <t>.</t>
        </is>
      </c>
      <c r="W753" t="inlineStr">
        <is>
          <t>D</t>
        </is>
      </c>
      <c r="X753" t="inlineStr">
        <is>
          <t>B</t>
        </is>
      </c>
      <c r="Y753" t="inlineStr">
        <is>
          <t>on</t>
        </is>
      </c>
      <c r="Z753" t="inlineStr">
        <is>
          <t>.</t>
        </is>
      </c>
      <c r="AA753" t="inlineStr">
        <is>
          <t>.</t>
        </is>
      </c>
      <c r="AB753" t="inlineStr">
        <is>
          <t>.</t>
        </is>
      </c>
      <c r="AC753" t="inlineStr">
        <is>
          <t>HOMO</t>
        </is>
      </c>
      <c r="AD753" t="inlineStr">
        <is>
          <t>2</t>
        </is>
      </c>
      <c r="AE753" t="inlineStr">
        <is>
          <t>0.655113488767418</t>
        </is>
      </c>
      <c r="AF753" t="inlineStr">
        <is>
          <t>pescadillo ribosomal biogenesis factor 1</t>
        </is>
      </c>
      <c r="AG753" t="inlineStr">
        <is>
          <t xml:space="preserve">FUNCTION: Component of the PeBoW complex, which is required for maturation of 28S and 5.8S ribosomal RNAs and formation of the 60S ribosome. {ECO:0000255|HAMAP-Rule:MF_03028, ECO:0000269|PubMed:16738141, ECO:0000269|PubMed:17189298, ECO:0000269|PubMed:17353269}.; </t>
        </is>
      </c>
      <c r="AH753" t="inlineStr">
        <is>
          <t>.</t>
        </is>
      </c>
      <c r="AI753" t="inlineStr">
        <is>
          <t>.</t>
        </is>
      </c>
      <c r="AJ753" t="inlineStr">
        <is>
          <t>.</t>
        </is>
      </c>
      <c r="AK753" t="inlineStr">
        <is>
          <t>.</t>
        </is>
      </c>
      <c r="AL753" t="inlineStr">
        <is>
          <t>.</t>
        </is>
      </c>
    </row>
    <row r="754">
      <c r="A754" t="inlineStr"/>
      <c r="B754">
        <f>HYPERLINK("https://genome.ucsc.edu/cgi-bin/hgTracks?db=hg19&amp;position=chr22%3A30975609%2D30975609", "chr22:30975609")</f>
        <v/>
      </c>
      <c r="C754" t="inlineStr">
        <is>
          <t>chr22</t>
        </is>
      </c>
      <c r="D754" t="n">
        <v>30975609</v>
      </c>
      <c r="E754" t="n">
        <v>30975609</v>
      </c>
      <c r="F754" t="inlineStr">
        <is>
          <t>T</t>
        </is>
      </c>
      <c r="G754" t="inlineStr">
        <is>
          <t>C</t>
        </is>
      </c>
      <c r="H754" t="inlineStr">
        <is>
          <t>1114.06</t>
        </is>
      </c>
      <c r="I754" t="inlineStr">
        <is>
          <t>34</t>
        </is>
      </c>
      <c r="J754" t="inlineStr">
        <is>
          <t>0,34</t>
        </is>
      </c>
      <c r="K754" t="inlineStr">
        <is>
          <t>.</t>
        </is>
      </c>
      <c r="L754">
        <f>HYPERLINK("https://www.ncbi.nlm.nih.gov/snp/rs142549711", "rs142549711")</f>
        <v/>
      </c>
      <c r="M754">
        <f>HYPERLINK("https://www.genecards.org/Search/Keyword?queryString=%5Baliases%5D(%20PES1%20)&amp;keywords=PES1", "PES1")</f>
        <v/>
      </c>
      <c r="N754" t="inlineStr">
        <is>
          <t>intronic</t>
        </is>
      </c>
      <c r="O754" t="inlineStr">
        <is>
          <t>.</t>
        </is>
      </c>
      <c r="P754" t="inlineStr">
        <is>
          <t>.</t>
        </is>
      </c>
      <c r="Q754" t="n">
        <v>0.0248</v>
      </c>
      <c r="R754" t="n">
        <v>0.019</v>
      </c>
      <c r="S754" t="n">
        <v>0.0153</v>
      </c>
      <c r="T754" t="n">
        <v>-1</v>
      </c>
      <c r="U754" t="n">
        <v>0.0274</v>
      </c>
      <c r="V754" t="inlineStr">
        <is>
          <t>.</t>
        </is>
      </c>
      <c r="W754" t="inlineStr">
        <is>
          <t>.</t>
        </is>
      </c>
      <c r="X754" t="inlineStr">
        <is>
          <t>D</t>
        </is>
      </c>
      <c r="Y754" t="inlineStr">
        <is>
          <t>off</t>
        </is>
      </c>
      <c r="Z754" t="inlineStr">
        <is>
          <t>.</t>
        </is>
      </c>
      <c r="AA754" t="inlineStr">
        <is>
          <t>.</t>
        </is>
      </c>
      <c r="AB754" t="inlineStr">
        <is>
          <t>.</t>
        </is>
      </c>
      <c r="AC754" t="inlineStr">
        <is>
          <t>HOMO</t>
        </is>
      </c>
      <c r="AD754" t="inlineStr">
        <is>
          <t>2</t>
        </is>
      </c>
      <c r="AE754" t="inlineStr">
        <is>
          <t>0.655113488767418</t>
        </is>
      </c>
      <c r="AF754" t="inlineStr">
        <is>
          <t>pescadillo ribosomal biogenesis factor 1</t>
        </is>
      </c>
      <c r="AG754" t="inlineStr">
        <is>
          <t xml:space="preserve">FUNCTION: Component of the PeBoW complex, which is required for maturation of 28S and 5.8S ribosomal RNAs and formation of the 60S ribosome. {ECO:0000255|HAMAP-Rule:MF_03028, ECO:0000269|PubMed:16738141, ECO:0000269|PubMed:17189298, ECO:0000269|PubMed:17353269}.; </t>
        </is>
      </c>
      <c r="AH754" t="inlineStr">
        <is>
          <t>.</t>
        </is>
      </c>
      <c r="AI754" t="inlineStr">
        <is>
          <t>.</t>
        </is>
      </c>
      <c r="AJ754" t="inlineStr">
        <is>
          <t>.</t>
        </is>
      </c>
      <c r="AK754" t="inlineStr">
        <is>
          <t>.</t>
        </is>
      </c>
      <c r="AL754" t="inlineStr">
        <is>
          <t>.</t>
        </is>
      </c>
    </row>
    <row r="755">
      <c r="A755" t="inlineStr"/>
      <c r="B755">
        <f>HYPERLINK("https://genome.ucsc.edu/cgi-bin/hgTracks?db=hg19&amp;position=chr22%3A31588667%2D31588667", "chr22:31588667")</f>
        <v/>
      </c>
      <c r="C755" t="inlineStr">
        <is>
          <t>chr22</t>
        </is>
      </c>
      <c r="D755" t="n">
        <v>31588667</v>
      </c>
      <c r="E755" t="n">
        <v>31588667</v>
      </c>
      <c r="F755" t="inlineStr">
        <is>
          <t>C</t>
        </is>
      </c>
      <c r="G755" t="inlineStr">
        <is>
          <t>A</t>
        </is>
      </c>
      <c r="H755" t="inlineStr">
        <is>
          <t>1349.64</t>
        </is>
      </c>
      <c r="I755" t="inlineStr">
        <is>
          <t>105</t>
        </is>
      </c>
      <c r="J755" t="inlineStr">
        <is>
          <t>47,58</t>
        </is>
      </c>
      <c r="K755" t="inlineStr">
        <is>
          <t>.</t>
        </is>
      </c>
      <c r="L755" t="inlineStr">
        <is>
          <t>.</t>
        </is>
      </c>
      <c r="M755">
        <f>HYPERLINK("https://www.genecards.org/Search/Keyword?queryString=%5Baliases%5D(%20RNF185%20)&amp;keywords=RNF185", "RNF185")</f>
        <v/>
      </c>
      <c r="N755" t="inlineStr">
        <is>
          <t>intronic</t>
        </is>
      </c>
      <c r="O755" t="inlineStr">
        <is>
          <t>.</t>
        </is>
      </c>
      <c r="P755" t="inlineStr">
        <is>
          <t>.</t>
        </is>
      </c>
      <c r="Q755" t="n">
        <v>-1</v>
      </c>
      <c r="R755" t="n">
        <v>-1</v>
      </c>
      <c r="S755" t="n">
        <v>-1</v>
      </c>
      <c r="T755" t="n">
        <v>-1</v>
      </c>
      <c r="U755" t="n">
        <v>-1</v>
      </c>
      <c r="V755" t="inlineStr">
        <is>
          <t>.</t>
        </is>
      </c>
      <c r="W755" t="inlineStr">
        <is>
          <t>D</t>
        </is>
      </c>
      <c r="X755" t="inlineStr">
        <is>
          <t>D</t>
        </is>
      </c>
      <c r="Y755" t="inlineStr">
        <is>
          <t>on</t>
        </is>
      </c>
      <c r="Z755" t="inlineStr">
        <is>
          <t>.</t>
        </is>
      </c>
      <c r="AA755" t="inlineStr">
        <is>
          <t>.</t>
        </is>
      </c>
      <c r="AB755" t="inlineStr">
        <is>
          <t>.</t>
        </is>
      </c>
      <c r="AC755" t="inlineStr">
        <is>
          <t>0/1</t>
        </is>
      </c>
      <c r="AD755" t="inlineStr">
        <is>
          <t>1</t>
        </is>
      </c>
      <c r="AE755" t="inlineStr">
        <is>
          <t>0.679395060761065</t>
        </is>
      </c>
      <c r="AF755" t="inlineStr">
        <is>
          <t>ring finger protein 185</t>
        </is>
      </c>
      <c r="AG755" t="inlineStr">
        <is>
          <t xml:space="preserve">FUNCTION: E3 ubiquitin-protein ligase that regulates selective mitochondrial autophagy by mediating 'Lys-63'-linked polyubiquitination of BNIP1. Responsible for the cotranslational ubiquitination and degradation of CFTR in the ERAD pathway. Preferentially associates with the E2 enzymes UBE2J1 and UBE2J2. {ECO:0000269|PubMed:21931693, ECO:0000269|PubMed:24019521}.; </t>
        </is>
      </c>
      <c r="AH755" t="inlineStr">
        <is>
          <t>.</t>
        </is>
      </c>
      <c r="AI755" t="inlineStr">
        <is>
          <t>.</t>
        </is>
      </c>
      <c r="AJ755" t="inlineStr">
        <is>
          <t>.</t>
        </is>
      </c>
      <c r="AK755" t="inlineStr">
        <is>
          <t>.</t>
        </is>
      </c>
      <c r="AL755" t="inlineStr">
        <is>
          <t>.</t>
        </is>
      </c>
    </row>
    <row r="756">
      <c r="A756" t="inlineStr"/>
      <c r="B756">
        <f>HYPERLINK("https://genome.ucsc.edu/cgi-bin/hgTracks?db=hg19&amp;position=chr22%3A38374141%2D38374141", "chr22:38374141")</f>
        <v/>
      </c>
      <c r="C756" t="inlineStr">
        <is>
          <t>chr22</t>
        </is>
      </c>
      <c r="D756" t="n">
        <v>38374141</v>
      </c>
      <c r="E756" t="n">
        <v>38374141</v>
      </c>
      <c r="F756" t="inlineStr">
        <is>
          <t>G</t>
        </is>
      </c>
      <c r="G756" t="inlineStr">
        <is>
          <t>T</t>
        </is>
      </c>
      <c r="H756" t="inlineStr">
        <is>
          <t>1125.64</t>
        </is>
      </c>
      <c r="I756" t="inlineStr">
        <is>
          <t>83</t>
        </is>
      </c>
      <c r="J756" t="inlineStr">
        <is>
          <t>37,46</t>
        </is>
      </c>
      <c r="K756" t="inlineStr">
        <is>
          <t>.</t>
        </is>
      </c>
      <c r="L756" t="inlineStr">
        <is>
          <t>.</t>
        </is>
      </c>
      <c r="M756">
        <f>HYPERLINK("https://www.genecards.org/Search/Keyword?queryString=%5Baliases%5D(%20SOX10%20)&amp;keywords=SOX10", "SOX10")</f>
        <v/>
      </c>
      <c r="N756" t="inlineStr">
        <is>
          <t>exonic</t>
        </is>
      </c>
      <c r="O756" t="inlineStr">
        <is>
          <t>nonsynonymous SNV</t>
        </is>
      </c>
      <c r="P756" t="inlineStr">
        <is>
          <t>SOX10:NM_006941:exon3:c.C430A:p.L144M;SOX10:uc003aun.1:exon3:c.C430A:p.L144M,SOX10:uc003auo.1:exon4:c.C430A:p.L144M;SOX10:ENST00000396884.8_6:exon3:c.C430A:p.L144M,SOX10:ENST00000360880.6_4:exon4:c.C430A:p.L144M,SOX10:ENST00000698177.1_1:exon4:c.C646A:p.L216M</t>
        </is>
      </c>
      <c r="Q756" t="n">
        <v>-1</v>
      </c>
      <c r="R756" t="n">
        <v>-1</v>
      </c>
      <c r="S756" t="n">
        <v>-1</v>
      </c>
      <c r="T756" t="n">
        <v>-1</v>
      </c>
      <c r="U756" t="n">
        <v>-1</v>
      </c>
      <c r="V756" t="inlineStr">
        <is>
          <t>8/12</t>
        </is>
      </c>
      <c r="W756" t="inlineStr">
        <is>
          <t>T</t>
        </is>
      </c>
      <c r="X756" t="inlineStr">
        <is>
          <t>.</t>
        </is>
      </c>
      <c r="Y756" t="inlineStr">
        <is>
          <t>.</t>
        </is>
      </c>
      <c r="Z756" t="inlineStr">
        <is>
          <t>1/7</t>
        </is>
      </c>
      <c r="AA756" t="inlineStr">
        <is>
          <t>Uncertain significance</t>
        </is>
      </c>
      <c r="AB756" t="inlineStr">
        <is>
          <t>.</t>
        </is>
      </c>
      <c r="AC756" t="inlineStr">
        <is>
          <t>0/1</t>
        </is>
      </c>
      <c r="AD756" t="inlineStr">
        <is>
          <t>1</t>
        </is>
      </c>
      <c r="AE756" t="inlineStr">
        <is>
          <t>0.91309785132116</t>
        </is>
      </c>
      <c r="AF756" t="inlineStr">
        <is>
          <t>SRY-box 10</t>
        </is>
      </c>
      <c r="AG756" t="inlineStr">
        <is>
          <t xml:space="preserve">FUNCTION: Transcription factor that seems to function synergistically with the POU domain protein TST-1/OCT6/SCIP. Could confer cell specificity to the function of other transcription factors in developing and mature glia (By similarity). {ECO:0000250}.; </t>
        </is>
      </c>
      <c r="AH756" t="inlineStr">
        <is>
          <t xml:space="preserve">DISEASE: Waardenburg syndrome 4C (WS4C) [MIM:613266]: A disorder characterized by the association of Waardenburg features (depigmentation and deafness) with the absence of enteric ganglia in the distal part of the intestine (Hirschsprung disease). {ECO:0000269|PubMed:18348274, ECO:0000269|PubMed:21898658, ECO:0000269|PubMed:9462749}. Note=The disease is caused by mutations affecting the gene represented in this entry.; DISEASE: Peripheral demyelinating neuropathy, central dysmyelinating leukodystrophy, Waardenburg syndrome and Hirschsprung disease (PCWH) [MIM:609136]: A complex neurocristopathy that includes features of 4 distinct syndromes: peripheral demyelinating neuropathy, central dysmyelinating leukodystrophy, Waardenburg syndrome and Hirschsprung disease. {ECO:0000269|PubMed:10762540, ECO:0000269|PubMed:15004559, ECO:0000269|PubMed:19208381, ECO:0000269|PubMed:21898658}. Note=The disease is caused by mutations affecting the gene represented in this entry.; </t>
        </is>
      </c>
      <c r="AI756" t="inlineStr">
        <is>
          <t>.</t>
        </is>
      </c>
      <c r="AJ756" t="inlineStr">
        <is>
          <t>.</t>
        </is>
      </c>
      <c r="AK756" t="inlineStr">
        <is>
          <t>.</t>
        </is>
      </c>
      <c r="AL756" t="inlineStr">
        <is>
          <t>.</t>
        </is>
      </c>
    </row>
    <row r="757">
      <c r="A757" t="inlineStr"/>
      <c r="B757">
        <f>HYPERLINK("https://genome.ucsc.edu/cgi-bin/hgTracks?db=hg19&amp;position=chr22%3A41575024%2D41575028", "chr22:41575024")</f>
        <v/>
      </c>
      <c r="C757" t="inlineStr">
        <is>
          <t>chr22</t>
        </is>
      </c>
      <c r="D757" t="n">
        <v>41575024</v>
      </c>
      <c r="E757" t="n">
        <v>41575028</v>
      </c>
      <c r="F757" t="inlineStr">
        <is>
          <t>AAAAC</t>
        </is>
      </c>
      <c r="G757" t="inlineStr">
        <is>
          <t>-</t>
        </is>
      </c>
      <c r="H757" t="inlineStr">
        <is>
          <t>2733.03</t>
        </is>
      </c>
      <c r="I757" t="inlineStr">
        <is>
          <t>63</t>
        </is>
      </c>
      <c r="J757" t="inlineStr">
        <is>
          <t>1,62</t>
        </is>
      </c>
      <c r="K757" t="inlineStr">
        <is>
          <t>.</t>
        </is>
      </c>
      <c r="L757" t="inlineStr">
        <is>
          <t>.</t>
        </is>
      </c>
      <c r="M757">
        <f>HYPERLINK("https://www.genecards.org/Search/Keyword?queryString=%5Baliases%5D(%20EP300%20)&amp;keywords=EP300", "EP300")</f>
        <v/>
      </c>
      <c r="N757" t="inlineStr">
        <is>
          <t>UTR3;ncRNA_intronic</t>
        </is>
      </c>
      <c r="O757" t="inlineStr">
        <is>
          <t>.</t>
        </is>
      </c>
      <c r="P757" t="inlineStr">
        <is>
          <t>NM_001429:c.*64_*68delAAAAC;NM_001362843:c.*64_*68delAAAAC;uc003azl.4:c.*64_*68delAAAAC</t>
        </is>
      </c>
      <c r="Q757" t="n">
        <v>-1</v>
      </c>
      <c r="R757" t="n">
        <v>-1</v>
      </c>
      <c r="S757" t="n">
        <v>-1</v>
      </c>
      <c r="T757" t="n">
        <v>-1</v>
      </c>
      <c r="U757" t="n">
        <v>-1</v>
      </c>
      <c r="V757" t="inlineStr">
        <is>
          <t>.</t>
        </is>
      </c>
      <c r="W757" t="inlineStr">
        <is>
          <t>.</t>
        </is>
      </c>
      <c r="X757" t="inlineStr">
        <is>
          <t>.</t>
        </is>
      </c>
      <c r="Y757" t="inlineStr">
        <is>
          <t>.</t>
        </is>
      </c>
      <c r="Z757" t="inlineStr">
        <is>
          <t>.</t>
        </is>
      </c>
      <c r="AA757" t="inlineStr">
        <is>
          <t>.</t>
        </is>
      </c>
      <c r="AB757" t="inlineStr">
        <is>
          <t>.</t>
        </is>
      </c>
      <c r="AC757" t="inlineStr">
        <is>
          <t>HOMO</t>
        </is>
      </c>
      <c r="AD757" t="inlineStr">
        <is>
          <t>2</t>
        </is>
      </c>
      <c r="AE757" t="inlineStr">
        <is>
          <t>0.999999999999484</t>
        </is>
      </c>
      <c r="AF757" t="inlineStr">
        <is>
          <t>E1A binding protein p300</t>
        </is>
      </c>
      <c r="AG757" t="inlineStr">
        <is>
          <t xml:space="preserve">FUNCTION: Functions as histone acetyltransferase and regulates transcription via chromatin remodeling. Acetylates all four core histones in nucleosomes. Histone acetylation gives an epigenetic tag for transcriptional activation. Mediates cAMP-gene regulation by binding specifically to phosphorylated CREB protein. Mediates acetylation of histone H3 at 'Lys-122' (H3K122ac), a modification that localizes at the surface of the histone octamer and stimulates transcription, possibly by promoting nucleosome instability. Mediates acetylation of histone H3 at 'Lys-27' (H3K27ac). Also functions as acetyltransferase for nonhistone targets. Acetylates 'Lys-131' of ALX1 and acts as its coactivator. Acetylates SIRT2 and is proposed to indirectly increase the transcriptional activity of TP53 through acetylation and subsequent attenuation of SIRT2 deacetylase function. Acetylates HDAC1 leading to its inactivation and modulation of transcription. Acts as a TFAP2A-mediated transcriptional coactivator in presence of CITED2. Plays a role as a coactivator of NEUROD1-dependent transcription of the secretin and p21 genes and controls terminal differentiation of cells in the intestinal epithelium. Promotes cardiac myocyte enlargement. Can also mediate transcriptional repression. Binds to and may be involved in the transforming capacity of the adenovirus E1A protein. In case of HIV-1 infection, it is recruited by the viral protein Tat. Regulates Tat's transactivating activity and may help inducing chromatin remodeling of proviral genes. Acetylates FOXO1 and enhances its transcriptional activity. Acetylates BCL6 wich disrupts its ability to recruit histone deacetylases and hinders its transcriptional repressor activity. Participates in CLOCK or NPAS2-regulated rhythmic gene transcription; exhibits a circadian association with CLOCK or NPAS2, correlating with increase in PER1/2 mRNA and histone H3 acetylation on the PER1/2 promoter. Acetylates MTA1 at 'Lys-626' which is essential for its transcriptional coactivator activity (PubMed:10733570, PubMed:11430825, PubMed:11701890, PubMed:12402037, PubMed:12586840, PubMed:12929931, PubMed:14645221, PubMed:15186775, PubMed:15890677, PubMed:16617102, PubMed:16762839, PubMed:18722353, PubMed:18995842, PubMed:23415232, PubMed:23911289, PubMed:23934153, PubMed:8945521). Acetylates XBP1 isoform 2; acetylation increases protein stability of XBP1 isoform 2 and enhances its transcriptional activity (PubMed:20955178). Acetylates PCNA; acetylation promotes removal of chromatin-bound PCNA and its degradation during nucleotide excision repair (NER) (PubMed:24939902). Acetylates MEF2D. {ECO:0000269|PubMed:10733570, ECO:0000269|PubMed:11430825, ECO:0000269|PubMed:11701890, ECO:0000269|PubMed:12402037, ECO:0000269|PubMed:12586840, ECO:0000269|PubMed:12929931, ECO:0000269|PubMed:14645221, ECO:0000269|PubMed:15186775, ECO:0000269|PubMed:15890677, ECO:0000269|PubMed:16617102, ECO:0000269|PubMed:16762839, ECO:0000269|PubMed:18722353, ECO:0000269|PubMed:18995842, ECO:0000269|PubMed:21030595, ECO:0000269|PubMed:23415232, ECO:0000269|PubMed:23911289, ECO:0000269|PubMed:23934153, ECO:0000269|PubMed:24939902, ECO:0000269|PubMed:8945521, ECO:0000305|PubMed:20955178}.; </t>
        </is>
      </c>
      <c r="AH757" t="inlineStr">
        <is>
          <t xml:space="preserve">DISEASE: Note=Defects in EP300 may play a role in epithelial cancer.; DISEASE: Note=Chromosomal aberrations involving EP300 may be a cause of acute myeloid leukemias. Translocation t(8;22)(p11;q13) with KAT6A.; DISEASE: Rubinstein-Taybi syndrome 2 (RSTS2) [MIM:613684]: A disorder characterized by craniofacial abnormalities, postnatal growth deficiency, broad thumbs, broad big toes, mental retardation and a propensity for development of malignancies. Some individuals with RSTS2 have less severe mental impairment, more severe microcephaly, and a greater degree of changes in facial bone structure than RSTS1 patients. {ECO:0000269|PubMed:15706485}. Note=The disease is caused by mutations affecting the gene represented in this entry.; </t>
        </is>
      </c>
      <c r="AI757" t="inlineStr">
        <is>
          <t>.</t>
        </is>
      </c>
      <c r="AJ757" t="inlineStr">
        <is>
          <t>.</t>
        </is>
      </c>
      <c r="AK757" t="inlineStr">
        <is>
          <t>.</t>
        </is>
      </c>
      <c r="AL757" t="inlineStr">
        <is>
          <t>.</t>
        </is>
      </c>
    </row>
    <row r="758">
      <c r="A758" t="inlineStr"/>
      <c r="B758">
        <f>HYPERLINK("https://genome.ucsc.edu/cgi-bin/hgTracks?db=hg19&amp;position=chr22%3A41575887%2D41575888", "chr22:41575887")</f>
        <v/>
      </c>
      <c r="C758" t="inlineStr">
        <is>
          <t>chr22</t>
        </is>
      </c>
      <c r="D758" t="n">
        <v>41575887</v>
      </c>
      <c r="E758" t="n">
        <v>41575888</v>
      </c>
      <c r="F758" t="inlineStr">
        <is>
          <t>CA</t>
        </is>
      </c>
      <c r="G758" t="inlineStr">
        <is>
          <t>-</t>
        </is>
      </c>
      <c r="H758" t="inlineStr">
        <is>
          <t>242.02</t>
        </is>
      </c>
      <c r="I758" t="inlineStr">
        <is>
          <t>14</t>
        </is>
      </c>
      <c r="J758" t="inlineStr">
        <is>
          <t>3,5,6</t>
        </is>
      </c>
      <c r="K758" t="inlineStr">
        <is>
          <t>.</t>
        </is>
      </c>
      <c r="L758" t="inlineStr">
        <is>
          <t>.</t>
        </is>
      </c>
      <c r="M758">
        <f>HYPERLINK("https://www.genecards.org/Search/Keyword?queryString=%5Baliases%5D(%20EP300%20)&amp;keywords=EP300", "EP300")</f>
        <v/>
      </c>
      <c r="N758" t="inlineStr">
        <is>
          <t>UTR3;ncRNA_intronic</t>
        </is>
      </c>
      <c r="O758" t="inlineStr">
        <is>
          <t>.</t>
        </is>
      </c>
      <c r="P758" t="inlineStr">
        <is>
          <t>NM_001429:c.*927_*928delCA;NM_001362843:c.*927_*928delCA;uc003azl.4:c.*927_*928delCA</t>
        </is>
      </c>
      <c r="Q758" t="n">
        <v>-1</v>
      </c>
      <c r="R758" t="n">
        <v>-1</v>
      </c>
      <c r="S758" t="n">
        <v>-1</v>
      </c>
      <c r="T758" t="n">
        <v>-1</v>
      </c>
      <c r="U758" t="n">
        <v>-1</v>
      </c>
      <c r="V758" t="inlineStr">
        <is>
          <t>.</t>
        </is>
      </c>
      <c r="W758" t="inlineStr">
        <is>
          <t>.</t>
        </is>
      </c>
      <c r="X758" t="inlineStr">
        <is>
          <t>.</t>
        </is>
      </c>
      <c r="Y758" t="inlineStr">
        <is>
          <t>.</t>
        </is>
      </c>
      <c r="Z758" t="inlineStr">
        <is>
          <t>.</t>
        </is>
      </c>
      <c r="AA758" t="inlineStr">
        <is>
          <t>.</t>
        </is>
      </c>
      <c r="AB758" t="inlineStr">
        <is>
          <t>.</t>
        </is>
      </c>
      <c r="AC758" t="inlineStr">
        <is>
          <t>1/2</t>
        </is>
      </c>
      <c r="AD758" t="inlineStr">
        <is>
          <t>2</t>
        </is>
      </c>
      <c r="AE758" t="inlineStr">
        <is>
          <t>0.999999999999484</t>
        </is>
      </c>
      <c r="AF758" t="inlineStr">
        <is>
          <t>E1A binding protein p300</t>
        </is>
      </c>
      <c r="AG758" t="inlineStr">
        <is>
          <t xml:space="preserve">FUNCTION: Functions as histone acetyltransferase and regulates transcription via chromatin remodeling. Acetylates all four core histones in nucleosomes. Histone acetylation gives an epigenetic tag for transcriptional activation. Mediates cAMP-gene regulation by binding specifically to phosphorylated CREB protein. Mediates acetylation of histone H3 at 'Lys-122' (H3K122ac), a modification that localizes at the surface of the histone octamer and stimulates transcription, possibly by promoting nucleosome instability. Mediates acetylation of histone H3 at 'Lys-27' (H3K27ac). Also functions as acetyltransferase for nonhistone targets. Acetylates 'Lys-131' of ALX1 and acts as its coactivator. Acetylates SIRT2 and is proposed to indirectly increase the transcriptional activity of TP53 through acetylation and subsequent attenuation of SIRT2 deacetylase function. Acetylates HDAC1 leading to its inactivation and modulation of transcription. Acts as a TFAP2A-mediated transcriptional coactivator in presence of CITED2. Plays a role as a coactivator of NEUROD1-dependent transcription of the secretin and p21 genes and controls terminal differentiation of cells in the intestinal epithelium. Promotes cardiac myocyte enlargement. Can also mediate transcriptional repression. Binds to and may be involved in the transforming capacity of the adenovirus E1A protein. In case of HIV-1 infection, it is recruited by the viral protein Tat. Regulates Tat's transactivating activity and may help inducing chromatin remodeling of proviral genes. Acetylates FOXO1 and enhances its transcriptional activity. Acetylates BCL6 wich disrupts its ability to recruit histone deacetylases and hinders its transcriptional repressor activity. Participates in CLOCK or NPAS2-regulated rhythmic gene transcription; exhibits a circadian association with CLOCK or NPAS2, correlating with increase in PER1/2 mRNA and histone H3 acetylation on the PER1/2 promoter. Acetylates MTA1 at 'Lys-626' which is essential for its transcriptional coactivator activity (PubMed:10733570, PubMed:11430825, PubMed:11701890, PubMed:12402037, PubMed:12586840, PubMed:12929931, PubMed:14645221, PubMed:15186775, PubMed:15890677, PubMed:16617102, PubMed:16762839, PubMed:18722353, PubMed:18995842, PubMed:23415232, PubMed:23911289, PubMed:23934153, PubMed:8945521). Acetylates XBP1 isoform 2; acetylation increases protein stability of XBP1 isoform 2 and enhances its transcriptional activity (PubMed:20955178). Acetylates PCNA; acetylation promotes removal of chromatin-bound PCNA and its degradation during nucleotide excision repair (NER) (PubMed:24939902). Acetylates MEF2D. {ECO:0000269|PubMed:10733570, ECO:0000269|PubMed:11430825, ECO:0000269|PubMed:11701890, ECO:0000269|PubMed:12402037, ECO:0000269|PubMed:12586840, ECO:0000269|PubMed:12929931, ECO:0000269|PubMed:14645221, ECO:0000269|PubMed:15186775, ECO:0000269|PubMed:15890677, ECO:0000269|PubMed:16617102, ECO:0000269|PubMed:16762839, ECO:0000269|PubMed:18722353, ECO:0000269|PubMed:18995842, ECO:0000269|PubMed:21030595, ECO:0000269|PubMed:23415232, ECO:0000269|PubMed:23911289, ECO:0000269|PubMed:23934153, ECO:0000269|PubMed:24939902, ECO:0000269|PubMed:8945521, ECO:0000305|PubMed:20955178}.; </t>
        </is>
      </c>
      <c r="AH758" t="inlineStr">
        <is>
          <t xml:space="preserve">DISEASE: Note=Defects in EP300 may play a role in epithelial cancer.; DISEASE: Note=Chromosomal aberrations involving EP300 may be a cause of acute myeloid leukemias. Translocation t(8;22)(p11;q13) with KAT6A.; DISEASE: Rubinstein-Taybi syndrome 2 (RSTS2) [MIM:613684]: A disorder characterized by craniofacial abnormalities, postnatal growth deficiency, broad thumbs, broad big toes, mental retardation and a propensity for development of malignancies. Some individuals with RSTS2 have less severe mental impairment, more severe microcephaly, and a greater degree of changes in facial bone structure than RSTS1 patients. {ECO:0000269|PubMed:15706485}. Note=The disease is caused by mutations affecting the gene represented in this entry.; </t>
        </is>
      </c>
      <c r="AI758" t="inlineStr">
        <is>
          <t>.</t>
        </is>
      </c>
      <c r="AJ758" t="inlineStr">
        <is>
          <t>.</t>
        </is>
      </c>
      <c r="AK758" t="inlineStr">
        <is>
          <t>.</t>
        </is>
      </c>
      <c r="AL758" t="inlineStr">
        <is>
          <t>.</t>
        </is>
      </c>
    </row>
    <row r="759">
      <c r="A759" t="inlineStr"/>
      <c r="B759">
        <f>HYPERLINK("https://genome.ucsc.edu/cgi-bin/hgTracks?db=hg19&amp;position=chr22%3A41676712%2D41676712", "chr22:41676712")</f>
        <v/>
      </c>
      <c r="C759" t="inlineStr">
        <is>
          <t>chr22</t>
        </is>
      </c>
      <c r="D759" t="n">
        <v>41676712</v>
      </c>
      <c r="E759" t="n">
        <v>41676712</v>
      </c>
      <c r="F759" t="inlineStr">
        <is>
          <t>G</t>
        </is>
      </c>
      <c r="G759" t="inlineStr">
        <is>
          <t>-</t>
        </is>
      </c>
      <c r="H759" t="inlineStr">
        <is>
          <t>129.10</t>
        </is>
      </c>
      <c r="I759" t="inlineStr">
        <is>
          <t>4</t>
        </is>
      </c>
      <c r="J759" t="inlineStr">
        <is>
          <t>0,4</t>
        </is>
      </c>
      <c r="K759" t="inlineStr">
        <is>
          <t>.</t>
        </is>
      </c>
      <c r="L759" t="inlineStr">
        <is>
          <t>.</t>
        </is>
      </c>
      <c r="M759">
        <f>HYPERLINK("https://www.genecards.org/Search/Keyword?queryString=%5Baliases%5D(%20RANGAP1%20)&amp;keywords=RANGAP1", "RANGAP1")</f>
        <v/>
      </c>
      <c r="N759" t="inlineStr">
        <is>
          <t>exonic;intronic</t>
        </is>
      </c>
      <c r="O759" t="inlineStr">
        <is>
          <t>frameshift deletion</t>
        </is>
      </c>
      <c r="P759" t="inlineStr">
        <is>
          <t>RANGAP1:uc011aoz.2:exon1:c.29delC:p.P10Lfs*22</t>
        </is>
      </c>
      <c r="Q759" t="n">
        <v>-1</v>
      </c>
      <c r="R759" t="n">
        <v>-1</v>
      </c>
      <c r="S759" t="n">
        <v>-1</v>
      </c>
      <c r="T759" t="n">
        <v>-1</v>
      </c>
      <c r="U759" t="n">
        <v>-1</v>
      </c>
      <c r="V759" t="inlineStr">
        <is>
          <t>.</t>
        </is>
      </c>
      <c r="W759" t="inlineStr">
        <is>
          <t>.</t>
        </is>
      </c>
      <c r="X759" t="inlineStr">
        <is>
          <t>.</t>
        </is>
      </c>
      <c r="Y759" t="inlineStr">
        <is>
          <t>.</t>
        </is>
      </c>
      <c r="Z759" t="inlineStr">
        <is>
          <t>.</t>
        </is>
      </c>
      <c r="AA759" t="inlineStr">
        <is>
          <t>.</t>
        </is>
      </c>
      <c r="AB759" t="inlineStr">
        <is>
          <t>.</t>
        </is>
      </c>
      <c r="AC759" t="inlineStr">
        <is>
          <t>HOMO</t>
        </is>
      </c>
      <c r="AD759" t="inlineStr">
        <is>
          <t>1</t>
        </is>
      </c>
      <c r="AE759" t="inlineStr">
        <is>
          <t>0.132718719795843</t>
        </is>
      </c>
      <c r="AF759" t="inlineStr">
        <is>
          <t>Ran GTPase activating protein 1</t>
        </is>
      </c>
      <c r="AG759" t="inlineStr">
        <is>
          <t xml:space="preserve">FUNCTION: GTPase activator for the nuclear Ras-related regulatory protein Ran, converting it to the putatively inactive GDP-bound state.; </t>
        </is>
      </c>
      <c r="AH759" t="inlineStr">
        <is>
          <t>.</t>
        </is>
      </c>
      <c r="AI759" t="inlineStr">
        <is>
          <t>.</t>
        </is>
      </c>
      <c r="AJ759" t="inlineStr">
        <is>
          <t>.</t>
        </is>
      </c>
      <c r="AK759" t="inlineStr">
        <is>
          <t>.</t>
        </is>
      </c>
      <c r="AL759" t="inlineStr">
        <is>
          <t>.</t>
        </is>
      </c>
    </row>
    <row r="760">
      <c r="A760" t="inlineStr"/>
      <c r="B760">
        <f>HYPERLINK("https://genome.ucsc.edu/cgi-bin/hgTracks?db=hg19&amp;position=chr22%3A43576915%2D43576915", "chr22:43576915")</f>
        <v/>
      </c>
      <c r="C760" t="inlineStr">
        <is>
          <t>chr22</t>
        </is>
      </c>
      <c r="D760" t="n">
        <v>43576915</v>
      </c>
      <c r="E760" t="n">
        <v>43576915</v>
      </c>
      <c r="F760" t="inlineStr">
        <is>
          <t>G</t>
        </is>
      </c>
      <c r="G760" t="inlineStr">
        <is>
          <t>A</t>
        </is>
      </c>
      <c r="H760" t="inlineStr">
        <is>
          <t>2204.06</t>
        </is>
      </c>
      <c r="I760" t="inlineStr">
        <is>
          <t>72</t>
        </is>
      </c>
      <c r="J760" t="inlineStr">
        <is>
          <t>0,72</t>
        </is>
      </c>
      <c r="K760" t="inlineStr">
        <is>
          <t>.</t>
        </is>
      </c>
      <c r="L760">
        <f>HYPERLINK("https://www.ncbi.nlm.nih.gov/snp/rs751449431", "rs751449431")</f>
        <v/>
      </c>
      <c r="M760">
        <f>HYPERLINK("https://www.genecards.org/Search/Keyword?queryString=%5Baliases%5D(%20TTLL12%20)&amp;keywords=TTLL12", "TTLL12")</f>
        <v/>
      </c>
      <c r="N760" t="inlineStr">
        <is>
          <t>exonic</t>
        </is>
      </c>
      <c r="O760" t="inlineStr">
        <is>
          <t>nonsynonymous SNV</t>
        </is>
      </c>
      <c r="P760" t="inlineStr">
        <is>
          <t>TTLL12:NM_015140:exon3:c.C379T:p.R127C;TTLL12:uc003bdq.3:exon3:c.C379T:p.R127C;TTLL12:ENST00000216129.7_5:exon3:c.C379T:p.R127C</t>
        </is>
      </c>
      <c r="Q760" t="n">
        <v>3.23e-05</v>
      </c>
      <c r="R760" t="n">
        <v>-1</v>
      </c>
      <c r="S760" t="n">
        <v>-1</v>
      </c>
      <c r="T760" t="n">
        <v>-1</v>
      </c>
      <c r="U760" t="n">
        <v>-1</v>
      </c>
      <c r="V760" t="inlineStr">
        <is>
          <t>8/12</t>
        </is>
      </c>
      <c r="W760" t="inlineStr">
        <is>
          <t>.</t>
        </is>
      </c>
      <c r="X760" t="inlineStr">
        <is>
          <t>.</t>
        </is>
      </c>
      <c r="Y760" t="inlineStr">
        <is>
          <t>.</t>
        </is>
      </c>
      <c r="Z760" t="inlineStr">
        <is>
          <t>5/7</t>
        </is>
      </c>
      <c r="AA760" t="inlineStr">
        <is>
          <t>Uncertain significance</t>
        </is>
      </c>
      <c r="AB760" t="inlineStr">
        <is>
          <t>.</t>
        </is>
      </c>
      <c r="AC760" t="inlineStr">
        <is>
          <t>HOMO</t>
        </is>
      </c>
      <c r="AD760" t="inlineStr">
        <is>
          <t>1</t>
        </is>
      </c>
      <c r="AE760" t="inlineStr">
        <is>
          <t>1.99091364629049e-15</t>
        </is>
      </c>
      <c r="AF760" t="inlineStr">
        <is>
          <t>tubulin tyrosine ligase like 12</t>
        </is>
      </c>
      <c r="AG760" t="inlineStr">
        <is>
          <t>.</t>
        </is>
      </c>
      <c r="AH760" t="inlineStr">
        <is>
          <t>.</t>
        </is>
      </c>
      <c r="AI760" t="inlineStr">
        <is>
          <t>.</t>
        </is>
      </c>
      <c r="AJ760" t="inlineStr">
        <is>
          <t>.</t>
        </is>
      </c>
      <c r="AK760" t="inlineStr">
        <is>
          <t>.</t>
        </is>
      </c>
      <c r="AL760" t="inlineStr">
        <is>
          <t>.</t>
        </is>
      </c>
    </row>
    <row r="761">
      <c r="A761" t="inlineStr"/>
      <c r="B761">
        <f>HYPERLINK("https://genome.ucsc.edu/cgi-bin/hgTracks?db=hg19&amp;position=chr22%3A46930480%2D46930480", "chr22:46930480")</f>
        <v/>
      </c>
      <c r="C761" t="inlineStr">
        <is>
          <t>chr22</t>
        </is>
      </c>
      <c r="D761" t="n">
        <v>46930480</v>
      </c>
      <c r="E761" t="n">
        <v>46930480</v>
      </c>
      <c r="F761" t="inlineStr">
        <is>
          <t>A</t>
        </is>
      </c>
      <c r="G761" t="inlineStr">
        <is>
          <t>C</t>
        </is>
      </c>
      <c r="H761" t="inlineStr">
        <is>
          <t>1073.64</t>
        </is>
      </c>
      <c r="I761" t="inlineStr">
        <is>
          <t>90</t>
        </is>
      </c>
      <c r="J761" t="inlineStr">
        <is>
          <t>47,43</t>
        </is>
      </c>
      <c r="K761" t="inlineStr">
        <is>
          <t>.</t>
        </is>
      </c>
      <c r="L761" t="inlineStr">
        <is>
          <t>.</t>
        </is>
      </c>
      <c r="M761">
        <f>HYPERLINK("https://www.genecards.org/Search/Keyword?queryString=%5Baliases%5D(%20CELSR1%20)&amp;keywords=CELSR1", "CELSR1")</f>
        <v/>
      </c>
      <c r="N761" t="inlineStr">
        <is>
          <t>exonic</t>
        </is>
      </c>
      <c r="O761" t="inlineStr">
        <is>
          <t>nonsynonymous SNV</t>
        </is>
      </c>
      <c r="P761" t="inlineStr">
        <is>
          <t>CELSR1:NM_001378328:exon1:c.T2588G:p.M863R,CELSR1:NM_014246:exon1:c.T2588G:p.M863R;CELSR1:uc003bhw.1:exon1:c.T2588G:p.M863R;CELSR1:ENST00000262738.9_4:exon1:c.T2588G:p.M863R,CELSR1:ENST00000454637.2_6:exon1:c.T2588G:p.M863R,CELSR1:ENST00000674500.2_3:exon1:c.T2588G:p.M863R</t>
        </is>
      </c>
      <c r="Q761" t="n">
        <v>-1</v>
      </c>
      <c r="R761" t="n">
        <v>-1</v>
      </c>
      <c r="S761" t="n">
        <v>-1</v>
      </c>
      <c r="T761" t="n">
        <v>-1</v>
      </c>
      <c r="U761" t="n">
        <v>-1</v>
      </c>
      <c r="V761" t="inlineStr">
        <is>
          <t>3/11</t>
        </is>
      </c>
      <c r="W761" t="inlineStr">
        <is>
          <t>.</t>
        </is>
      </c>
      <c r="X761" t="inlineStr">
        <is>
          <t>.</t>
        </is>
      </c>
      <c r="Y761" t="inlineStr">
        <is>
          <t>.</t>
        </is>
      </c>
      <c r="Z761" t="inlineStr">
        <is>
          <t>0/7</t>
        </is>
      </c>
      <c r="AA761" t="inlineStr">
        <is>
          <t>Uncertain significance</t>
        </is>
      </c>
      <c r="AB761" t="inlineStr">
        <is>
          <t>.</t>
        </is>
      </c>
      <c r="AC761" t="inlineStr">
        <is>
          <t>0/1</t>
        </is>
      </c>
      <c r="AD761" t="inlineStr">
        <is>
          <t>1</t>
        </is>
      </c>
      <c r="AE761" t="inlineStr">
        <is>
          <t>0.999990747432086</t>
        </is>
      </c>
      <c r="AF761" t="inlineStr">
        <is>
          <t>cadherin EGF LAG seven-pass G-type receptor 1</t>
        </is>
      </c>
      <c r="AG761" t="inlineStr">
        <is>
          <t xml:space="preserve">FUNCTION: Receptor that may have an important role in cell/cell signaling during nervous system formation.; </t>
        </is>
      </c>
      <c r="AH761" t="inlineStr">
        <is>
          <t xml:space="preserve">DISEASE: Neural tube defects (NTD) [MIM:182940]: Congenital malformations of the central nervous system and adjacent structures related to defective neural tube closure during the first trimester of pregnancy. Failure of neural tube closure can occur at any level of the embryonic axis. Common NTD forms include anencephaly, myelomeningocele and spina bifida, which result from the failure of fusion in the cranial and spinal region of the neural tube. NTDs have a multifactorial etiology encompassing both genetic and environmental components. {ECO:0000269|PubMed:22095531}. Note=The disease may be caused by mutations affecting the gene represented in this entry.; </t>
        </is>
      </c>
      <c r="AI761" t="inlineStr">
        <is>
          <t>.</t>
        </is>
      </c>
      <c r="AJ761" t="inlineStr">
        <is>
          <t>.</t>
        </is>
      </c>
      <c r="AK761" t="inlineStr">
        <is>
          <t>.</t>
        </is>
      </c>
      <c r="AL761" t="inlineStr">
        <is>
          <t>.</t>
        </is>
      </c>
    </row>
    <row r="762">
      <c r="A762" t="inlineStr"/>
      <c r="B762">
        <f>HYPERLINK("https://genome.ucsc.edu/cgi-bin/hgTracks?db=hg19&amp;position=chr22%3A50591325%2D50591325", "chr22:50591325")</f>
        <v/>
      </c>
      <c r="C762" t="inlineStr">
        <is>
          <t>chr22</t>
        </is>
      </c>
      <c r="D762" t="n">
        <v>50591325</v>
      </c>
      <c r="E762" t="n">
        <v>50591325</v>
      </c>
      <c r="F762" t="inlineStr">
        <is>
          <t>G</t>
        </is>
      </c>
      <c r="G762" t="inlineStr">
        <is>
          <t>A</t>
        </is>
      </c>
      <c r="H762" t="inlineStr">
        <is>
          <t>280.04</t>
        </is>
      </c>
      <c r="I762" t="inlineStr">
        <is>
          <t>8</t>
        </is>
      </c>
      <c r="J762" t="inlineStr">
        <is>
          <t>0,8</t>
        </is>
      </c>
      <c r="K762" t="inlineStr">
        <is>
          <t>.</t>
        </is>
      </c>
      <c r="L762">
        <f>HYPERLINK("https://www.ncbi.nlm.nih.gov/snp/rs73187219", "rs73187219")</f>
        <v/>
      </c>
      <c r="M762">
        <f>HYPERLINK("https://www.genecards.org/Search/Keyword?queryString=%5Baliases%5D(%20MOV10L1%20)&amp;keywords=MOV10L1", "MOV10L1")</f>
        <v/>
      </c>
      <c r="N762" t="inlineStr">
        <is>
          <t>intronic</t>
        </is>
      </c>
      <c r="O762" t="inlineStr">
        <is>
          <t>.</t>
        </is>
      </c>
      <c r="P762" t="inlineStr">
        <is>
          <t>.</t>
        </is>
      </c>
      <c r="Q762" t="n">
        <v>0.0031</v>
      </c>
      <c r="R762" t="n">
        <v>0.0005</v>
      </c>
      <c r="S762" t="n">
        <v>0.0007</v>
      </c>
      <c r="T762" t="n">
        <v>-1</v>
      </c>
      <c r="U762" t="n">
        <v>0.0008</v>
      </c>
      <c r="V762" t="inlineStr">
        <is>
          <t>.</t>
        </is>
      </c>
      <c r="W762" t="inlineStr">
        <is>
          <t>.</t>
        </is>
      </c>
      <c r="X762" t="inlineStr">
        <is>
          <t>D</t>
        </is>
      </c>
      <c r="Y762" t="inlineStr">
        <is>
          <t>off</t>
        </is>
      </c>
      <c r="Z762" t="inlineStr">
        <is>
          <t>.</t>
        </is>
      </c>
      <c r="AA762" t="inlineStr">
        <is>
          <t>.</t>
        </is>
      </c>
      <c r="AB762" t="inlineStr">
        <is>
          <t>.</t>
        </is>
      </c>
      <c r="AC762" t="inlineStr">
        <is>
          <t>HOMO</t>
        </is>
      </c>
      <c r="AD762" t="inlineStr">
        <is>
          <t>1</t>
        </is>
      </c>
      <c r="AE762" t="inlineStr">
        <is>
          <t>5.748157114955e-10</t>
        </is>
      </c>
      <c r="AF762" t="inlineStr">
        <is>
          <t>Mov10 RISC complex RNA helicase like 1</t>
        </is>
      </c>
      <c r="AG762" t="inlineStr">
        <is>
          <t xml:space="preserve">FUNCTION: Putative RNA helicase. Isoform 1 may play a role in male germ cell development.; </t>
        </is>
      </c>
      <c r="AH762" t="inlineStr">
        <is>
          <t>.</t>
        </is>
      </c>
      <c r="AI762" t="inlineStr">
        <is>
          <t>.</t>
        </is>
      </c>
      <c r="AJ762" t="inlineStr">
        <is>
          <t>.</t>
        </is>
      </c>
      <c r="AK762" t="inlineStr">
        <is>
          <t>.</t>
        </is>
      </c>
      <c r="AL762" t="inlineStr">
        <is>
          <t>.</t>
        </is>
      </c>
    </row>
    <row r="763">
      <c r="A763" t="inlineStr"/>
      <c r="B763">
        <f>HYPERLINK("https://genome.ucsc.edu/cgi-bin/hgTracks?db=hg19&amp;position=chr3%3A3099527%2D3099527", "chr3:3099527")</f>
        <v/>
      </c>
      <c r="C763" t="inlineStr">
        <is>
          <t>chr3</t>
        </is>
      </c>
      <c r="D763" t="n">
        <v>3099527</v>
      </c>
      <c r="E763" t="n">
        <v>3099527</v>
      </c>
      <c r="F763" t="inlineStr">
        <is>
          <t>C</t>
        </is>
      </c>
      <c r="G763" t="inlineStr">
        <is>
          <t>T</t>
        </is>
      </c>
      <c r="H763" t="inlineStr">
        <is>
          <t>122.14</t>
        </is>
      </c>
      <c r="I763" t="inlineStr">
        <is>
          <t>4</t>
        </is>
      </c>
      <c r="J763" t="inlineStr">
        <is>
          <t>0,4</t>
        </is>
      </c>
      <c r="K763" t="inlineStr">
        <is>
          <t>.</t>
        </is>
      </c>
      <c r="L763">
        <f>HYPERLINK("https://www.ncbi.nlm.nih.gov/snp/rs139363616", "rs139363616")</f>
        <v/>
      </c>
      <c r="M763">
        <f>HYPERLINK("https://www.genecards.org/Search/Keyword?queryString=%5Baliases%5D(%20CNTN4%20)%20OR%20%5Baliases%5D(%20CNTN4-AS1%20)&amp;keywords=CNTN4,CNTN4-AS1", "CNTN4;CNTN4-AS1")</f>
        <v/>
      </c>
      <c r="N763" t="inlineStr">
        <is>
          <t>UTR3;ncRNA_intronic</t>
        </is>
      </c>
      <c r="O763" t="inlineStr">
        <is>
          <t>.</t>
        </is>
      </c>
      <c r="P763" t="inlineStr">
        <is>
          <t>uc003bpc.3:c.*1623C&gt;T;uc021wsg.1:c.*1623C&gt;T;uc003bpe.3:c.*1623C&gt;T;uc003bpf.3:c.*1623C&gt;T;uc003bpg.3:c.*1623C&gt;T</t>
        </is>
      </c>
      <c r="Q763" t="n">
        <v>0.0232</v>
      </c>
      <c r="R763" t="n">
        <v>0.0104</v>
      </c>
      <c r="S763" t="n">
        <v>0.008699999999999999</v>
      </c>
      <c r="T763" t="n">
        <v>-1</v>
      </c>
      <c r="U763" t="n">
        <v>0.0137</v>
      </c>
      <c r="V763" t="inlineStr">
        <is>
          <t>.</t>
        </is>
      </c>
      <c r="W763" t="inlineStr">
        <is>
          <t>.</t>
        </is>
      </c>
      <c r="X763" t="inlineStr">
        <is>
          <t>.</t>
        </is>
      </c>
      <c r="Y763" t="inlineStr">
        <is>
          <t>.</t>
        </is>
      </c>
      <c r="Z763" t="inlineStr">
        <is>
          <t>.</t>
        </is>
      </c>
      <c r="AA763" t="inlineStr">
        <is>
          <t>.</t>
        </is>
      </c>
      <c r="AB763" t="inlineStr">
        <is>
          <t>.</t>
        </is>
      </c>
      <c r="AC763" t="inlineStr">
        <is>
          <t>HOMO</t>
        </is>
      </c>
      <c r="AD763" t="inlineStr">
        <is>
          <t>1;1</t>
        </is>
      </c>
      <c r="AE763" t="inlineStr">
        <is>
          <t>0.996606387924368</t>
        </is>
      </c>
      <c r="AF763" t="inlineStr">
        <is>
          <t>CNTN4 antisense RNA 1;contactin 4</t>
        </is>
      </c>
      <c r="AG763" t="inlineStr">
        <is>
          <t xml:space="preserve">FUNCTION: Contactins mediate cell surface interactions during nervous system development. Has some neurite outgrowth-promoting activity. May be involved in synaptogenesis.; </t>
        </is>
      </c>
      <c r="AH763" t="inlineStr">
        <is>
          <t xml:space="preserve">DISEASE: Note=A chromosomal aberration involving CNTN4 has been found in a boy with characteristic physical features of 3p deletion syndrome (3PDS). Translocation t(3;10)(p26;q26). 3PDS is a rare contiguous gene disorder involving the loss of the telomeric portion of the short arm of chromosome 3 and characterized by developmental delay, growth retardation, and dysmorphic features. {ECO:0000269|PubMed:15106122}.; </t>
        </is>
      </c>
      <c r="AI763" t="inlineStr">
        <is>
          <t>.</t>
        </is>
      </c>
      <c r="AJ763" t="inlineStr">
        <is>
          <t>.</t>
        </is>
      </c>
      <c r="AK763" t="inlineStr">
        <is>
          <t>.</t>
        </is>
      </c>
      <c r="AL763" t="inlineStr">
        <is>
          <t>.</t>
        </is>
      </c>
    </row>
    <row r="764">
      <c r="A764" t="inlineStr"/>
      <c r="B764">
        <f>HYPERLINK("https://genome.ucsc.edu/cgi-bin/hgTracks?db=hg19&amp;position=chr3%3A3194255%2D3194255", "chr3:3194255")</f>
        <v/>
      </c>
      <c r="C764" t="inlineStr">
        <is>
          <t>chr3</t>
        </is>
      </c>
      <c r="D764" t="n">
        <v>3194255</v>
      </c>
      <c r="E764" t="n">
        <v>3194255</v>
      </c>
      <c r="F764" t="inlineStr">
        <is>
          <t>G</t>
        </is>
      </c>
      <c r="G764" t="inlineStr">
        <is>
          <t>A</t>
        </is>
      </c>
      <c r="H764" t="inlineStr">
        <is>
          <t>368.64</t>
        </is>
      </c>
      <c r="I764" t="inlineStr">
        <is>
          <t>102</t>
        </is>
      </c>
      <c r="J764" t="inlineStr">
        <is>
          <t>81,21</t>
        </is>
      </c>
      <c r="K764" t="inlineStr">
        <is>
          <t>.</t>
        </is>
      </c>
      <c r="L764" t="inlineStr">
        <is>
          <t>.</t>
        </is>
      </c>
      <c r="M764">
        <f>HYPERLINK("https://www.genecards.org/Search/Keyword?queryString=%5Baliases%5D(%20CRBN%20)&amp;keywords=CRBN", "CRBN")</f>
        <v/>
      </c>
      <c r="N764" t="inlineStr">
        <is>
          <t>exonic</t>
        </is>
      </c>
      <c r="O764" t="inlineStr">
        <is>
          <t>nonsynonymous SNV</t>
        </is>
      </c>
      <c r="P764" t="inlineStr">
        <is>
          <t>CRBN:NM_001173482:exon10:c.C1030T:p.P344S,CRBN:NM_016302:exon10:c.C1033T:p.P345S;CRBN:uc003bpq.3:exon10:c.C1033T:p.P345S,CRBN:uc003bpr.3:exon10:c.C1030T:p.P344S;CRBN:ENST00000231948.9_9:exon10:c.C1033T:p.P345S,CRBN:ENST00000432408.6_5:exon10:c.C1030T:p.P344S,CRBN:ENST00000639284.1_3:exon10:c.C1033T:p.P345S</t>
        </is>
      </c>
      <c r="Q764" t="n">
        <v>-1</v>
      </c>
      <c r="R764" t="n">
        <v>-1</v>
      </c>
      <c r="S764" t="n">
        <v>-1</v>
      </c>
      <c r="T764" t="n">
        <v>-1</v>
      </c>
      <c r="U764" t="n">
        <v>-1</v>
      </c>
      <c r="V764" t="inlineStr">
        <is>
          <t>7/11</t>
        </is>
      </c>
      <c r="W764" t="inlineStr">
        <is>
          <t>.</t>
        </is>
      </c>
      <c r="X764" t="inlineStr">
        <is>
          <t>.</t>
        </is>
      </c>
      <c r="Y764" t="inlineStr">
        <is>
          <t>.</t>
        </is>
      </c>
      <c r="Z764" t="inlineStr">
        <is>
          <t>6/7</t>
        </is>
      </c>
      <c r="AA764" t="inlineStr">
        <is>
          <t>Uncertain significance</t>
        </is>
      </c>
      <c r="AB764" t="inlineStr">
        <is>
          <t>.</t>
        </is>
      </c>
      <c r="AC764" t="inlineStr">
        <is>
          <t>0/1</t>
        </is>
      </c>
      <c r="AD764" t="inlineStr">
        <is>
          <t>1</t>
        </is>
      </c>
      <c r="AE764" t="inlineStr">
        <is>
          <t>0.0384944384873777</t>
        </is>
      </c>
      <c r="AF764" t="inlineStr">
        <is>
          <t>cereblon</t>
        </is>
      </c>
      <c r="AG764" t="inlineStr">
        <is>
          <t xml:space="preserve">FUNCTION: Substrate recognition component of a DCX (DDB1-CUL4-X- box) E3 protein ligase complex that mediates the ubiquitination and subsequent proteasomal degradation of target proteins, such as MEIS2. Normal degradation of key regulatory proteins is required for normal limb outgrowth and expression of the fibroblast growth factor FGF8. May play a role in memory and learning by regulating the assembly and neuronal surface expression of large-conductance calcium-activated potassium channels in brain regions involved in memory and learning via its interaction with KCNT1. Binding of pomalidomide and other thalidomide-related drugs changes the substrate specificity of the human protein, leading to decreased degradation of MEIS2 and other target proteins and increased degradation of MYC, IRF4, IKZF1 and IKZF3. {ECO:0000269|PubMed:18414909, ECO:0000269|PubMed:20223979, ECO:0000269|PubMed:24328678, ECO:0000269|PubMed:25043012, ECO:0000269|PubMed:25108355, ECO:0000305}.; </t>
        </is>
      </c>
      <c r="AH764" t="inlineStr">
        <is>
          <t xml:space="preserve">DISEASE: Mental retardation, autosomal recessive 2A (MRT2A) [MIM:607417]: A disorder characterized by significantly below average general intellectual functioning associated with impairments in adaptive behavior and manifested during the developmental period. Non-syndromic mental retardation patients do not manifest other clinical signs. MRT2A patients display mild mental retardation with a standard IQ ranged from 50 to 70. IQ scores are lower in males than females. Developmental milestones are mildly delayed. There are no dysmorphic or autistic features. {ECO:0000269|PubMed:15557513}. Note=The disease is caused by mutations affecting the gene represented in this entry.; </t>
        </is>
      </c>
      <c r="AI764" t="inlineStr">
        <is>
          <t>.</t>
        </is>
      </c>
      <c r="AJ764" t="inlineStr">
        <is>
          <t>.</t>
        </is>
      </c>
      <c r="AK764" t="inlineStr">
        <is>
          <t>.</t>
        </is>
      </c>
      <c r="AL764" t="inlineStr">
        <is>
          <t>.</t>
        </is>
      </c>
    </row>
    <row r="765">
      <c r="A765" t="inlineStr"/>
      <c r="B765">
        <f>HYPERLINK("https://genome.ucsc.edu/cgi-bin/hgTracks?db=hg19&amp;position=chr3%3A9857708%2D9857708", "chr3:9857708")</f>
        <v/>
      </c>
      <c r="C765" t="inlineStr">
        <is>
          <t>chr3</t>
        </is>
      </c>
      <c r="D765" t="n">
        <v>9857708</v>
      </c>
      <c r="E765" t="n">
        <v>9857708</v>
      </c>
      <c r="F765" t="inlineStr">
        <is>
          <t>C</t>
        </is>
      </c>
      <c r="G765" t="inlineStr">
        <is>
          <t>A</t>
        </is>
      </c>
      <c r="H765" t="inlineStr">
        <is>
          <t>1264.06</t>
        </is>
      </c>
      <c r="I765" t="inlineStr">
        <is>
          <t>37</t>
        </is>
      </c>
      <c r="J765" t="inlineStr">
        <is>
          <t>0,37</t>
        </is>
      </c>
      <c r="K765" t="inlineStr">
        <is>
          <t>.</t>
        </is>
      </c>
      <c r="L765">
        <f>HYPERLINK("https://www.ncbi.nlm.nih.gov/snp/rs139657148", "rs139657148")</f>
        <v/>
      </c>
      <c r="M765">
        <f>HYPERLINK("https://www.genecards.org/Search/Keyword?queryString=%5Baliases%5D(%20ARPC4-TTLL3%20)%20OR%20%5Baliases%5D(%20TTLL3%20)&amp;keywords=ARPC4-TTLL3,TTLL3", "ARPC4-TTLL3;TTLL3")</f>
        <v/>
      </c>
      <c r="N765" t="inlineStr">
        <is>
          <t>intronic</t>
        </is>
      </c>
      <c r="O765" t="inlineStr">
        <is>
          <t>.</t>
        </is>
      </c>
      <c r="P765" t="inlineStr">
        <is>
          <t>.</t>
        </is>
      </c>
      <c r="Q765" t="n">
        <v>0.0166039</v>
      </c>
      <c r="R765" t="n">
        <v>0.0132</v>
      </c>
      <c r="S765" t="n">
        <v>0.0152</v>
      </c>
      <c r="T765" t="n">
        <v>-1</v>
      </c>
      <c r="U765" t="n">
        <v>0.009599999999999999</v>
      </c>
      <c r="V765" t="inlineStr">
        <is>
          <t>.</t>
        </is>
      </c>
      <c r="W765" t="inlineStr">
        <is>
          <t>.</t>
        </is>
      </c>
      <c r="X765" t="inlineStr">
        <is>
          <t>PD</t>
        </is>
      </c>
      <c r="Y765" t="inlineStr">
        <is>
          <t>off</t>
        </is>
      </c>
      <c r="Z765" t="inlineStr">
        <is>
          <t>.</t>
        </is>
      </c>
      <c r="AA765" t="inlineStr">
        <is>
          <t>.</t>
        </is>
      </c>
      <c r="AB765" t="inlineStr">
        <is>
          <t>.</t>
        </is>
      </c>
      <c r="AC765" t="inlineStr">
        <is>
          <t>HOMO</t>
        </is>
      </c>
      <c r="AD765" t="inlineStr">
        <is>
          <t>2;2</t>
        </is>
      </c>
      <c r="AE765" t="inlineStr">
        <is>
          <t>1.37468731036407e-12;3.84160687240076e-14</t>
        </is>
      </c>
      <c r="AF765" t="inlineStr">
        <is>
          <t>ARPC4-TTLL3 readthrough;tubulin tyrosine ligase like 3</t>
        </is>
      </c>
      <c r="AG765" t="inlineStr">
        <is>
          <t xml:space="preserve">FUNCTION: Monoglycylase which modifies alpha- and beta-tubulin, generating side chains of glycine on the gamma-carboxyl groups of specific glutamate residues within the C-terminal tail of alpha- and beta-tubulin. Involved in the side-chain initiation step of the glycylation reaction by adding a single glycine chain to generate monoglycine side chains. Not involved in elongation step of the polyglycylation reaction. {ECO:0000269|PubMed:19524510}.; </t>
        </is>
      </c>
      <c r="AH765" t="inlineStr">
        <is>
          <t>.</t>
        </is>
      </c>
      <c r="AI765" t="inlineStr">
        <is>
          <t>.</t>
        </is>
      </c>
      <c r="AJ765" t="inlineStr">
        <is>
          <t>.</t>
        </is>
      </c>
      <c r="AK765" t="inlineStr">
        <is>
          <t>.</t>
        </is>
      </c>
      <c r="AL765" t="inlineStr">
        <is>
          <t>.</t>
        </is>
      </c>
    </row>
    <row r="766">
      <c r="A766" t="inlineStr"/>
      <c r="B766">
        <f>HYPERLINK("https://genome.ucsc.edu/cgi-bin/hgTracks?db=hg19&amp;position=chr3%3A9862458%2D9862458", "chr3:9862458")</f>
        <v/>
      </c>
      <c r="C766" t="inlineStr">
        <is>
          <t>chr3</t>
        </is>
      </c>
      <c r="D766" t="n">
        <v>9862458</v>
      </c>
      <c r="E766" t="n">
        <v>9862458</v>
      </c>
      <c r="F766" t="inlineStr">
        <is>
          <t>G</t>
        </is>
      </c>
      <c r="G766" t="inlineStr">
        <is>
          <t>A</t>
        </is>
      </c>
      <c r="H766" t="inlineStr">
        <is>
          <t>290.64</t>
        </is>
      </c>
      <c r="I766" t="inlineStr">
        <is>
          <t>83</t>
        </is>
      </c>
      <c r="J766" t="inlineStr">
        <is>
          <t>66,17</t>
        </is>
      </c>
      <c r="K766" t="inlineStr">
        <is>
          <t>.</t>
        </is>
      </c>
      <c r="L766">
        <f>HYPERLINK("https://www.ncbi.nlm.nih.gov/snp/rs762450908", "rs762450908")</f>
        <v/>
      </c>
      <c r="M766">
        <f>HYPERLINK("https://www.genecards.org/Search/Keyword?queryString=%5Baliases%5D(%20ARPC4-TTLL3%20)%20OR%20%5Baliases%5D(%20TTLL3%20)&amp;keywords=ARPC4-TTLL3,TTLL3", "ARPC4-TTLL3;TTLL3")</f>
        <v/>
      </c>
      <c r="N766" t="inlineStr">
        <is>
          <t>intronic</t>
        </is>
      </c>
      <c r="O766" t="inlineStr">
        <is>
          <t>.</t>
        </is>
      </c>
      <c r="P766" t="inlineStr">
        <is>
          <t>.</t>
        </is>
      </c>
      <c r="Q766" t="n">
        <v>6.5e-06</v>
      </c>
      <c r="R766" t="n">
        <v>-1</v>
      </c>
      <c r="S766" t="n">
        <v>-1</v>
      </c>
      <c r="T766" t="n">
        <v>-1</v>
      </c>
      <c r="U766" t="n">
        <v>-1</v>
      </c>
      <c r="V766" t="inlineStr">
        <is>
          <t>.</t>
        </is>
      </c>
      <c r="W766" t="inlineStr">
        <is>
          <t>.</t>
        </is>
      </c>
      <c r="X766" t="inlineStr">
        <is>
          <t>D</t>
        </is>
      </c>
      <c r="Y766" t="inlineStr">
        <is>
          <t>off</t>
        </is>
      </c>
      <c r="Z766" t="inlineStr">
        <is>
          <t>.</t>
        </is>
      </c>
      <c r="AA766" t="inlineStr">
        <is>
          <t>.</t>
        </is>
      </c>
      <c r="AB766" t="inlineStr">
        <is>
          <t>.</t>
        </is>
      </c>
      <c r="AC766" t="inlineStr">
        <is>
          <t>0/1</t>
        </is>
      </c>
      <c r="AD766" t="inlineStr">
        <is>
          <t>2;2</t>
        </is>
      </c>
      <c r="AE766" t="inlineStr">
        <is>
          <t>1.37468731036407e-12;3.84160687240076e-14</t>
        </is>
      </c>
      <c r="AF766" t="inlineStr">
        <is>
          <t>ARPC4-TTLL3 readthrough;tubulin tyrosine ligase like 3</t>
        </is>
      </c>
      <c r="AG766" t="inlineStr">
        <is>
          <t xml:space="preserve">FUNCTION: Monoglycylase which modifies alpha- and beta-tubulin, generating side chains of glycine on the gamma-carboxyl groups of specific glutamate residues within the C-terminal tail of alpha- and beta-tubulin. Involved in the side-chain initiation step of the glycylation reaction by adding a single glycine chain to generate monoglycine side chains. Not involved in elongation step of the polyglycylation reaction. {ECO:0000269|PubMed:19524510}.; </t>
        </is>
      </c>
      <c r="AH766" t="inlineStr">
        <is>
          <t>.</t>
        </is>
      </c>
      <c r="AI766" t="inlineStr">
        <is>
          <t>.</t>
        </is>
      </c>
      <c r="AJ766" t="inlineStr">
        <is>
          <t>.</t>
        </is>
      </c>
      <c r="AK766" t="inlineStr">
        <is>
          <t>.</t>
        </is>
      </c>
      <c r="AL766" t="inlineStr">
        <is>
          <t>.</t>
        </is>
      </c>
    </row>
    <row r="767">
      <c r="A767" t="inlineStr"/>
      <c r="B767">
        <f>HYPERLINK("https://genome.ucsc.edu/cgi-bin/hgTracks?db=hg19&amp;position=chr3%3A9991858%2D9991858", "chr3:9991858")</f>
        <v/>
      </c>
      <c r="C767" t="inlineStr">
        <is>
          <t>chr3</t>
        </is>
      </c>
      <c r="D767" t="n">
        <v>9991858</v>
      </c>
      <c r="E767" t="n">
        <v>9991858</v>
      </c>
      <c r="F767" t="inlineStr">
        <is>
          <t>-</t>
        </is>
      </c>
      <c r="G767" t="inlineStr">
        <is>
          <t>A</t>
        </is>
      </c>
      <c r="H767" t="inlineStr">
        <is>
          <t>63.60</t>
        </is>
      </c>
      <c r="I767" t="inlineStr">
        <is>
          <t>18</t>
        </is>
      </c>
      <c r="J767" t="inlineStr">
        <is>
          <t>13,3</t>
        </is>
      </c>
      <c r="K767" t="inlineStr">
        <is>
          <t>.</t>
        </is>
      </c>
      <c r="L767" t="inlineStr">
        <is>
          <t>.</t>
        </is>
      </c>
      <c r="M767">
        <f>HYPERLINK("https://www.genecards.org/Search/Keyword?queryString=%5Baliases%5D(%20PRRT3%20)&amp;keywords=PRRT3", "PRRT3")</f>
        <v/>
      </c>
      <c r="N767" t="inlineStr">
        <is>
          <t>splicing</t>
        </is>
      </c>
      <c r="O767" t="inlineStr">
        <is>
          <t>.</t>
        </is>
      </c>
      <c r="P767" t="inlineStr">
        <is>
          <t>NM_207351:exon2:UTR5;NM_001318871:exon2:UTR5;uc003bul.2:exon2:UTR5;uc003bum.3:exon2:UTR5;ENST00000412055.6_10:exon2:UTR5;ENST00000411976.2_4:exon2:UTR5</t>
        </is>
      </c>
      <c r="Q767" t="n">
        <v>0.0053</v>
      </c>
      <c r="R767" t="n">
        <v>0.0046</v>
      </c>
      <c r="S767" t="n">
        <v>0.0063</v>
      </c>
      <c r="T767" t="n">
        <v>-1</v>
      </c>
      <c r="U767" t="n">
        <v>0.0111</v>
      </c>
      <c r="V767" t="inlineStr">
        <is>
          <t>.</t>
        </is>
      </c>
      <c r="W767" t="inlineStr">
        <is>
          <t>.</t>
        </is>
      </c>
      <c r="X767" t="inlineStr">
        <is>
          <t>.</t>
        </is>
      </c>
      <c r="Y767" t="inlineStr">
        <is>
          <t>.</t>
        </is>
      </c>
      <c r="Z767" t="inlineStr">
        <is>
          <t>.</t>
        </is>
      </c>
      <c r="AA767" t="inlineStr">
        <is>
          <t>.</t>
        </is>
      </c>
      <c r="AB767" t="inlineStr">
        <is>
          <t>.</t>
        </is>
      </c>
      <c r="AC767" t="inlineStr">
        <is>
          <t>0/1</t>
        </is>
      </c>
      <c r="AD767" t="inlineStr">
        <is>
          <t>1</t>
        </is>
      </c>
      <c r="AE767" t="inlineStr">
        <is>
          <t>0.658018522445195</t>
        </is>
      </c>
      <c r="AF767" t="inlineStr">
        <is>
          <t>proline rich transmembrane protein 3</t>
        </is>
      </c>
      <c r="AG767" t="inlineStr">
        <is>
          <t>.</t>
        </is>
      </c>
      <c r="AH767" t="inlineStr">
        <is>
          <t>.</t>
        </is>
      </c>
      <c r="AI767" t="inlineStr">
        <is>
          <t>.</t>
        </is>
      </c>
      <c r="AJ767" t="inlineStr">
        <is>
          <t>.</t>
        </is>
      </c>
      <c r="AK767" t="inlineStr">
        <is>
          <t>.</t>
        </is>
      </c>
      <c r="AL767" t="inlineStr">
        <is>
          <t>.</t>
        </is>
      </c>
    </row>
    <row r="768">
      <c r="A768" t="inlineStr"/>
      <c r="B768">
        <f>HYPERLINK("https://genome.ucsc.edu/cgi-bin/hgTracks?db=hg19&amp;position=chr3%3A25542776%2D25542776", "chr3:25542776")</f>
        <v/>
      </c>
      <c r="C768" t="inlineStr">
        <is>
          <t>chr3</t>
        </is>
      </c>
      <c r="D768" t="n">
        <v>25542776</v>
      </c>
      <c r="E768" t="n">
        <v>25542776</v>
      </c>
      <c r="F768" t="inlineStr">
        <is>
          <t>G</t>
        </is>
      </c>
      <c r="G768" t="inlineStr">
        <is>
          <t>T</t>
        </is>
      </c>
      <c r="H768" t="inlineStr">
        <is>
          <t>458.64</t>
        </is>
      </c>
      <c r="I768" t="inlineStr">
        <is>
          <t>124</t>
        </is>
      </c>
      <c r="J768" t="inlineStr">
        <is>
          <t>99,25</t>
        </is>
      </c>
      <c r="K768" t="inlineStr">
        <is>
          <t>.</t>
        </is>
      </c>
      <c r="L768" t="inlineStr">
        <is>
          <t>.</t>
        </is>
      </c>
      <c r="M768">
        <f>HYPERLINK("https://www.genecards.org/Search/Keyword?queryString=%5Baliases%5D(%20RARB%20)&amp;keywords=RARB", "RARB")</f>
        <v/>
      </c>
      <c r="N768" t="inlineStr">
        <is>
          <t>exonic</t>
        </is>
      </c>
      <c r="O768" t="inlineStr">
        <is>
          <t>nonsynonymous SNV</t>
        </is>
      </c>
      <c r="P768" t="inlineStr">
        <is>
          <t>RARB:NM_000965:exon3:c.G410T:p.R137L,RARB:NM_001290217:exon3:c.G74T:p.R25L,RARB:NM_001290266:exon3:c.G263T:p.R88L,RARB:NM_001290276:exon3:c.G74T:p.R25L,RARB:NM_001290277:exon3:c.G410T:p.R137L,RARB:NM_001290300:exon3:c.G281T:p.R94L,RARB:NM_016152:exon3:c.G74T:p.R25L,RARB:NM_001290216:exon6:c.G431T:p.R144L;RARB:uc003cdh.3:exon3:c.G410T:p.R137L,RARB:uc003cdi.2:exon3:c.G74T:p.R25L,RARB:uc011awl.2:exon3:c.G431T:p.R144L;RARB:ENST00000330688.9_4:exon3:c.G410T:p.R137L,RARB:ENST00000437042.7_2:exon3:c.G74T:p.R25L,RARB:ENST00000458646.2_2:exon3:c.G74T:p.R25L,RARB:ENST00000687083.1_1:exon3:c.G410T:p.R137L,RARB:ENST00000691912.1_1:exon3:c.G410T:p.R137L,RARB:ENST00000693261.1_1:exon3:c.G74T:p.R25L,RARB:ENST00000688892.1_1:exon6:c.G431T:p.R144L,RARB:ENST00000383772.9_4:exon7:c.G431T:p.R144L,RARB:ENST00000686715.1_1:exon7:c.G431T:p.R144L,RARB:ENST00000687676.1_1:exon7:c.G431T:p.R144L,RARB:ENST00000687353.1_1:exon8:c.G431T:p.R144L</t>
        </is>
      </c>
      <c r="Q768" t="n">
        <v>-1</v>
      </c>
      <c r="R768" t="n">
        <v>-1</v>
      </c>
      <c r="S768" t="n">
        <v>-1</v>
      </c>
      <c r="T768" t="n">
        <v>-1</v>
      </c>
      <c r="U768" t="n">
        <v>-1</v>
      </c>
      <c r="V768" t="inlineStr">
        <is>
          <t>11/12</t>
        </is>
      </c>
      <c r="W768" t="inlineStr">
        <is>
          <t>.</t>
        </is>
      </c>
      <c r="X768" t="inlineStr">
        <is>
          <t>.</t>
        </is>
      </c>
      <c r="Y768" t="inlineStr">
        <is>
          <t>.</t>
        </is>
      </c>
      <c r="Z768" t="inlineStr">
        <is>
          <t>5/7</t>
        </is>
      </c>
      <c r="AA768" t="inlineStr">
        <is>
          <t>Uncertain significance</t>
        </is>
      </c>
      <c r="AB768" t="inlineStr">
        <is>
          <t>.</t>
        </is>
      </c>
      <c r="AC768" t="inlineStr">
        <is>
          <t>0/1</t>
        </is>
      </c>
      <c r="AD768" t="inlineStr">
        <is>
          <t>1</t>
        </is>
      </c>
      <c r="AE768" t="inlineStr">
        <is>
          <t>0.999317519370488</t>
        </is>
      </c>
      <c r="AF768" t="inlineStr">
        <is>
          <t>retinoic acid receptor beta</t>
        </is>
      </c>
      <c r="AG768" t="inlineStr">
        <is>
          <t xml:space="preserve">FUNCTION: Receptor for retinoic acid. Retinoic acid receptors bind as heterodimers to their target response elements in response to their ligands, all-trans or 9-cis retinoic acid, and regulate gene expression in various biological processes. The RXR/RAR heterodimers bind to the retinoic acid response elements (RARE) composed of tandem 5'-AGGTCA-3' sites known as DR1-DR5. In the absence or presence of hormone ligand, acts mainly as an activator of gene expression due to weak binding to corepressors. In concert with RARG, required for skeletal growth, matrix homeostasis and growth plate function. {ECO:0000269|PubMed:12554770}.; </t>
        </is>
      </c>
      <c r="AH768" t="inlineStr">
        <is>
          <t xml:space="preserve">DISEASE: Microphthalmia, syndromic, 12 (MCOPS12) [MIM:615524]: A form of microphthalmia, a disorder of eye formation, ranging from small size of a single eye to complete bilateral absence of ocular tissues (anophthalmia). In many cases, microphthalmia/anophthalmia occurs in association with syndromes that include non-ocular abnormalities. MCOPS12 patients manifest variable features, including diaphragmatic hernia, pulmonary hypoplasia, and cardiac abnormalities. {ECO:0000269|PubMed:24075189}. Note=The disease is caused by mutations affecting the gene represented in this entry.; </t>
        </is>
      </c>
      <c r="AI768" t="inlineStr">
        <is>
          <t>.</t>
        </is>
      </c>
      <c r="AJ768" t="inlineStr">
        <is>
          <t>.</t>
        </is>
      </c>
      <c r="AK768" t="inlineStr">
        <is>
          <t>.</t>
        </is>
      </c>
      <c r="AL768" t="inlineStr">
        <is>
          <t>.</t>
        </is>
      </c>
    </row>
    <row r="769">
      <c r="A769" t="inlineStr"/>
      <c r="B769">
        <f>HYPERLINK("https://genome.ucsc.edu/cgi-bin/hgTracks?db=hg19&amp;position=chr3%3A33441929%2D33441929", "chr3:33441929")</f>
        <v/>
      </c>
      <c r="C769" t="inlineStr">
        <is>
          <t>chr3</t>
        </is>
      </c>
      <c r="D769" t="n">
        <v>33441929</v>
      </c>
      <c r="E769" t="n">
        <v>33441929</v>
      </c>
      <c r="F769" t="inlineStr">
        <is>
          <t>A</t>
        </is>
      </c>
      <c r="G769" t="inlineStr">
        <is>
          <t>T</t>
        </is>
      </c>
      <c r="H769" t="inlineStr">
        <is>
          <t>43.64</t>
        </is>
      </c>
      <c r="I769" t="inlineStr">
        <is>
          <t>8</t>
        </is>
      </c>
      <c r="J769" t="inlineStr">
        <is>
          <t>6,2</t>
        </is>
      </c>
      <c r="K769" t="inlineStr">
        <is>
          <t>.</t>
        </is>
      </c>
      <c r="L769" t="inlineStr">
        <is>
          <t>.</t>
        </is>
      </c>
      <c r="M769">
        <f>HYPERLINK("https://www.genecards.org/Search/Keyword?queryString=%5Baliases%5D(%20UBP1%20)&amp;keywords=UBP1", "UBP1")</f>
        <v/>
      </c>
      <c r="N769" t="inlineStr">
        <is>
          <t>intronic</t>
        </is>
      </c>
      <c r="O769" t="inlineStr">
        <is>
          <t>.</t>
        </is>
      </c>
      <c r="P769" t="inlineStr">
        <is>
          <t>.</t>
        </is>
      </c>
      <c r="Q769" t="n">
        <v>-1</v>
      </c>
      <c r="R769" t="n">
        <v>-1</v>
      </c>
      <c r="S769" t="n">
        <v>-1</v>
      </c>
      <c r="T769" t="n">
        <v>-1</v>
      </c>
      <c r="U769" t="n">
        <v>-1</v>
      </c>
      <c r="V769" t="inlineStr">
        <is>
          <t>.</t>
        </is>
      </c>
      <c r="W769" t="inlineStr">
        <is>
          <t>.</t>
        </is>
      </c>
      <c r="X769" t="inlineStr">
        <is>
          <t>D</t>
        </is>
      </c>
      <c r="Y769" t="inlineStr">
        <is>
          <t>off</t>
        </is>
      </c>
      <c r="Z769" t="inlineStr">
        <is>
          <t>.</t>
        </is>
      </c>
      <c r="AA769" t="inlineStr">
        <is>
          <t>.</t>
        </is>
      </c>
      <c r="AB769" t="inlineStr">
        <is>
          <t>.</t>
        </is>
      </c>
      <c r="AC769" t="inlineStr">
        <is>
          <t>0/1</t>
        </is>
      </c>
      <c r="AD769" t="inlineStr">
        <is>
          <t>1</t>
        </is>
      </c>
      <c r="AE769" t="inlineStr">
        <is>
          <t>0.999799486559086</t>
        </is>
      </c>
      <c r="AF769" t="inlineStr">
        <is>
          <t>upstream binding protein 1 (LBP-1a)</t>
        </is>
      </c>
      <c r="AG769" t="inlineStr">
        <is>
          <t xml:space="preserve">FUNCTION: Functions as a transcriptional activator in a promoter context-dependent manner. Modulates the placental expression of CYP11A1. Involved in regulation of the alpha-globin gene in erythroid cells. Activation of the alpha-globin promoter in erythroid cells is via synergistic interaction with TFCP2 (By similarity). Involved in regulation of the alpha-globin gene in erythroid cells. Binds strongly to sequences around the HIV-1 initiation site and weakly over the TATA-box. Represses HIV-1 transcription by inhibiting the binding of TFIID to the TATA-box. {ECO:0000250, ECO:0000269|PubMed:10644752, ECO:0000269|PubMed:2006421, ECO:0000269|PubMed:8114710}.; </t>
        </is>
      </c>
      <c r="AH769" t="inlineStr">
        <is>
          <t>.</t>
        </is>
      </c>
      <c r="AI769" t="inlineStr">
        <is>
          <t>.</t>
        </is>
      </c>
      <c r="AJ769" t="inlineStr">
        <is>
          <t>.</t>
        </is>
      </c>
      <c r="AK769" t="inlineStr">
        <is>
          <t>.</t>
        </is>
      </c>
      <c r="AL769" t="inlineStr">
        <is>
          <t>.</t>
        </is>
      </c>
    </row>
    <row r="770">
      <c r="A770" t="inlineStr"/>
      <c r="B770">
        <f>HYPERLINK("https://genome.ucsc.edu/cgi-bin/hgTracks?db=hg19&amp;position=chr3%3A37323579%2D37323579", "chr3:37323579")</f>
        <v/>
      </c>
      <c r="C770" t="inlineStr">
        <is>
          <t>chr3</t>
        </is>
      </c>
      <c r="D770" t="n">
        <v>37323579</v>
      </c>
      <c r="E770" t="n">
        <v>37323579</v>
      </c>
      <c r="F770" t="inlineStr">
        <is>
          <t>C</t>
        </is>
      </c>
      <c r="G770" t="inlineStr">
        <is>
          <t>A</t>
        </is>
      </c>
      <c r="H770" t="inlineStr">
        <is>
          <t>680.64</t>
        </is>
      </c>
      <c r="I770" t="inlineStr">
        <is>
          <t>144</t>
        </is>
      </c>
      <c r="J770" t="inlineStr">
        <is>
          <t>111,33</t>
        </is>
      </c>
      <c r="K770" t="inlineStr">
        <is>
          <t>.</t>
        </is>
      </c>
      <c r="L770" t="inlineStr">
        <is>
          <t>.</t>
        </is>
      </c>
      <c r="M770">
        <f>HYPERLINK("https://www.genecards.org/Search/Keyword?queryString=%5Baliases%5D(%20GOLGA4%20)&amp;keywords=GOLGA4", "GOLGA4")</f>
        <v/>
      </c>
      <c r="N770" t="inlineStr">
        <is>
          <t>exonic</t>
        </is>
      </c>
      <c r="O770" t="inlineStr">
        <is>
          <t>nonsynonymous SNV</t>
        </is>
      </c>
      <c r="P770" t="inlineStr">
        <is>
          <t>GOLGA4:NM_002078:exon3:c.C293A:p.S98Y,GOLGA4:NM_001172713:exon4:c.C359A:p.S120Y;GOLGA4:uc003cgv.3:exon3:c.C293A:p.S98Y,GOLGA4:uc010hgs.3:exon3:c.C293A:p.S98Y,GOLGA4:uc003cgu.2:exon4:c.C359A:p.S120Y,GOLGA4:uc003cgw.3:exon4:c.C359A:p.S120Y;GOLGA4:ENST00000361924.7_7:exon3:c.C293A:p.S98Y,GOLGA4:ENST00000444882.5_2:exon3:c.C293A:p.S98Y,GOLGA4:ENST00000356847.8_5:exon4:c.C359A:p.S120Y,GOLGA4:ENST00000437131.2_2:exon4:c.C359A:p.S120Y,GOLGA4:ENST00000699994.1_1:exon4:c.C359A:p.S120Y,GOLGA4:ENST00000699995.1_1:exon4:c.C359A:p.S120Y,GOLGA4:ENST00000699996.1_1:exon4:c.C359A:p.S120Y,GOLGA4:ENST00000431105.2_5:exon5:c.C458A:p.S153Y</t>
        </is>
      </c>
      <c r="Q770" t="n">
        <v>-1</v>
      </c>
      <c r="R770" t="n">
        <v>-1</v>
      </c>
      <c r="S770" t="n">
        <v>-1</v>
      </c>
      <c r="T770" t="n">
        <v>-1</v>
      </c>
      <c r="U770" t="n">
        <v>-1</v>
      </c>
      <c r="V770" t="inlineStr">
        <is>
          <t>6/12</t>
        </is>
      </c>
      <c r="W770" t="inlineStr">
        <is>
          <t>.</t>
        </is>
      </c>
      <c r="X770" t="inlineStr">
        <is>
          <t>.</t>
        </is>
      </c>
      <c r="Y770" t="inlineStr">
        <is>
          <t>.</t>
        </is>
      </c>
      <c r="Z770" t="inlineStr">
        <is>
          <t>5/7</t>
        </is>
      </c>
      <c r="AA770" t="inlineStr">
        <is>
          <t>Uncertain significance</t>
        </is>
      </c>
      <c r="AB770" t="inlineStr">
        <is>
          <t>.</t>
        </is>
      </c>
      <c r="AC770" t="inlineStr">
        <is>
          <t>0/1</t>
        </is>
      </c>
      <c r="AD770" t="inlineStr">
        <is>
          <t>1</t>
        </is>
      </c>
      <c r="AE770" t="inlineStr">
        <is>
          <t>2.26164990605558e-09</t>
        </is>
      </c>
      <c r="AF770" t="inlineStr">
        <is>
          <t>golgin A4</t>
        </is>
      </c>
      <c r="AG770" t="inlineStr">
        <is>
          <t xml:space="preserve">FUNCTION: May play a role in delivery of transport vesicles containing GPI-linked proteins from the trans-Golgi network through its interaction with MACF1. {ECO:0000269|PubMed:15265687}.; </t>
        </is>
      </c>
      <c r="AH770" t="inlineStr">
        <is>
          <t>.</t>
        </is>
      </c>
      <c r="AI770" t="inlineStr">
        <is>
          <t>.</t>
        </is>
      </c>
      <c r="AJ770" t="inlineStr">
        <is>
          <t>.</t>
        </is>
      </c>
      <c r="AK770" t="inlineStr">
        <is>
          <t>.</t>
        </is>
      </c>
      <c r="AL770" t="inlineStr">
        <is>
          <t>.</t>
        </is>
      </c>
    </row>
    <row r="771">
      <c r="A771" t="inlineStr"/>
      <c r="B771">
        <f>HYPERLINK("https://genome.ucsc.edu/cgi-bin/hgTracks?db=hg19&amp;position=chr3%3A46303624%2D46303624", "chr3:46303624")</f>
        <v/>
      </c>
      <c r="C771" t="inlineStr">
        <is>
          <t>chr3</t>
        </is>
      </c>
      <c r="D771" t="n">
        <v>46303624</v>
      </c>
      <c r="E771" t="n">
        <v>46303624</v>
      </c>
      <c r="F771" t="inlineStr">
        <is>
          <t>A</t>
        </is>
      </c>
      <c r="G771" t="inlineStr">
        <is>
          <t>G</t>
        </is>
      </c>
      <c r="H771" t="inlineStr">
        <is>
          <t>147.14</t>
        </is>
      </c>
      <c r="I771" t="inlineStr">
        <is>
          <t>4</t>
        </is>
      </c>
      <c r="J771" t="inlineStr">
        <is>
          <t>0,4</t>
        </is>
      </c>
      <c r="K771" t="inlineStr">
        <is>
          <t>.</t>
        </is>
      </c>
      <c r="L771">
        <f>HYPERLINK("https://www.ncbi.nlm.nih.gov/snp/rs970937959", "rs970937959")</f>
        <v/>
      </c>
      <c r="M771">
        <f>HYPERLINK("https://www.genecards.org/Search/Keyword?queryString=%5Baliases%5D(%20CCR3%20)&amp;keywords=CCR3", "CCR3")</f>
        <v/>
      </c>
      <c r="N771" t="inlineStr">
        <is>
          <t>intronic</t>
        </is>
      </c>
      <c r="O771" t="inlineStr">
        <is>
          <t>.</t>
        </is>
      </c>
      <c r="P771" t="inlineStr">
        <is>
          <t>.</t>
        </is>
      </c>
      <c r="Q771" t="n">
        <v>6.481e-05</v>
      </c>
      <c r="R771" t="n">
        <v>9.019e-05</v>
      </c>
      <c r="S771" t="n">
        <v>7.342e-05</v>
      </c>
      <c r="T771" t="n">
        <v>-1</v>
      </c>
      <c r="U771" t="n">
        <v>-1</v>
      </c>
      <c r="V771" t="inlineStr">
        <is>
          <t>.</t>
        </is>
      </c>
      <c r="W771" t="inlineStr">
        <is>
          <t>.</t>
        </is>
      </c>
      <c r="X771" t="inlineStr">
        <is>
          <t>D</t>
        </is>
      </c>
      <c r="Y771" t="inlineStr">
        <is>
          <t>off</t>
        </is>
      </c>
      <c r="Z771" t="inlineStr">
        <is>
          <t>.</t>
        </is>
      </c>
      <c r="AA771" t="inlineStr">
        <is>
          <t>.</t>
        </is>
      </c>
      <c r="AB771" t="inlineStr">
        <is>
          <t>.</t>
        </is>
      </c>
      <c r="AC771" t="inlineStr">
        <is>
          <t>HOMO</t>
        </is>
      </c>
      <c r="AD771" t="inlineStr">
        <is>
          <t>1</t>
        </is>
      </c>
      <c r="AE771" t="inlineStr">
        <is>
          <t>0.0318930527902387</t>
        </is>
      </c>
      <c r="AF771" t="inlineStr">
        <is>
          <t>C-C motif chemokine receptor 3</t>
        </is>
      </c>
      <c r="AG771" t="inlineStr">
        <is>
          <t xml:space="preserve">FUNCTION: Receptor for a C-C type chemokine. Binds to eotaxin, eotaxin-3, MCP-3, MCP-4, RANTES and MIP-1 delta. Subsequently transduces a signal by increasing the intracellular calcium ions level. Alternative coreceptor with CD4 for HIV-1 infection.; </t>
        </is>
      </c>
      <c r="AH771" t="inlineStr">
        <is>
          <t>.</t>
        </is>
      </c>
      <c r="AI771" t="inlineStr">
        <is>
          <t>.</t>
        </is>
      </c>
      <c r="AJ771" t="inlineStr">
        <is>
          <t>.</t>
        </is>
      </c>
      <c r="AK771" t="inlineStr">
        <is>
          <t>.</t>
        </is>
      </c>
      <c r="AL771" t="inlineStr">
        <is>
          <t>.</t>
        </is>
      </c>
    </row>
    <row r="772">
      <c r="A772" t="inlineStr"/>
      <c r="B772">
        <f>HYPERLINK("https://genome.ucsc.edu/cgi-bin/hgTracks?db=hg19&amp;position=chr3%3A46399227%2D46399227", "chr3:46399227")</f>
        <v/>
      </c>
      <c r="C772" t="inlineStr">
        <is>
          <t>chr3</t>
        </is>
      </c>
      <c r="D772" t="n">
        <v>46399227</v>
      </c>
      <c r="E772" t="n">
        <v>46399227</v>
      </c>
      <c r="F772" t="inlineStr">
        <is>
          <t>G</t>
        </is>
      </c>
      <c r="G772" t="inlineStr">
        <is>
          <t>T</t>
        </is>
      </c>
      <c r="H772" t="inlineStr">
        <is>
          <t>1349.64</t>
        </is>
      </c>
      <c r="I772" t="inlineStr">
        <is>
          <t>250</t>
        </is>
      </c>
      <c r="J772" t="inlineStr">
        <is>
          <t>183,67</t>
        </is>
      </c>
      <c r="K772" t="inlineStr">
        <is>
          <t>.</t>
        </is>
      </c>
      <c r="L772" t="inlineStr">
        <is>
          <t>.</t>
        </is>
      </c>
      <c r="M772">
        <f>HYPERLINK("https://www.genecards.org/Search/Keyword?queryString=%5Baliases%5D(%20CCR2%20)&amp;keywords=CCR2", "CCR2")</f>
        <v/>
      </c>
      <c r="N772" t="inlineStr">
        <is>
          <t>exonic</t>
        </is>
      </c>
      <c r="O772" t="inlineStr">
        <is>
          <t>nonsynonymous SNV</t>
        </is>
      </c>
      <c r="P772" t="inlineStr">
        <is>
          <t>CCR2:NM_001123041:exon2:c.G209T:p.C70F,CCR2:NM_001123396:exon2:c.G209T:p.C70F;CCR2:uc021wxa.1:exon1:c.G209T:p.C70F,CCR2:uc003cpm.4:exon2:c.G209T:p.C70F,CCR2:uc003cpn.4:exon2:c.G209T:p.C70F;CCR2:ENST00000400888.2_4:exon1:c.G209T:p.C70F,CCR2:ENST00000445132.3_7:exon2:c.G209T:p.C70F</t>
        </is>
      </c>
      <c r="Q772" t="n">
        <v>-1</v>
      </c>
      <c r="R772" t="n">
        <v>-1</v>
      </c>
      <c r="S772" t="n">
        <v>-1</v>
      </c>
      <c r="T772" t="n">
        <v>-1</v>
      </c>
      <c r="U772" t="n">
        <v>-1</v>
      </c>
      <c r="V772" t="inlineStr">
        <is>
          <t>5/12</t>
        </is>
      </c>
      <c r="W772" t="inlineStr">
        <is>
          <t>.</t>
        </is>
      </c>
      <c r="X772" t="inlineStr">
        <is>
          <t>.</t>
        </is>
      </c>
      <c r="Y772" t="inlineStr">
        <is>
          <t>.</t>
        </is>
      </c>
      <c r="Z772" t="inlineStr">
        <is>
          <t>2/7</t>
        </is>
      </c>
      <c r="AA772" t="inlineStr">
        <is>
          <t>Uncertain significance</t>
        </is>
      </c>
      <c r="AB772" t="inlineStr">
        <is>
          <t>.</t>
        </is>
      </c>
      <c r="AC772" t="inlineStr">
        <is>
          <t>0/1</t>
        </is>
      </c>
      <c r="AD772" t="inlineStr">
        <is>
          <t>1</t>
        </is>
      </c>
      <c r="AE772" t="inlineStr">
        <is>
          <t>0.0114633179449999</t>
        </is>
      </c>
      <c r="AF772" t="inlineStr">
        <is>
          <t>C-C motif chemokine receptor 2</t>
        </is>
      </c>
      <c r="AG772" t="inlineStr">
        <is>
          <t xml:space="preserve">FUNCTION: Receptor for the CCL2, CCL7 and CCL13 chemokines. Transduces a signal by increasing intracellular calcium ion levels. Alternative coreceptor with CD4 for HIV-1 infection. {ECO:0000269|PubMed:23408426}.; </t>
        </is>
      </c>
      <c r="AH772" t="inlineStr">
        <is>
          <t>.</t>
        </is>
      </c>
      <c r="AI772" t="inlineStr">
        <is>
          <t>.</t>
        </is>
      </c>
      <c r="AJ772" t="inlineStr">
        <is>
          <t>.</t>
        </is>
      </c>
      <c r="AK772" t="inlineStr">
        <is>
          <t>.</t>
        </is>
      </c>
      <c r="AL772" t="inlineStr">
        <is>
          <t>.</t>
        </is>
      </c>
    </row>
    <row r="773">
      <c r="A773" t="inlineStr"/>
      <c r="B773">
        <f>HYPERLINK("https://genome.ucsc.edu/cgi-bin/hgTracks?db=hg19&amp;position=chr3%3A49153381%2D49153381", "chr3:49153381")</f>
        <v/>
      </c>
      <c r="C773" t="inlineStr">
        <is>
          <t>chr3</t>
        </is>
      </c>
      <c r="D773" t="n">
        <v>49153381</v>
      </c>
      <c r="E773" t="n">
        <v>49153381</v>
      </c>
      <c r="F773" t="inlineStr">
        <is>
          <t>A</t>
        </is>
      </c>
      <c r="G773" t="inlineStr">
        <is>
          <t>C</t>
        </is>
      </c>
      <c r="H773" t="inlineStr">
        <is>
          <t>192.64</t>
        </is>
      </c>
      <c r="I773" t="inlineStr">
        <is>
          <t>34</t>
        </is>
      </c>
      <c r="J773" t="inlineStr">
        <is>
          <t>25,9</t>
        </is>
      </c>
      <c r="K773" t="inlineStr">
        <is>
          <t>.</t>
        </is>
      </c>
      <c r="L773" t="inlineStr">
        <is>
          <t>.</t>
        </is>
      </c>
      <c r="M773">
        <f>HYPERLINK("https://www.genecards.org/Search/Keyword?queryString=%5Baliases%5D(%20USP19%20)&amp;keywords=USP19", "USP19")</f>
        <v/>
      </c>
      <c r="N773" t="inlineStr">
        <is>
          <t>intronic</t>
        </is>
      </c>
      <c r="O773" t="inlineStr">
        <is>
          <t>.</t>
        </is>
      </c>
      <c r="P773" t="inlineStr">
        <is>
          <t>.</t>
        </is>
      </c>
      <c r="Q773" t="n">
        <v>-1</v>
      </c>
      <c r="R773" t="n">
        <v>-1</v>
      </c>
      <c r="S773" t="n">
        <v>-1</v>
      </c>
      <c r="T773" t="n">
        <v>-1</v>
      </c>
      <c r="U773" t="n">
        <v>-1</v>
      </c>
      <c r="V773" t="inlineStr">
        <is>
          <t>.</t>
        </is>
      </c>
      <c r="W773" t="inlineStr">
        <is>
          <t>D</t>
        </is>
      </c>
      <c r="X773" t="inlineStr">
        <is>
          <t>D</t>
        </is>
      </c>
      <c r="Y773" t="inlineStr">
        <is>
          <t>on</t>
        </is>
      </c>
      <c r="Z773" t="inlineStr">
        <is>
          <t>.</t>
        </is>
      </c>
      <c r="AA773" t="inlineStr">
        <is>
          <t>.</t>
        </is>
      </c>
      <c r="AB773" t="inlineStr">
        <is>
          <t>.</t>
        </is>
      </c>
      <c r="AC773" t="inlineStr">
        <is>
          <t>0/1</t>
        </is>
      </c>
      <c r="AD773" t="inlineStr">
        <is>
          <t>1</t>
        </is>
      </c>
      <c r="AE773" t="inlineStr">
        <is>
          <t>0.999991981492882</t>
        </is>
      </c>
      <c r="AF773" t="inlineStr">
        <is>
          <t>ubiquitin specific peptidase 19</t>
        </is>
      </c>
      <c r="AG773" t="inlineStr">
        <is>
          <t xml:space="preserve">FUNCTION: Deubiquitinating enzyme that regulates the degradation of various proteins. Deubiquitinates and prevents proteasomal degradation of RNF123 which in turn stimulates CDKN1B ubiquitin- dependent degradation thereby playing a role in cell proliferation. Involved in decreased protein synthesis in atrophying skeletal muscle. Modulates transcription of major myofibrillar proteins. Also involved in turnover of endoplasmic- reticulum-associated degradation (ERAD) substrates. Regulates the stability of BIRC2/c-IAP1 and BIRC3/c-IAP2 by preventing their ubiquitination. Required for cells to mount an appropriate response to hypoxia and rescues HIF1A from degradation in a non- catalytic manner. Plays an important role in 17 beta-estradiol (E2)-inhibited myogenesis. Decreases the levels of ubiquitinated proteins during skeletal muscle formation and acts to repress myogenesis. Exhibits a preference towards 'Lys-63'-linked Ubiquitin chains. {ECO:0000269|PubMed:19465887, ECO:0000269|PubMed:21849505, ECO:0000269|PubMed:22128162, ECO:0000269|PubMed:22689415}.; </t>
        </is>
      </c>
      <c r="AH773" t="inlineStr">
        <is>
          <t>.</t>
        </is>
      </c>
      <c r="AI773" t="inlineStr">
        <is>
          <t>.</t>
        </is>
      </c>
      <c r="AJ773" t="inlineStr">
        <is>
          <t>.</t>
        </is>
      </c>
      <c r="AK773" t="inlineStr">
        <is>
          <t>.</t>
        </is>
      </c>
      <c r="AL773" t="inlineStr">
        <is>
          <t>.</t>
        </is>
      </c>
    </row>
    <row r="774">
      <c r="A774" t="inlineStr"/>
      <c r="B774">
        <f>HYPERLINK("https://genome.ucsc.edu/cgi-bin/hgTracks?db=hg19&amp;position=chr3%3A52257401%2D52257401", "chr3:52257401")</f>
        <v/>
      </c>
      <c r="C774" t="inlineStr">
        <is>
          <t>chr3</t>
        </is>
      </c>
      <c r="D774" t="n">
        <v>52257401</v>
      </c>
      <c r="E774" t="n">
        <v>52257401</v>
      </c>
      <c r="F774" t="inlineStr">
        <is>
          <t>G</t>
        </is>
      </c>
      <c r="G774" t="inlineStr">
        <is>
          <t>A</t>
        </is>
      </c>
      <c r="H774" t="inlineStr">
        <is>
          <t>570.64</t>
        </is>
      </c>
      <c r="I774" t="inlineStr">
        <is>
          <t>73</t>
        </is>
      </c>
      <c r="J774" t="inlineStr">
        <is>
          <t>46,27</t>
        </is>
      </c>
      <c r="K774" t="inlineStr">
        <is>
          <t>.</t>
        </is>
      </c>
      <c r="L774">
        <f>HYPERLINK("https://www.ncbi.nlm.nih.gov/snp/rs747995692", "rs747995692")</f>
        <v/>
      </c>
      <c r="M774">
        <f>HYPERLINK("https://www.genecards.org/Search/Keyword?queryString=%5Baliases%5D(%20TLR9%20)&amp;keywords=TLR9", "TLR9")</f>
        <v/>
      </c>
      <c r="N774" t="inlineStr">
        <is>
          <t>exonic</t>
        </is>
      </c>
      <c r="O774" t="inlineStr">
        <is>
          <t>stopgain</t>
        </is>
      </c>
      <c r="P774" t="inlineStr">
        <is>
          <t>TLR9:NM_017442:exon2:c.C931T:p.R311X;TLR9:uc003dda.2:exon2:c.C931T:p.R311X,TLR9:uc003ddb.3:exon5:c.C1222T:p.R408X;TLR9:ENST00000360658.3_5:exon2:c.C931T:p.R311X</t>
        </is>
      </c>
      <c r="Q774" t="n">
        <v>6.5e-06</v>
      </c>
      <c r="R774" t="n">
        <v>-1</v>
      </c>
      <c r="S774" t="n">
        <v>-1</v>
      </c>
      <c r="T774" t="n">
        <v>-1</v>
      </c>
      <c r="U774" t="n">
        <v>-1</v>
      </c>
      <c r="V774" t="inlineStr">
        <is>
          <t>2/4</t>
        </is>
      </c>
      <c r="W774" t="inlineStr">
        <is>
          <t>.</t>
        </is>
      </c>
      <c r="X774" t="inlineStr">
        <is>
          <t>.</t>
        </is>
      </c>
      <c r="Y774" t="inlineStr">
        <is>
          <t>.</t>
        </is>
      </c>
      <c r="Z774" t="inlineStr">
        <is>
          <t>0/7</t>
        </is>
      </c>
      <c r="AA774" t="inlineStr">
        <is>
          <t>Uncertain significance</t>
        </is>
      </c>
      <c r="AB774" t="inlineStr">
        <is>
          <t>.</t>
        </is>
      </c>
      <c r="AC774" t="inlineStr">
        <is>
          <t>0/1</t>
        </is>
      </c>
      <c r="AD774" t="inlineStr">
        <is>
          <t>1</t>
        </is>
      </c>
      <c r="AE774" t="inlineStr">
        <is>
          <t>0.000525225802125772</t>
        </is>
      </c>
      <c r="AF774" t="inlineStr">
        <is>
          <t>toll like receptor 9</t>
        </is>
      </c>
      <c r="AG774" t="inlineStr">
        <is>
          <t xml:space="preserve">FUNCTION: Key component of innate and adaptive immunity. TLRs (Toll-like receptors) control host immune response against pathogens through recognition of molecular patterns specific to microorganisms. TLR9 is a nucleotide-sensing TLR which is activated by unmethylated cytidine-phosphate-guanosine (CpG) dinucleotides. Acts via MYD88 and TRAF6, leading to NF-kappa-B activation, cytokine secretion and the inflammatory response. Controls lymphocyte response to Helicobacter infection. {ECO:0000269|PubMed:11564765, ECO:0000269|PubMed:17932028}.; </t>
        </is>
      </c>
      <c r="AH774" t="inlineStr">
        <is>
          <t>.</t>
        </is>
      </c>
      <c r="AI774" t="inlineStr">
        <is>
          <t>.</t>
        </is>
      </c>
      <c r="AJ774" t="inlineStr">
        <is>
          <t>.</t>
        </is>
      </c>
      <c r="AK774" t="inlineStr">
        <is>
          <t>.</t>
        </is>
      </c>
      <c r="AL774" t="inlineStr">
        <is>
          <t>.</t>
        </is>
      </c>
    </row>
    <row r="775">
      <c r="A775" t="inlineStr"/>
      <c r="B775">
        <f>HYPERLINK("https://genome.ucsc.edu/cgi-bin/hgTracks?db=hg19&amp;position=chr3%3A52506526%2D52506526", "chr3:52506526")</f>
        <v/>
      </c>
      <c r="C775" t="inlineStr">
        <is>
          <t>chr3</t>
        </is>
      </c>
      <c r="D775" t="n">
        <v>52506526</v>
      </c>
      <c r="E775" t="n">
        <v>52506526</v>
      </c>
      <c r="F775" t="inlineStr">
        <is>
          <t>C</t>
        </is>
      </c>
      <c r="G775" t="inlineStr">
        <is>
          <t>A</t>
        </is>
      </c>
      <c r="H775" t="inlineStr">
        <is>
          <t>35.64</t>
        </is>
      </c>
      <c r="I775" t="inlineStr">
        <is>
          <t>14</t>
        </is>
      </c>
      <c r="J775" t="inlineStr">
        <is>
          <t>12,2</t>
        </is>
      </c>
      <c r="K775" t="inlineStr">
        <is>
          <t>.</t>
        </is>
      </c>
      <c r="L775" t="inlineStr">
        <is>
          <t>.</t>
        </is>
      </c>
      <c r="M775">
        <f>HYPERLINK("https://www.genecards.org/Search/Keyword?queryString=%5Baliases%5D(%20NISCH%20)&amp;keywords=NISCH", "NISCH")</f>
        <v/>
      </c>
      <c r="N775" t="inlineStr">
        <is>
          <t>intronic</t>
        </is>
      </c>
      <c r="O775" t="inlineStr">
        <is>
          <t>.</t>
        </is>
      </c>
      <c r="P775" t="inlineStr">
        <is>
          <t>.</t>
        </is>
      </c>
      <c r="Q775" t="n">
        <v>-1</v>
      </c>
      <c r="R775" t="n">
        <v>-1</v>
      </c>
      <c r="S775" t="n">
        <v>-1</v>
      </c>
      <c r="T775" t="n">
        <v>-1</v>
      </c>
      <c r="U775" t="n">
        <v>-1</v>
      </c>
      <c r="V775" t="inlineStr">
        <is>
          <t>.</t>
        </is>
      </c>
      <c r="W775" t="inlineStr">
        <is>
          <t>.</t>
        </is>
      </c>
      <c r="X775" t="inlineStr">
        <is>
          <t>PD</t>
        </is>
      </c>
      <c r="Y775" t="inlineStr">
        <is>
          <t>off</t>
        </is>
      </c>
      <c r="Z775" t="inlineStr">
        <is>
          <t>.</t>
        </is>
      </c>
      <c r="AA775" t="inlineStr">
        <is>
          <t>.</t>
        </is>
      </c>
      <c r="AB775" t="inlineStr">
        <is>
          <t>.</t>
        </is>
      </c>
      <c r="AC775" t="inlineStr">
        <is>
          <t>0/1</t>
        </is>
      </c>
      <c r="AD775" t="inlineStr">
        <is>
          <t>1</t>
        </is>
      </c>
      <c r="AE775" t="inlineStr">
        <is>
          <t>0.817101389344283</t>
        </is>
      </c>
      <c r="AF775" t="inlineStr">
        <is>
          <t>nischarin</t>
        </is>
      </c>
      <c r="AG775" t="inlineStr">
        <is>
          <t xml:space="preserve">FUNCTION: Acts either as the functional imidazoline-1 receptor (I1R) candidate or as a membrane-associated mediator of the I1R signaling. Binds numerous imidazoline ligands that induces initiation of cell-signaling cascades triggering to cell survival, growth and migration. Its activation by the agonist rilmenidine induces an increase in phosphorylation of mitogen-activated protein kinases MAPK1 and MAPK3 in rostral ventrolateral medulla (RVLM) neurons that exhibited rilmenidine-evoked hypotension (By similarity). Blocking its activation with efaroxan abolished rilmenidine-induced mitogen-activated protein kinase phosphorylation in RVLM neurons (By similarity). Acts as a modulator of Rac-regulated signal transduction pathways (By similarity). Suppresses Rac1-stimulated cell migration by interacting with PAK1 and inhibiting its kinase activity (By similarity). Also blocks Pak-independent Rac signaling by interacting with RAC1 and inhibiting Rac1-stimulated NF-kB response element and cyclin D1 promoter activation (By similarity). Inhibits also LIMK1 kinase activity by reducing LIMK1 'Tyr-508' phosphorylation (By similarity). Inhibits Rac-induced cell migration and invasion in breast and colon epithelial cells (By similarity). Inhibits lamellipodia formation, when overexpressed (By similarity). Plays a role in protection against apoptosis. Involved in association with IRS4 in the enhancement of insulin activation of MAPK1 and MAPK3. When overexpressed, induces a redistribution of cell surface ITGA5 integrin to intracellular endosomal structures. {ECO:0000250, ECO:0000269|PubMed:10882231, ECO:0000269|PubMed:12868002, ECO:0000269|PubMed:15028619, ECO:0000269|PubMed:15028621, ECO:0000269|PubMed:15475348}.; </t>
        </is>
      </c>
      <c r="AH775" t="inlineStr">
        <is>
          <t>.</t>
        </is>
      </c>
      <c r="AI775" t="inlineStr">
        <is>
          <t>.</t>
        </is>
      </c>
      <c r="AJ775" t="inlineStr">
        <is>
          <t>.</t>
        </is>
      </c>
      <c r="AK775" t="inlineStr">
        <is>
          <t>.</t>
        </is>
      </c>
      <c r="AL775" t="inlineStr">
        <is>
          <t>.</t>
        </is>
      </c>
    </row>
    <row r="776">
      <c r="A776" t="inlineStr"/>
      <c r="B776">
        <f>HYPERLINK("https://genome.ucsc.edu/cgi-bin/hgTracks?db=hg19&amp;position=chr3%3A68929899%2D68929899", "chr3:68929899")</f>
        <v/>
      </c>
      <c r="C776" t="inlineStr">
        <is>
          <t>chr3</t>
        </is>
      </c>
      <c r="D776" t="n">
        <v>68929899</v>
      </c>
      <c r="E776" t="n">
        <v>68929899</v>
      </c>
      <c r="F776" t="inlineStr">
        <is>
          <t>G</t>
        </is>
      </c>
      <c r="G776" t="inlineStr">
        <is>
          <t>A</t>
        </is>
      </c>
      <c r="H776" t="inlineStr">
        <is>
          <t>768.64</t>
        </is>
      </c>
      <c r="I776" t="inlineStr">
        <is>
          <t>65</t>
        </is>
      </c>
      <c r="J776" t="inlineStr">
        <is>
          <t>33,32</t>
        </is>
      </c>
      <c r="K776" t="inlineStr">
        <is>
          <t>.</t>
        </is>
      </c>
      <c r="L776" t="inlineStr">
        <is>
          <t>.</t>
        </is>
      </c>
      <c r="M776">
        <f>HYPERLINK("https://www.genecards.org/Search/Keyword?queryString=%5Baliases%5D(%20FAM19A4%20)%20OR%20%5Baliases%5D(%20TAFA4%20)&amp;keywords=FAM19A4,TAFA4", "FAM19A4;TAFA4")</f>
        <v/>
      </c>
      <c r="N776" t="inlineStr">
        <is>
          <t>exonic</t>
        </is>
      </c>
      <c r="O776" t="inlineStr">
        <is>
          <t>nonsynonymous SNV</t>
        </is>
      </c>
      <c r="P776" t="inlineStr">
        <is>
          <t>TAFA4:NM_001005527:exon3:c.C112T:p.H38Y,TAFA4:NM_182522:exon3:c.C112T:p.H38Y;FAM19A4:uc021xag.1:exon3:c.C112T:p.H38Y,FAM19A4:uc021xah.1:exon3:c.C112T:p.H38Y;TAFA4:ENST00000295569.12_5:exon3:c.C112T:p.H38Y</t>
        </is>
      </c>
      <c r="Q776" t="n">
        <v>-1</v>
      </c>
      <c r="R776" t="n">
        <v>-1</v>
      </c>
      <c r="S776" t="n">
        <v>-1</v>
      </c>
      <c r="T776" t="n">
        <v>-1</v>
      </c>
      <c r="U776" t="n">
        <v>-1</v>
      </c>
      <c r="V776" t="inlineStr">
        <is>
          <t>5/11</t>
        </is>
      </c>
      <c r="W776" t="inlineStr">
        <is>
          <t>.</t>
        </is>
      </c>
      <c r="X776" t="inlineStr">
        <is>
          <t>.</t>
        </is>
      </c>
      <c r="Y776" t="inlineStr">
        <is>
          <t>.</t>
        </is>
      </c>
      <c r="Z776" t="inlineStr">
        <is>
          <t>4/7</t>
        </is>
      </c>
      <c r="AA776" t="inlineStr">
        <is>
          <t>Uncertain significance</t>
        </is>
      </c>
      <c r="AB776" t="inlineStr">
        <is>
          <t>.</t>
        </is>
      </c>
      <c r="AC776" t="inlineStr">
        <is>
          <t>0/1</t>
        </is>
      </c>
      <c r="AD776" t="inlineStr">
        <is>
          <t>1;1</t>
        </is>
      </c>
      <c r="AE776" t="inlineStr">
        <is>
          <t>0.198148820346351</t>
        </is>
      </c>
      <c r="AF776" t="inlineStr">
        <is>
          <t>family with sequence similarity 19 (chemokine (C-C motif)-like), member A4</t>
        </is>
      </c>
      <c r="AG776" t="inlineStr">
        <is>
          <t>.</t>
        </is>
      </c>
      <c r="AH776" t="inlineStr">
        <is>
          <t>.</t>
        </is>
      </c>
      <c r="AI776" t="inlineStr">
        <is>
          <t>.</t>
        </is>
      </c>
      <c r="AJ776" t="inlineStr">
        <is>
          <t>.</t>
        </is>
      </c>
      <c r="AK776" t="inlineStr">
        <is>
          <t>.</t>
        </is>
      </c>
      <c r="AL776" t="inlineStr">
        <is>
          <t>.</t>
        </is>
      </c>
    </row>
    <row r="777">
      <c r="A777" t="inlineStr"/>
      <c r="B777">
        <f>HYPERLINK("https://genome.ucsc.edu/cgi-bin/hgTracks?db=hg19&amp;position=chr3%3A69230253%2D69230253", "chr3:69230253")</f>
        <v/>
      </c>
      <c r="C777" t="inlineStr">
        <is>
          <t>chr3</t>
        </is>
      </c>
      <c r="D777" t="n">
        <v>69230253</v>
      </c>
      <c r="E777" t="n">
        <v>69230253</v>
      </c>
      <c r="F777" t="inlineStr">
        <is>
          <t>G</t>
        </is>
      </c>
      <c r="G777" t="inlineStr">
        <is>
          <t>A</t>
        </is>
      </c>
      <c r="H777" t="inlineStr">
        <is>
          <t>204.64</t>
        </is>
      </c>
      <c r="I777" t="inlineStr">
        <is>
          <t>105</t>
        </is>
      </c>
      <c r="J777" t="inlineStr">
        <is>
          <t>89,16</t>
        </is>
      </c>
      <c r="K777" t="inlineStr">
        <is>
          <t>.</t>
        </is>
      </c>
      <c r="L777">
        <f>HYPERLINK("https://www.ncbi.nlm.nih.gov/snp/rs769309837", "rs769309837")</f>
        <v/>
      </c>
      <c r="M777">
        <f>HYPERLINK("https://www.genecards.org/Search/Keyword?queryString=%5Baliases%5D(%20FRMD4B%20)&amp;keywords=FRMD4B", "FRMD4B")</f>
        <v/>
      </c>
      <c r="N777" t="inlineStr">
        <is>
          <t>exonic</t>
        </is>
      </c>
      <c r="O777" t="inlineStr">
        <is>
          <t>nonsynonymous SNV</t>
        </is>
      </c>
      <c r="P777" t="inlineStr">
        <is>
          <t>FRMD4B:NM_015123:exon21:c.C2648T:p.S883L;FRMD4B:uc003dnu.2:exon11:c.C1604T:p.S535L,FRMD4B:uc011bga.1:exon16:c.C2180T:p.S727L,FRMD4B:uc003dnv.2:exon21:c.C2648T:p.S883L;FRMD4B:ENST00000478263.5_3:exon11:c.C1604T:p.S535L,FRMD4B:ENST00000398540.8_5:exon21:c.C2648T:p.S883L</t>
        </is>
      </c>
      <c r="Q777" t="n">
        <v>0.003788</v>
      </c>
      <c r="R777" t="n">
        <v>-1</v>
      </c>
      <c r="S777" t="n">
        <v>-1</v>
      </c>
      <c r="T777" t="n">
        <v>-1</v>
      </c>
      <c r="U777" t="n">
        <v>-1</v>
      </c>
      <c r="V777" t="inlineStr">
        <is>
          <t>6/12</t>
        </is>
      </c>
      <c r="W777" t="inlineStr">
        <is>
          <t>.</t>
        </is>
      </c>
      <c r="X777" t="inlineStr">
        <is>
          <t>.</t>
        </is>
      </c>
      <c r="Y777" t="inlineStr">
        <is>
          <t>.</t>
        </is>
      </c>
      <c r="Z777" t="inlineStr">
        <is>
          <t>4/7</t>
        </is>
      </c>
      <c r="AA777" t="inlineStr">
        <is>
          <t>Uncertain significance</t>
        </is>
      </c>
      <c r="AB777" t="inlineStr">
        <is>
          <t>.</t>
        </is>
      </c>
      <c r="AC777" t="inlineStr">
        <is>
          <t>0/1</t>
        </is>
      </c>
      <c r="AD777" t="inlineStr">
        <is>
          <t>1</t>
        </is>
      </c>
      <c r="AE777" t="inlineStr">
        <is>
          <t>0.807013707732818</t>
        </is>
      </c>
      <c r="AF777" t="inlineStr">
        <is>
          <t>FERM domain containing 4B</t>
        </is>
      </c>
      <c r="AG777" t="inlineStr">
        <is>
          <t xml:space="preserve">FUNCTION: Member of GRP1 signaling complexes that are acutely recruited to plasma membrane ruffles in response to insulin receptor signaling. May function as a scaffolding protein (By similarity). {ECO:0000250}.; </t>
        </is>
      </c>
      <c r="AH777" t="inlineStr">
        <is>
          <t>.</t>
        </is>
      </c>
      <c r="AI777" t="inlineStr">
        <is>
          <t>.</t>
        </is>
      </c>
      <c r="AJ777" t="inlineStr">
        <is>
          <t>.</t>
        </is>
      </c>
      <c r="AK777" t="inlineStr">
        <is>
          <t>.</t>
        </is>
      </c>
      <c r="AL777" t="inlineStr">
        <is>
          <t>.</t>
        </is>
      </c>
    </row>
    <row r="778">
      <c r="A778" t="inlineStr"/>
      <c r="B778">
        <f>HYPERLINK("https://genome.ucsc.edu/cgi-bin/hgTracks?db=hg19&amp;position=chr3%3A77617689%2D77617689", "chr3:77617689")</f>
        <v/>
      </c>
      <c r="C778" t="inlineStr">
        <is>
          <t>chr3</t>
        </is>
      </c>
      <c r="D778" t="n">
        <v>77617689</v>
      </c>
      <c r="E778" t="n">
        <v>77617689</v>
      </c>
      <c r="F778" t="inlineStr">
        <is>
          <t>T</t>
        </is>
      </c>
      <c r="G778" t="inlineStr">
        <is>
          <t>C</t>
        </is>
      </c>
      <c r="H778" t="inlineStr">
        <is>
          <t>34.64</t>
        </is>
      </c>
      <c r="I778" t="inlineStr">
        <is>
          <t>12</t>
        </is>
      </c>
      <c r="J778" t="inlineStr">
        <is>
          <t>10,2</t>
        </is>
      </c>
      <c r="K778" t="inlineStr">
        <is>
          <t>.</t>
        </is>
      </c>
      <c r="L778" t="inlineStr">
        <is>
          <t>.</t>
        </is>
      </c>
      <c r="M778">
        <f>HYPERLINK("https://www.genecards.org/Search/Keyword?queryString=%5Baliases%5D(%20ROBO2%20)&amp;keywords=ROBO2", "ROBO2")</f>
        <v/>
      </c>
      <c r="N778" t="inlineStr">
        <is>
          <t>intronic;ncRNA_intronic</t>
        </is>
      </c>
      <c r="O778" t="inlineStr">
        <is>
          <t>.</t>
        </is>
      </c>
      <c r="P778" t="inlineStr">
        <is>
          <t>.</t>
        </is>
      </c>
      <c r="Q778" t="n">
        <v>-1</v>
      </c>
      <c r="R778" t="n">
        <v>-1</v>
      </c>
      <c r="S778" t="n">
        <v>-1</v>
      </c>
      <c r="T778" t="n">
        <v>-1</v>
      </c>
      <c r="U778" t="n">
        <v>-1</v>
      </c>
      <c r="V778" t="inlineStr">
        <is>
          <t>.</t>
        </is>
      </c>
      <c r="W778" t="inlineStr">
        <is>
          <t>.</t>
        </is>
      </c>
      <c r="X778" t="inlineStr">
        <is>
          <t>B</t>
        </is>
      </c>
      <c r="Y778" t="inlineStr">
        <is>
          <t>off</t>
        </is>
      </c>
      <c r="Z778" t="inlineStr">
        <is>
          <t>.</t>
        </is>
      </c>
      <c r="AA778" t="inlineStr">
        <is>
          <t>.</t>
        </is>
      </c>
      <c r="AB778" t="inlineStr">
        <is>
          <t>.</t>
        </is>
      </c>
      <c r="AC778" t="inlineStr">
        <is>
          <t>0/1</t>
        </is>
      </c>
      <c r="AD778" t="inlineStr">
        <is>
          <t>1</t>
        </is>
      </c>
      <c r="AE778" t="inlineStr">
        <is>
          <t>0.99999613022592</t>
        </is>
      </c>
      <c r="AF778" t="inlineStr">
        <is>
          <t>roundabout guidance receptor 2</t>
        </is>
      </c>
      <c r="AG778" t="inlineStr">
        <is>
          <t xml:space="preserve">FUNCTION: Receptor for SLIT2, and probably SLIT1, which are thought to act as molecular guidance cue in cellular migration, including axonal navigation at the ventral midline of the neural tube and projection of axons to different regions during neuronal development.; </t>
        </is>
      </c>
      <c r="AH778" t="inlineStr">
        <is>
          <t xml:space="preserve">DISEASE: Vesicoureteral reflux 2 (VUR2) [MIM:610878]: A disease belonging to the group of congenital anomalies of the kidney and urinary tract. It is characterized by the reflux of urine from the bladder into the ureters and sometimes into the kidneys, and is a risk factor for urinary tract infections. Primary disease results from a developmental defect of the ureterovesical junction. In combination with intrarenal reflux, the resulting inflammatory reaction may result in renal injury or scarring, also called reflux nephropathy. Extensive renal scarring impairs renal function and may predispose patients to hypertension, proteinuria, renal insufficiency and end-stage renal disease. {ECO:0000269|PubMed:17357069}. Note=The disease is caused by mutations affecting the gene represented in this entry.; DISEASE: Note=A chromosomal aberration involving ROBO2 is a cause of multiple congenital abnormalities, including severe bilateral VUR with ureterovesical junction defects. Translocation t(Y;3)(p11;p12) with PCDH11Y. This translocation disrupts ROBO2 and produces dominant-negative ROBO2 proteins that abrogate SLIT- ROBO signaling in vitro.; </t>
        </is>
      </c>
      <c r="AI778" t="inlineStr">
        <is>
          <t>.</t>
        </is>
      </c>
      <c r="AJ778" t="inlineStr">
        <is>
          <t>.</t>
        </is>
      </c>
      <c r="AK778" t="inlineStr">
        <is>
          <t>.</t>
        </is>
      </c>
      <c r="AL778" t="inlineStr">
        <is>
          <t>.</t>
        </is>
      </c>
    </row>
    <row r="779">
      <c r="A779" t="inlineStr"/>
      <c r="B779">
        <f>HYPERLINK("https://genome.ucsc.edu/cgi-bin/hgTracks?db=hg19&amp;position=chr3%3A100604571%2D100604571", "chr3:100604571")</f>
        <v/>
      </c>
      <c r="C779" t="inlineStr">
        <is>
          <t>chr3</t>
        </is>
      </c>
      <c r="D779" t="n">
        <v>100604571</v>
      </c>
      <c r="E779" t="n">
        <v>100604571</v>
      </c>
      <c r="F779" t="inlineStr">
        <is>
          <t>A</t>
        </is>
      </c>
      <c r="G779" t="inlineStr">
        <is>
          <t>C</t>
        </is>
      </c>
      <c r="H779" t="inlineStr">
        <is>
          <t>34.64</t>
        </is>
      </c>
      <c r="I779" t="inlineStr">
        <is>
          <t>16</t>
        </is>
      </c>
      <c r="J779" t="inlineStr">
        <is>
          <t>14,2</t>
        </is>
      </c>
      <c r="K779" t="inlineStr">
        <is>
          <t>.</t>
        </is>
      </c>
      <c r="L779" t="inlineStr">
        <is>
          <t>.</t>
        </is>
      </c>
      <c r="M779">
        <f>HYPERLINK("https://www.genecards.org/Search/Keyword?queryString=%5Baliases%5D(%20ABI3BP%20)&amp;keywords=ABI3BP", "ABI3BP")</f>
        <v/>
      </c>
      <c r="N779" t="inlineStr">
        <is>
          <t>intronic</t>
        </is>
      </c>
      <c r="O779" t="inlineStr">
        <is>
          <t>.</t>
        </is>
      </c>
      <c r="P779" t="inlineStr">
        <is>
          <t>.</t>
        </is>
      </c>
      <c r="Q779" t="n">
        <v>-1</v>
      </c>
      <c r="R779" t="n">
        <v>-1</v>
      </c>
      <c r="S779" t="n">
        <v>-1</v>
      </c>
      <c r="T779" t="n">
        <v>-1</v>
      </c>
      <c r="U779" t="n">
        <v>-1</v>
      </c>
      <c r="V779" t="inlineStr">
        <is>
          <t>.</t>
        </is>
      </c>
      <c r="W779" t="inlineStr">
        <is>
          <t>.</t>
        </is>
      </c>
      <c r="X779" t="inlineStr">
        <is>
          <t>PD</t>
        </is>
      </c>
      <c r="Y779" t="inlineStr">
        <is>
          <t>off</t>
        </is>
      </c>
      <c r="Z779" t="inlineStr">
        <is>
          <t>.</t>
        </is>
      </c>
      <c r="AA779" t="inlineStr">
        <is>
          <t>.</t>
        </is>
      </c>
      <c r="AB779" t="inlineStr">
        <is>
          <t>.</t>
        </is>
      </c>
      <c r="AC779" t="inlineStr">
        <is>
          <t>.</t>
        </is>
      </c>
      <c r="AD779" t="inlineStr">
        <is>
          <t>1</t>
        </is>
      </c>
      <c r="AE779" t="inlineStr">
        <is>
          <t>3.9401554209396e-07</t>
        </is>
      </c>
      <c r="AF779" t="inlineStr">
        <is>
          <t>ABI family member 3 binding protein</t>
        </is>
      </c>
      <c r="AG779" t="inlineStr">
        <is>
          <t>.</t>
        </is>
      </c>
      <c r="AH779" t="inlineStr">
        <is>
          <t>.</t>
        </is>
      </c>
      <c r="AI779" t="inlineStr">
        <is>
          <t>.</t>
        </is>
      </c>
      <c r="AJ779" t="inlineStr">
        <is>
          <t>.</t>
        </is>
      </c>
      <c r="AK779" t="inlineStr">
        <is>
          <t>.</t>
        </is>
      </c>
      <c r="AL779" t="inlineStr">
        <is>
          <t>.</t>
        </is>
      </c>
    </row>
    <row r="780">
      <c r="A780" t="inlineStr"/>
      <c r="B780">
        <f>HYPERLINK("https://genome.ucsc.edu/cgi-bin/hgTracks?db=hg19&amp;position=chr3%3A112299491%2D112299491", "chr3:112299491")</f>
        <v/>
      </c>
      <c r="C780" t="inlineStr">
        <is>
          <t>chr3</t>
        </is>
      </c>
      <c r="D780" t="n">
        <v>112299491</v>
      </c>
      <c r="E780" t="n">
        <v>112299491</v>
      </c>
      <c r="F780" t="inlineStr">
        <is>
          <t>C</t>
        </is>
      </c>
      <c r="G780" t="inlineStr">
        <is>
          <t>A</t>
        </is>
      </c>
      <c r="H780" t="inlineStr">
        <is>
          <t>1306.64</t>
        </is>
      </c>
      <c r="I780" t="inlineStr">
        <is>
          <t>109</t>
        </is>
      </c>
      <c r="J780" t="inlineStr">
        <is>
          <t>52,57</t>
        </is>
      </c>
      <c r="K780" t="inlineStr">
        <is>
          <t>.</t>
        </is>
      </c>
      <c r="L780" t="inlineStr">
        <is>
          <t>.</t>
        </is>
      </c>
      <c r="M780">
        <f>HYPERLINK("https://www.genecards.org/Search/Keyword?queryString=%5Baliases%5D(%20SLC35A5%20)&amp;keywords=SLC35A5", "SLC35A5")</f>
        <v/>
      </c>
      <c r="N780" t="inlineStr">
        <is>
          <t>exonic</t>
        </is>
      </c>
      <c r="O780" t="inlineStr">
        <is>
          <t>nonsynonymous SNV</t>
        </is>
      </c>
      <c r="P780" t="inlineStr">
        <is>
          <t>SLC35A5:NM_001348908:exon4:c.C173A:p.A58E,SLC35A5:NM_001348909:exon5:c.C164A:p.A55E,SLC35A5:NM_001348905:exon6:c.C527A:p.A176E,SLC35A5:NM_001348906:exon6:c.C527A:p.A176E,SLC35A5:NM_001348907:exon6:c.C527A:p.A176E,SLC35A5:NM_001348910:exon6:c.C527A:p.A176E,SLC35A5:NM_001348911:exon6:c.C527A:p.A176E,SLC35A5:NM_017945:exon6:c.C527A:p.A176E;SLC35A5:uc003dze.4:exon6:c.C527A:p.A176E;SLC35A5:ENST00000494706.1_1:exon5:c.C245A:p.A82E,SLC35A5:ENST00000261034.6_2:exon6:c.C527A:p.A176E,SLC35A5:ENST00000492406.6_3:exon6:c.C527A:p.A176E</t>
        </is>
      </c>
      <c r="Q780" t="n">
        <v>-1</v>
      </c>
      <c r="R780" t="n">
        <v>-1</v>
      </c>
      <c r="S780" t="n">
        <v>-1</v>
      </c>
      <c r="T780" t="n">
        <v>-1</v>
      </c>
      <c r="U780" t="n">
        <v>-1</v>
      </c>
      <c r="V780" t="inlineStr">
        <is>
          <t>8/12</t>
        </is>
      </c>
      <c r="W780" t="inlineStr">
        <is>
          <t>.</t>
        </is>
      </c>
      <c r="X780" t="inlineStr">
        <is>
          <t>.</t>
        </is>
      </c>
      <c r="Y780" t="inlineStr">
        <is>
          <t>.</t>
        </is>
      </c>
      <c r="Z780" t="inlineStr">
        <is>
          <t>4/7</t>
        </is>
      </c>
      <c r="AA780" t="inlineStr">
        <is>
          <t>Uncertain significance</t>
        </is>
      </c>
      <c r="AB780" t="inlineStr">
        <is>
          <t>.</t>
        </is>
      </c>
      <c r="AC780" t="inlineStr">
        <is>
          <t>0/1</t>
        </is>
      </c>
      <c r="AD780" t="inlineStr">
        <is>
          <t>1</t>
        </is>
      </c>
      <c r="AE780" t="inlineStr">
        <is>
          <t>0.00141225113499444</t>
        </is>
      </c>
      <c r="AF780" t="inlineStr">
        <is>
          <t>solute carrier family 35 member A5</t>
        </is>
      </c>
      <c r="AG780" t="inlineStr">
        <is>
          <t>.</t>
        </is>
      </c>
      <c r="AH780" t="inlineStr">
        <is>
          <t>.</t>
        </is>
      </c>
      <c r="AI780" t="inlineStr">
        <is>
          <t>.</t>
        </is>
      </c>
      <c r="AJ780" t="inlineStr">
        <is>
          <t>.</t>
        </is>
      </c>
      <c r="AK780" t="inlineStr">
        <is>
          <t>.</t>
        </is>
      </c>
      <c r="AL780" t="inlineStr">
        <is>
          <t>.</t>
        </is>
      </c>
    </row>
    <row r="781">
      <c r="A781" t="inlineStr"/>
      <c r="B781">
        <f>HYPERLINK("https://genome.ucsc.edu/cgi-bin/hgTracks?db=hg19&amp;position=chr3%3A113723588%2D113723588", "chr3:113723588")</f>
        <v/>
      </c>
      <c r="C781" t="inlineStr">
        <is>
          <t>chr3</t>
        </is>
      </c>
      <c r="D781" t="n">
        <v>113723588</v>
      </c>
      <c r="E781" t="n">
        <v>113723588</v>
      </c>
      <c r="F781" t="inlineStr">
        <is>
          <t>G</t>
        </is>
      </c>
      <c r="G781" t="inlineStr">
        <is>
          <t>A</t>
        </is>
      </c>
      <c r="H781" t="inlineStr">
        <is>
          <t>407.64</t>
        </is>
      </c>
      <c r="I781" t="inlineStr">
        <is>
          <t>54</t>
        </is>
      </c>
      <c r="J781" t="inlineStr">
        <is>
          <t>38,16</t>
        </is>
      </c>
      <c r="K781" t="inlineStr">
        <is>
          <t>.</t>
        </is>
      </c>
      <c r="L781" t="inlineStr">
        <is>
          <t>.</t>
        </is>
      </c>
      <c r="M781">
        <f>HYPERLINK("https://www.genecards.org/Search/Keyword?queryString=%5Baliases%5D(%20CCDC191%20)%20OR%20%5Baliases%5D(%20KIAA1407%20)&amp;keywords=CCDC191,KIAA1407", "CCDC191;KIAA1407")</f>
        <v/>
      </c>
      <c r="N781" t="inlineStr">
        <is>
          <t>exonic</t>
        </is>
      </c>
      <c r="O781" t="inlineStr">
        <is>
          <t>nonsynonymous SNV</t>
        </is>
      </c>
      <c r="P781" t="inlineStr">
        <is>
          <t>CCDC191:NM_001353767:exon9:c.C1808T:p.P603L,CCDC191:NM_001353766:exon10:c.C1835T:p.P612L,CCDC191:NM_020817:exon11:c.C1874T:p.P625L;KIAA1407:uc011bio.1:exon9:c.C1808T:p.P603L,KIAA1407:uc003eax.3:exon11:c.C1874T:p.P625L;CCDC191:ENST00000295878.8_6:exon11:c.C1874T:p.P625L</t>
        </is>
      </c>
      <c r="Q781" t="n">
        <v>-1</v>
      </c>
      <c r="R781" t="n">
        <v>-1</v>
      </c>
      <c r="S781" t="n">
        <v>-1</v>
      </c>
      <c r="T781" t="n">
        <v>-1</v>
      </c>
      <c r="U781" t="n">
        <v>-1</v>
      </c>
      <c r="V781" t="inlineStr">
        <is>
          <t>4/12</t>
        </is>
      </c>
      <c r="W781" t="inlineStr">
        <is>
          <t>.</t>
        </is>
      </c>
      <c r="X781" t="inlineStr">
        <is>
          <t>.</t>
        </is>
      </c>
      <c r="Y781" t="inlineStr">
        <is>
          <t>.</t>
        </is>
      </c>
      <c r="Z781" t="inlineStr">
        <is>
          <t>0/7</t>
        </is>
      </c>
      <c r="AA781" t="inlineStr">
        <is>
          <t>Uncertain significance</t>
        </is>
      </c>
      <c r="AB781" t="inlineStr">
        <is>
          <t>.</t>
        </is>
      </c>
      <c r="AC781" t="inlineStr">
        <is>
          <t>0/1</t>
        </is>
      </c>
      <c r="AD781" t="inlineStr">
        <is>
          <t>1;1</t>
        </is>
      </c>
      <c r="AE781" t="inlineStr">
        <is>
          <t>.</t>
        </is>
      </c>
      <c r="AF781" t="inlineStr">
        <is>
          <t>coiled-coil domain containing 191</t>
        </is>
      </c>
      <c r="AG781" t="inlineStr">
        <is>
          <t>.</t>
        </is>
      </c>
      <c r="AH781" t="inlineStr">
        <is>
          <t>.</t>
        </is>
      </c>
      <c r="AI781" t="inlineStr">
        <is>
          <t>.</t>
        </is>
      </c>
      <c r="AJ781" t="inlineStr">
        <is>
          <t>.</t>
        </is>
      </c>
      <c r="AK781" t="inlineStr">
        <is>
          <t>.</t>
        </is>
      </c>
      <c r="AL781" t="inlineStr">
        <is>
          <t>.</t>
        </is>
      </c>
    </row>
    <row r="782">
      <c r="A782" t="inlineStr"/>
      <c r="B782">
        <f>HYPERLINK("https://genome.ucsc.edu/cgi-bin/hgTracks?db=hg19&amp;position=chr3%3A119109769%2D119109769", "chr3:119109769")</f>
        <v/>
      </c>
      <c r="C782" t="inlineStr">
        <is>
          <t>chr3</t>
        </is>
      </c>
      <c r="D782" t="n">
        <v>119109769</v>
      </c>
      <c r="E782" t="n">
        <v>119109769</v>
      </c>
      <c r="F782" t="inlineStr">
        <is>
          <t>C</t>
        </is>
      </c>
      <c r="G782" t="inlineStr">
        <is>
          <t>T</t>
        </is>
      </c>
      <c r="H782" t="inlineStr">
        <is>
          <t>1871.06</t>
        </is>
      </c>
      <c r="I782" t="inlineStr">
        <is>
          <t>60</t>
        </is>
      </c>
      <c r="J782" t="inlineStr">
        <is>
          <t>0,60</t>
        </is>
      </c>
      <c r="K782" t="inlineStr">
        <is>
          <t>.</t>
        </is>
      </c>
      <c r="L782">
        <f>HYPERLINK("https://www.ncbi.nlm.nih.gov/snp/rs139600783", "rs139600783")</f>
        <v/>
      </c>
      <c r="M782">
        <f>HYPERLINK("https://www.genecards.org/Search/Keyword?queryString=%5Baliases%5D(%20ARHGAP31%20)&amp;keywords=ARHGAP31", "ARHGAP31")</f>
        <v/>
      </c>
      <c r="N782" t="inlineStr">
        <is>
          <t>exonic</t>
        </is>
      </c>
      <c r="O782" t="inlineStr">
        <is>
          <t>nonsynonymous SNV</t>
        </is>
      </c>
      <c r="P782" t="inlineStr">
        <is>
          <t>ARHGAP31:NM_020754:exon7:c.C820T:p.P274S;ARHGAP31:uc003ecj.4:exon7:c.C820T:p.P274S;ARHGAP31:ENST00000264245.9_5:exon7:c.C820T:p.P274S</t>
        </is>
      </c>
      <c r="Q782" t="n">
        <v>0.0069</v>
      </c>
      <c r="R782" t="n">
        <v>0.0038</v>
      </c>
      <c r="S782" t="n">
        <v>0.0046</v>
      </c>
      <c r="T782" t="n">
        <v>-1</v>
      </c>
      <c r="U782" t="n">
        <v>0.0027</v>
      </c>
      <c r="V782" t="inlineStr">
        <is>
          <t>6/11</t>
        </is>
      </c>
      <c r="W782" t="inlineStr">
        <is>
          <t>.</t>
        </is>
      </c>
      <c r="X782" t="inlineStr">
        <is>
          <t>.</t>
        </is>
      </c>
      <c r="Y782" t="inlineStr">
        <is>
          <t>.</t>
        </is>
      </c>
      <c r="Z782" t="inlineStr">
        <is>
          <t>4/7</t>
        </is>
      </c>
      <c r="AA782" t="inlineStr">
        <is>
          <t>Benign</t>
        </is>
      </c>
      <c r="AB782" t="inlineStr">
        <is>
          <t>Benign/Likely_benign</t>
        </is>
      </c>
      <c r="AC782" t="inlineStr">
        <is>
          <t>HOMO</t>
        </is>
      </c>
      <c r="AD782" t="inlineStr">
        <is>
          <t>1</t>
        </is>
      </c>
      <c r="AE782" t="inlineStr">
        <is>
          <t>0.999634465686628</t>
        </is>
      </c>
      <c r="AF782" t="inlineStr">
        <is>
          <t>Rho GTPase activating protein 31</t>
        </is>
      </c>
      <c r="AG782" t="inlineStr">
        <is>
          <t xml:space="preserve">FUNCTION: Functions as a GTPase-activating protein (GAP) for RAC1 and CDC42. Required for cell spreading, polarized lamellipodia formation and cell migration. {ECO:0000269|PubMed:12192056, ECO:0000269|PubMed:16519628}.; </t>
        </is>
      </c>
      <c r="AH782" t="inlineStr">
        <is>
          <t xml:space="preserve">DISEASE: Adams-Oliver syndrome 1 (AOS1) [MIM:100300]: A disorder characterized by the congenital absence of skin (aplasia cutis congenita) in combination with transverse limb defects. Aplasia cutis congenita can be located anywhere on the body, but in the vast majority of the cases, it is present on the posterior parietal region where it is often associated with an underlying defect of the parietal bones. Limb abnormalities are typically limb truncation defects affecting the distal phalanges or entire digits (true ectrodactyly). Only rarely, metatarsals/metacarpals or more proximal limb structures are also affected. Apart from transverse limb defects, syndactyly, most commonly of second and third toes, can also be observed. The clinical features are highly variable and can also include cardiovascular malformations, brain abnormalities and vascular defects such as cutis marmorata and dilated scalp veins. {ECO:0000269|PubMed:21565291}. Note=The disease is caused by mutations affecting the gene represented in this entry.; </t>
        </is>
      </c>
      <c r="AI782" t="inlineStr">
        <is>
          <t>.</t>
        </is>
      </c>
      <c r="AJ782" t="inlineStr">
        <is>
          <t>.</t>
        </is>
      </c>
      <c r="AK782" t="inlineStr">
        <is>
          <t>.</t>
        </is>
      </c>
      <c r="AL782" t="inlineStr">
        <is>
          <t>.</t>
        </is>
      </c>
    </row>
    <row r="783">
      <c r="A783" t="inlineStr"/>
      <c r="B783">
        <f>HYPERLINK("https://genome.ucsc.edu/cgi-bin/hgTracks?db=hg19&amp;position=chr3%3A125271109%2D125271109", "chr3:125271109")</f>
        <v/>
      </c>
      <c r="C783" t="inlineStr">
        <is>
          <t>chr3</t>
        </is>
      </c>
      <c r="D783" t="n">
        <v>125271109</v>
      </c>
      <c r="E783" t="n">
        <v>125271109</v>
      </c>
      <c r="F783" t="inlineStr">
        <is>
          <t>C</t>
        </is>
      </c>
      <c r="G783" t="inlineStr">
        <is>
          <t>A</t>
        </is>
      </c>
      <c r="H783" t="inlineStr">
        <is>
          <t>958.64</t>
        </is>
      </c>
      <c r="I783" t="inlineStr">
        <is>
          <t>94</t>
        </is>
      </c>
      <c r="J783" t="inlineStr">
        <is>
          <t>52,42</t>
        </is>
      </c>
      <c r="K783" t="inlineStr">
        <is>
          <t>.</t>
        </is>
      </c>
      <c r="L783" t="inlineStr">
        <is>
          <t>.</t>
        </is>
      </c>
      <c r="M783">
        <f>HYPERLINK("https://www.genecards.org/Search/Keyword?queryString=%5Baliases%5D(%20OSBPL11%20)&amp;keywords=OSBPL11", "OSBPL11")</f>
        <v/>
      </c>
      <c r="N783" t="inlineStr">
        <is>
          <t>exonic</t>
        </is>
      </c>
      <c r="O783" t="inlineStr">
        <is>
          <t>stopgain</t>
        </is>
      </c>
      <c r="P783" t="inlineStr">
        <is>
          <t>OSBPL11:NM_022776:exon9:c.G1570T:p.E524X;OSBPL11:uc003eic.3:exon9:c.G1570T:p.E524X;OSBPL11:ENST00000296220.6_5:exon9:c.G1570T:p.E524X</t>
        </is>
      </c>
      <c r="Q783" t="n">
        <v>-1</v>
      </c>
      <c r="R783" t="n">
        <v>-1</v>
      </c>
      <c r="S783" t="n">
        <v>-1</v>
      </c>
      <c r="T783" t="n">
        <v>-1</v>
      </c>
      <c r="U783" t="n">
        <v>-1</v>
      </c>
      <c r="V783" t="inlineStr">
        <is>
          <t>3/3</t>
        </is>
      </c>
      <c r="W783" t="inlineStr">
        <is>
          <t>.</t>
        </is>
      </c>
      <c r="X783" t="inlineStr">
        <is>
          <t>.</t>
        </is>
      </c>
      <c r="Y783" t="inlineStr">
        <is>
          <t>.</t>
        </is>
      </c>
      <c r="Z783" t="inlineStr">
        <is>
          <t>4/7</t>
        </is>
      </c>
      <c r="AA783" t="inlineStr">
        <is>
          <t>Uncertain significance</t>
        </is>
      </c>
      <c r="AB783" t="inlineStr">
        <is>
          <t>.</t>
        </is>
      </c>
      <c r="AC783" t="inlineStr">
        <is>
          <t>0/1</t>
        </is>
      </c>
      <c r="AD783" t="inlineStr">
        <is>
          <t>1</t>
        </is>
      </c>
      <c r="AE783" t="inlineStr">
        <is>
          <t>0.898599332497567</t>
        </is>
      </c>
      <c r="AF783" t="inlineStr">
        <is>
          <t>oxysterol binding protein like 11</t>
        </is>
      </c>
      <c r="AG783" t="inlineStr">
        <is>
          <t xml:space="preserve">FUNCTION: Plays a role in regulating ADIPOQ and FABP4 levels in differentiating adipocytes and is also involved in regulation of adipocyte triglyceride storage (PubMed:23028956). Weakly binds 25- hydroxycholesterol (PubMed:17428193). {ECO:0000269|PubMed:17428193, ECO:0000269|PubMed:23028956}.; </t>
        </is>
      </c>
      <c r="AH783" t="inlineStr">
        <is>
          <t>.</t>
        </is>
      </c>
      <c r="AI783" t="inlineStr">
        <is>
          <t>.</t>
        </is>
      </c>
      <c r="AJ783" t="inlineStr">
        <is>
          <t>.</t>
        </is>
      </c>
      <c r="AK783" t="inlineStr">
        <is>
          <t>.</t>
        </is>
      </c>
      <c r="AL783" t="inlineStr">
        <is>
          <t>.</t>
        </is>
      </c>
    </row>
    <row r="784">
      <c r="A784" t="inlineStr"/>
      <c r="B784">
        <f>HYPERLINK("https://genome.ucsc.edu/cgi-bin/hgTracks?db=hg19&amp;position=chr3%3A129324494%2D129324494", "chr3:129324494")</f>
        <v/>
      </c>
      <c r="C784" t="inlineStr">
        <is>
          <t>chr3</t>
        </is>
      </c>
      <c r="D784" t="n">
        <v>129324494</v>
      </c>
      <c r="E784" t="n">
        <v>129324494</v>
      </c>
      <c r="F784" t="inlineStr">
        <is>
          <t>T</t>
        </is>
      </c>
      <c r="G784" t="inlineStr">
        <is>
          <t>-</t>
        </is>
      </c>
      <c r="H784" t="inlineStr">
        <is>
          <t>586.60</t>
        </is>
      </c>
      <c r="I784" t="inlineStr">
        <is>
          <t>31</t>
        </is>
      </c>
      <c r="J784" t="inlineStr">
        <is>
          <t>14,17</t>
        </is>
      </c>
      <c r="K784" t="inlineStr">
        <is>
          <t>.</t>
        </is>
      </c>
      <c r="L784" t="inlineStr">
        <is>
          <t>.</t>
        </is>
      </c>
      <c r="M784">
        <f>HYPERLINK("https://www.genecards.org/Search/Keyword?queryString=%5Baliases%5D(%20PLXND1%20)&amp;keywords=PLXND1", "PLXND1")</f>
        <v/>
      </c>
      <c r="N784" t="inlineStr">
        <is>
          <t>exonic</t>
        </is>
      </c>
      <c r="O784" t="inlineStr">
        <is>
          <t>frameshift deletion</t>
        </is>
      </c>
      <c r="P784" t="inlineStr">
        <is>
          <t>PLXND1:NM_015103:exon1:c.989delA:p.D330Afs*131;PLXND1:uc003emx.2:exon1:c.989delA:p.D330Afs*131;PLXND1:ENST00000324093.9_4:exon1:c.989delA:p.D330Afs*131</t>
        </is>
      </c>
      <c r="Q784" t="n">
        <v>-1</v>
      </c>
      <c r="R784" t="n">
        <v>-1</v>
      </c>
      <c r="S784" t="n">
        <v>-1</v>
      </c>
      <c r="T784" t="n">
        <v>-1</v>
      </c>
      <c r="U784" t="n">
        <v>-1</v>
      </c>
      <c r="V784" t="inlineStr">
        <is>
          <t>.</t>
        </is>
      </c>
      <c r="W784" t="inlineStr">
        <is>
          <t>.</t>
        </is>
      </c>
      <c r="X784" t="inlineStr">
        <is>
          <t>.</t>
        </is>
      </c>
      <c r="Y784" t="inlineStr">
        <is>
          <t>.</t>
        </is>
      </c>
      <c r="Z784" t="inlineStr">
        <is>
          <t>.</t>
        </is>
      </c>
      <c r="AA784" t="inlineStr">
        <is>
          <t>.</t>
        </is>
      </c>
      <c r="AB784" t="inlineStr">
        <is>
          <t>.</t>
        </is>
      </c>
      <c r="AC784" t="inlineStr">
        <is>
          <t>0/1</t>
        </is>
      </c>
      <c r="AD784" t="inlineStr">
        <is>
          <t>1</t>
        </is>
      </c>
      <c r="AE784" t="inlineStr">
        <is>
          <t>0.999989724505468</t>
        </is>
      </c>
      <c r="AF784" t="inlineStr">
        <is>
          <t>plexin D1</t>
        </is>
      </c>
      <c r="AG784" t="inlineStr">
        <is>
          <t xml:space="preserve">FUNCTION: Cell surface receptor for SEMA4A and for class 3 semaphorins, such as SEMA3A, SEMA3C and SEMA3E. Plays an important role in cell-cell signaling, and in regulating the migration of a wide spectrum of cell types. Regulates the migration of thymocytes in the medulla. Regulates endothelial cell migration. Plays an important role in ensuring the specificity of synapse formation. Required for normal development of the heart and vasculature (By similarity). Mediates anti-angiogenic signaling in response to SEMA3E. {ECO:0000250, ECO:0000269|PubMed:20385769}.; </t>
        </is>
      </c>
      <c r="AH784" t="inlineStr">
        <is>
          <t>.</t>
        </is>
      </c>
      <c r="AI784" t="inlineStr">
        <is>
          <t>.</t>
        </is>
      </c>
      <c r="AJ784" t="inlineStr">
        <is>
          <t>.</t>
        </is>
      </c>
      <c r="AK784" t="inlineStr">
        <is>
          <t>.</t>
        </is>
      </c>
      <c r="AL784" t="inlineStr">
        <is>
          <t>.</t>
        </is>
      </c>
    </row>
    <row r="785">
      <c r="A785" t="inlineStr"/>
      <c r="B785">
        <f>HYPERLINK("https://genome.ucsc.edu/cgi-bin/hgTracks?db=hg19&amp;position=chr3%3A142751519%2D142751519", "chr3:142751519")</f>
        <v/>
      </c>
      <c r="C785" t="inlineStr">
        <is>
          <t>chr3</t>
        </is>
      </c>
      <c r="D785" t="n">
        <v>142751519</v>
      </c>
      <c r="E785" t="n">
        <v>142751519</v>
      </c>
      <c r="F785" t="inlineStr">
        <is>
          <t>A</t>
        </is>
      </c>
      <c r="G785" t="inlineStr">
        <is>
          <t>G</t>
        </is>
      </c>
      <c r="H785" t="inlineStr">
        <is>
          <t>466.06</t>
        </is>
      </c>
      <c r="I785" t="inlineStr">
        <is>
          <t>13</t>
        </is>
      </c>
      <c r="J785" t="inlineStr">
        <is>
          <t>0,13</t>
        </is>
      </c>
      <c r="K785" t="inlineStr">
        <is>
          <t>.</t>
        </is>
      </c>
      <c r="L785">
        <f>HYPERLINK("https://www.ncbi.nlm.nih.gov/snp/rs139560154", "rs139560154")</f>
        <v/>
      </c>
      <c r="M785">
        <f>HYPERLINK("https://www.genecards.org/Search/Keyword?queryString=%5Baliases%5D(%20U2SURP%20)&amp;keywords=U2SURP", "U2SURP")</f>
        <v/>
      </c>
      <c r="N785" t="inlineStr">
        <is>
          <t>intronic</t>
        </is>
      </c>
      <c r="O785" t="inlineStr">
        <is>
          <t>.</t>
        </is>
      </c>
      <c r="P785" t="inlineStr">
        <is>
          <t>.</t>
        </is>
      </c>
      <c r="Q785" t="n">
        <v>0.0244</v>
      </c>
      <c r="R785" t="n">
        <v>0.0245</v>
      </c>
      <c r="S785" t="n">
        <v>0.0249</v>
      </c>
      <c r="T785" t="n">
        <v>-1</v>
      </c>
      <c r="U785" t="n">
        <v>0.0237</v>
      </c>
      <c r="V785" t="inlineStr">
        <is>
          <t>.</t>
        </is>
      </c>
      <c r="W785" t="inlineStr">
        <is>
          <t>.</t>
        </is>
      </c>
      <c r="X785" t="inlineStr">
        <is>
          <t>PD</t>
        </is>
      </c>
      <c r="Y785" t="inlineStr">
        <is>
          <t>off</t>
        </is>
      </c>
      <c r="Z785" t="inlineStr">
        <is>
          <t>.</t>
        </is>
      </c>
      <c r="AA785" t="inlineStr">
        <is>
          <t>.</t>
        </is>
      </c>
      <c r="AB785" t="inlineStr">
        <is>
          <t>.</t>
        </is>
      </c>
      <c r="AC785" t="inlineStr">
        <is>
          <t>HOMO</t>
        </is>
      </c>
      <c r="AD785" t="inlineStr">
        <is>
          <t>1</t>
        </is>
      </c>
      <c r="AE785" t="inlineStr">
        <is>
          <t>0.999999613278695</t>
        </is>
      </c>
      <c r="AF785" t="inlineStr">
        <is>
          <t>U2 snRNP-associated SURP domain containing</t>
        </is>
      </c>
      <c r="AG785" t="inlineStr">
        <is>
          <t>.</t>
        </is>
      </c>
      <c r="AH785" t="inlineStr">
        <is>
          <t>.</t>
        </is>
      </c>
      <c r="AI785" t="inlineStr">
        <is>
          <t>.</t>
        </is>
      </c>
      <c r="AJ785" t="inlineStr">
        <is>
          <t>.</t>
        </is>
      </c>
      <c r="AK785" t="inlineStr">
        <is>
          <t>.</t>
        </is>
      </c>
      <c r="AL785" t="inlineStr">
        <is>
          <t>.</t>
        </is>
      </c>
    </row>
    <row r="786">
      <c r="A786" t="inlineStr"/>
      <c r="B786">
        <f>HYPERLINK("https://genome.ucsc.edu/cgi-bin/hgTracks?db=hg19&amp;position=chr3%3A148601469%2D148601469", "chr3:148601469")</f>
        <v/>
      </c>
      <c r="C786" t="inlineStr">
        <is>
          <t>chr3</t>
        </is>
      </c>
      <c r="D786" t="n">
        <v>148601469</v>
      </c>
      <c r="E786" t="n">
        <v>148601469</v>
      </c>
      <c r="F786" t="inlineStr">
        <is>
          <t>C</t>
        </is>
      </c>
      <c r="G786" t="inlineStr">
        <is>
          <t>T</t>
        </is>
      </c>
      <c r="H786" t="inlineStr">
        <is>
          <t>2739.06</t>
        </is>
      </c>
      <c r="I786" t="inlineStr">
        <is>
          <t>86</t>
        </is>
      </c>
      <c r="J786" t="inlineStr">
        <is>
          <t>1,85</t>
        </is>
      </c>
      <c r="K786" t="inlineStr">
        <is>
          <t>.</t>
        </is>
      </c>
      <c r="L786">
        <f>HYPERLINK("https://www.ncbi.nlm.nih.gov/snp/rs140470073", "rs140470073")</f>
        <v/>
      </c>
      <c r="M786">
        <f>HYPERLINK("https://www.genecards.org/Search/Keyword?queryString=%5Baliases%5D(%20CPA3%20)&amp;keywords=CPA3", "CPA3")</f>
        <v/>
      </c>
      <c r="N786" t="inlineStr">
        <is>
          <t>exonic</t>
        </is>
      </c>
      <c r="O786" t="inlineStr">
        <is>
          <t>nonsynonymous SNV</t>
        </is>
      </c>
      <c r="P786" t="inlineStr">
        <is>
          <t>CPA3:NM_001870:exon9:c.C848T:p.T283M;CPA3:uc003ewm.3:exon9:c.C848T:p.T283M;CPA3:ENST00000296046.4_3:exon9:c.C848T:p.T283M</t>
        </is>
      </c>
      <c r="Q786" t="n">
        <v>0.011</v>
      </c>
      <c r="R786" t="n">
        <v>0.0086</v>
      </c>
      <c r="S786" t="n">
        <v>0.0078</v>
      </c>
      <c r="T786" t="n">
        <v>-1</v>
      </c>
      <c r="U786" t="n">
        <v>0.0098</v>
      </c>
      <c r="V786" t="inlineStr">
        <is>
          <t>7/10</t>
        </is>
      </c>
      <c r="W786" t="inlineStr">
        <is>
          <t>.</t>
        </is>
      </c>
      <c r="X786" t="inlineStr">
        <is>
          <t>.</t>
        </is>
      </c>
      <c r="Y786" t="inlineStr">
        <is>
          <t>.</t>
        </is>
      </c>
      <c r="Z786" t="inlineStr">
        <is>
          <t>1/7</t>
        </is>
      </c>
      <c r="AA786" t="inlineStr">
        <is>
          <t>Uncertain significance</t>
        </is>
      </c>
      <c r="AB786" t="inlineStr">
        <is>
          <t>Benign</t>
        </is>
      </c>
      <c r="AC786" t="inlineStr">
        <is>
          <t>HOMO</t>
        </is>
      </c>
      <c r="AD786" t="inlineStr">
        <is>
          <t>1</t>
        </is>
      </c>
      <c r="AE786" t="inlineStr">
        <is>
          <t>1.2834341428345e-12</t>
        </is>
      </c>
      <c r="AF786" t="inlineStr">
        <is>
          <t>carboxypeptidase A3</t>
        </is>
      </c>
      <c r="AG786" t="inlineStr">
        <is>
          <t>.</t>
        </is>
      </c>
      <c r="AH786" t="inlineStr">
        <is>
          <t>.</t>
        </is>
      </c>
      <c r="AI786" t="inlineStr">
        <is>
          <t>.</t>
        </is>
      </c>
      <c r="AJ786" t="inlineStr">
        <is>
          <t>.</t>
        </is>
      </c>
      <c r="AK786" t="inlineStr">
        <is>
          <t>.</t>
        </is>
      </c>
      <c r="AL786" t="inlineStr">
        <is>
          <t>.</t>
        </is>
      </c>
    </row>
    <row r="787">
      <c r="A787" t="inlineStr"/>
      <c r="B787">
        <f>HYPERLINK("https://genome.ucsc.edu/cgi-bin/hgTracks?db=hg19&amp;position=chr3%3A148903153%2D148903153", "chr3:148903153")</f>
        <v/>
      </c>
      <c r="C787" t="inlineStr">
        <is>
          <t>chr3</t>
        </is>
      </c>
      <c r="D787" t="n">
        <v>148903153</v>
      </c>
      <c r="E787" t="n">
        <v>148903153</v>
      </c>
      <c r="F787" t="inlineStr">
        <is>
          <t>G</t>
        </is>
      </c>
      <c r="G787" t="inlineStr">
        <is>
          <t>A</t>
        </is>
      </c>
      <c r="H787" t="inlineStr">
        <is>
          <t>228.64</t>
        </is>
      </c>
      <c r="I787" t="inlineStr">
        <is>
          <t>76</t>
        </is>
      </c>
      <c r="J787" t="inlineStr">
        <is>
          <t>60,16</t>
        </is>
      </c>
      <c r="K787" t="inlineStr">
        <is>
          <t>CM055139</t>
        </is>
      </c>
      <c r="L787">
        <f>HYPERLINK("https://www.ncbi.nlm.nih.gov/snp/rs145784949", "rs145784949")</f>
        <v/>
      </c>
      <c r="M787">
        <f>HYPERLINK("https://www.genecards.org/Search/Keyword?queryString=%5Baliases%5D(%20CP%20)&amp;keywords=CP", "CP")</f>
        <v/>
      </c>
      <c r="N787" t="inlineStr">
        <is>
          <t>exonic</t>
        </is>
      </c>
      <c r="O787" t="inlineStr">
        <is>
          <t>nonsynonymous SNV</t>
        </is>
      </c>
      <c r="P787" t="inlineStr">
        <is>
          <t>CP:NM_000096:exon12:c.C2158T:p.R720W;CP:uc003ewx.4:exon9:c.C1501T:p.R501W,CP:uc003ewy.4:exon12:c.C2158T:p.R720W,CP:uc003ewz.3:exon12:c.C2158T:p.R720W;CP:ENST00000264613.11_5:exon12:c.C2158T:p.R720W</t>
        </is>
      </c>
      <c r="Q787" t="n">
        <v>0.0005</v>
      </c>
      <c r="R787" t="n">
        <v>0.0003</v>
      </c>
      <c r="S787" t="n">
        <v>0.0002</v>
      </c>
      <c r="T787" t="n">
        <v>-1</v>
      </c>
      <c r="U787" t="n">
        <v>0.0002</v>
      </c>
      <c r="V787" t="inlineStr">
        <is>
          <t>6/11</t>
        </is>
      </c>
      <c r="W787" t="inlineStr">
        <is>
          <t>.</t>
        </is>
      </c>
      <c r="X787" t="inlineStr">
        <is>
          <t>.</t>
        </is>
      </c>
      <c r="Y787" t="inlineStr">
        <is>
          <t>.</t>
        </is>
      </c>
      <c r="Z787" t="inlineStr">
        <is>
          <t>0/7</t>
        </is>
      </c>
      <c r="AA787" t="inlineStr">
        <is>
          <t>Uncertain significance</t>
        </is>
      </c>
      <c r="AB787" t="inlineStr">
        <is>
          <t>Uncertain_significance</t>
        </is>
      </c>
      <c r="AC787" t="inlineStr">
        <is>
          <t>0/1</t>
        </is>
      </c>
      <c r="AD787" t="inlineStr">
        <is>
          <t>1</t>
        </is>
      </c>
      <c r="AE787" t="inlineStr">
        <is>
          <t>0.000168752233046611</t>
        </is>
      </c>
      <c r="AF787" t="inlineStr">
        <is>
          <t>ceruloplasmin (ferroxidase)</t>
        </is>
      </c>
      <c r="AG787" t="inlineStr">
        <is>
          <t xml:space="preserve">FUNCTION: Ceruloplasmin is a blue, copper-binding (6-7 atoms per molecule) glycoprotein. It has ferroxidase activity oxidizing Fe(2+) to Fe(3+) without releasing radical oxygen species. It is involved in iron transport across the cell membrane. Provides Cu(2+) ions for the ascorbate-mediated deaminase degradation of the heparan sulfate chains of GPC1. May also play a role in fetal lung development or pulmonary antioxidant defense (By similarity). {ECO:0000250}.; </t>
        </is>
      </c>
      <c r="AH787" t="inlineStr">
        <is>
          <t xml:space="preserve">DISEASE: Note=Ceruloplasmin levels are decreased in Wilson disease, in which copper cannot be incorporated into ceruloplasmin in liver because of defects in the copper-transporting ATPase 2.; </t>
        </is>
      </c>
      <c r="AI787" t="inlineStr">
        <is>
          <t>.</t>
        </is>
      </c>
      <c r="AJ787" t="inlineStr">
        <is>
          <t>.</t>
        </is>
      </c>
      <c r="AK787" t="inlineStr">
        <is>
          <t>.</t>
        </is>
      </c>
      <c r="AL787" t="inlineStr">
        <is>
          <t>.</t>
        </is>
      </c>
    </row>
    <row r="788">
      <c r="A788" t="inlineStr"/>
      <c r="B788">
        <f>HYPERLINK("https://genome.ucsc.edu/cgi-bin/hgTracks?db=hg19&amp;position=chr3%3A160093820%2D160093820", "chr3:160093820")</f>
        <v/>
      </c>
      <c r="C788" t="inlineStr">
        <is>
          <t>chr3</t>
        </is>
      </c>
      <c r="D788" t="n">
        <v>160093820</v>
      </c>
      <c r="E788" t="n">
        <v>160093820</v>
      </c>
      <c r="F788" t="inlineStr">
        <is>
          <t>T</t>
        </is>
      </c>
      <c r="G788" t="inlineStr">
        <is>
          <t>G</t>
        </is>
      </c>
      <c r="H788" t="inlineStr">
        <is>
          <t>33.64</t>
        </is>
      </c>
      <c r="I788" t="inlineStr">
        <is>
          <t>13</t>
        </is>
      </c>
      <c r="J788" t="inlineStr">
        <is>
          <t>11,2</t>
        </is>
      </c>
      <c r="K788" t="inlineStr">
        <is>
          <t>.</t>
        </is>
      </c>
      <c r="L788" t="inlineStr">
        <is>
          <t>.</t>
        </is>
      </c>
      <c r="M788">
        <f>HYPERLINK("https://www.genecards.org/Search/Keyword?queryString=%5Baliases%5D(%20IFT80%20)%20OR%20%5Baliases%5D(%20TRIM59-IFT80%20)&amp;keywords=IFT80,TRIM59-IFT80", "IFT80;TRIM59-IFT80")</f>
        <v/>
      </c>
      <c r="N788" t="inlineStr">
        <is>
          <t>intronic;ncRNA_intronic</t>
        </is>
      </c>
      <c r="O788" t="inlineStr">
        <is>
          <t>.</t>
        </is>
      </c>
      <c r="P788" t="inlineStr">
        <is>
          <t>.</t>
        </is>
      </c>
      <c r="Q788" t="n">
        <v>-1</v>
      </c>
      <c r="R788" t="n">
        <v>-1</v>
      </c>
      <c r="S788" t="n">
        <v>-1</v>
      </c>
      <c r="T788" t="n">
        <v>-1</v>
      </c>
      <c r="U788" t="n">
        <v>-1</v>
      </c>
      <c r="V788" t="inlineStr">
        <is>
          <t>.</t>
        </is>
      </c>
      <c r="W788" t="inlineStr">
        <is>
          <t>.</t>
        </is>
      </c>
      <c r="X788" t="inlineStr">
        <is>
          <t>PD</t>
        </is>
      </c>
      <c r="Y788" t="inlineStr">
        <is>
          <t>off</t>
        </is>
      </c>
      <c r="Z788" t="inlineStr">
        <is>
          <t>.</t>
        </is>
      </c>
      <c r="AA788" t="inlineStr">
        <is>
          <t>.</t>
        </is>
      </c>
      <c r="AB788" t="inlineStr">
        <is>
          <t>.</t>
        </is>
      </c>
      <c r="AC788" t="inlineStr">
        <is>
          <t>0/1</t>
        </is>
      </c>
      <c r="AD788" t="inlineStr">
        <is>
          <t>1;1</t>
        </is>
      </c>
      <c r="AE788" t="inlineStr">
        <is>
          <t>1.44402047985056e-10</t>
        </is>
      </c>
      <c r="AF788" t="inlineStr">
        <is>
          <t>intraflagellar transport 80</t>
        </is>
      </c>
      <c r="AG788" t="inlineStr">
        <is>
          <t xml:space="preserve">FUNCTION: Component of the intraflagellar transport (IFT) complex B, which is essential for the development and maintenance of motile and sensory cilia. {ECO:0000269|PubMed:17468754}.; </t>
        </is>
      </c>
      <c r="AH788" t="inlineStr">
        <is>
          <t>.</t>
        </is>
      </c>
      <c r="AI788" t="inlineStr">
        <is>
          <t>.</t>
        </is>
      </c>
      <c r="AJ788" t="inlineStr">
        <is>
          <t>.</t>
        </is>
      </c>
      <c r="AK788" t="inlineStr">
        <is>
          <t>.</t>
        </is>
      </c>
      <c r="AL788" t="inlineStr">
        <is>
          <t>.</t>
        </is>
      </c>
    </row>
    <row r="789">
      <c r="A789" t="inlineStr"/>
      <c r="B789">
        <f>HYPERLINK("https://genome.ucsc.edu/cgi-bin/hgTracks?db=hg19&amp;position=chr3%3A172607438%2D172607438", "chr3:172607438")</f>
        <v/>
      </c>
      <c r="C789" t="inlineStr">
        <is>
          <t>chr3</t>
        </is>
      </c>
      <c r="D789" t="n">
        <v>172607438</v>
      </c>
      <c r="E789" t="n">
        <v>172607438</v>
      </c>
      <c r="F789" t="inlineStr">
        <is>
          <t>G</t>
        </is>
      </c>
      <c r="G789" t="inlineStr">
        <is>
          <t>T</t>
        </is>
      </c>
      <c r="H789" t="inlineStr">
        <is>
          <t>2283.64</t>
        </is>
      </c>
      <c r="I789" t="inlineStr">
        <is>
          <t>146</t>
        </is>
      </c>
      <c r="J789" t="inlineStr">
        <is>
          <t>60,86</t>
        </is>
      </c>
      <c r="K789" t="inlineStr">
        <is>
          <t>.</t>
        </is>
      </c>
      <c r="L789" t="inlineStr">
        <is>
          <t>.</t>
        </is>
      </c>
      <c r="M789">
        <f>HYPERLINK("https://www.genecards.org/Search/Keyword?queryString=%5Baliases%5D(%20SPATA16%20)&amp;keywords=SPATA16", "SPATA16")</f>
        <v/>
      </c>
      <c r="N789" t="inlineStr">
        <is>
          <t>exonic</t>
        </is>
      </c>
      <c r="O789" t="inlineStr">
        <is>
          <t>nonsynonymous SNV</t>
        </is>
      </c>
      <c r="P789" t="inlineStr">
        <is>
          <t>SPATA16:NM_031955:exon11:c.C1632A:p.F544L;SPATA16:uc003fin.4:exon11:c.C1632A:p.F544L;SPATA16:ENST00000351008.4_5:exon11:c.C1632A:p.F544L</t>
        </is>
      </c>
      <c r="Q789" t="n">
        <v>-1</v>
      </c>
      <c r="R789" t="n">
        <v>-1</v>
      </c>
      <c r="S789" t="n">
        <v>-1</v>
      </c>
      <c r="T789" t="n">
        <v>-1</v>
      </c>
      <c r="U789" t="n">
        <v>-1</v>
      </c>
      <c r="V789" t="inlineStr">
        <is>
          <t>6/12</t>
        </is>
      </c>
      <c r="W789" t="inlineStr">
        <is>
          <t>.</t>
        </is>
      </c>
      <c r="X789" t="inlineStr">
        <is>
          <t>.</t>
        </is>
      </c>
      <c r="Y789" t="inlineStr">
        <is>
          <t>.</t>
        </is>
      </c>
      <c r="Z789" t="inlineStr">
        <is>
          <t>4/7</t>
        </is>
      </c>
      <c r="AA789" t="inlineStr">
        <is>
          <t>Uncertain significance</t>
        </is>
      </c>
      <c r="AB789" t="inlineStr">
        <is>
          <t>.</t>
        </is>
      </c>
      <c r="AC789" t="inlineStr">
        <is>
          <t>0/1</t>
        </is>
      </c>
      <c r="AD789" t="inlineStr">
        <is>
          <t>1</t>
        </is>
      </c>
      <c r="AE789" t="inlineStr">
        <is>
          <t>1.64842747374149e-06</t>
        </is>
      </c>
      <c r="AF789" t="inlineStr">
        <is>
          <t>spermatogenesis associated 16</t>
        </is>
      </c>
      <c r="AG789" t="inlineStr">
        <is>
          <t xml:space="preserve">FUNCTION: Involved in the formation of sperm acrosome, which implicated its potential role in spermatogenesis and sperm-egg fusion. {ECO:0000269|PubMed:12529416}.; </t>
        </is>
      </c>
      <c r="AH789" t="inlineStr">
        <is>
          <t>.</t>
        </is>
      </c>
      <c r="AI789" t="inlineStr">
        <is>
          <t>.</t>
        </is>
      </c>
      <c r="AJ789" t="inlineStr">
        <is>
          <t>.</t>
        </is>
      </c>
      <c r="AK789" t="inlineStr">
        <is>
          <t>.</t>
        </is>
      </c>
      <c r="AL789" t="inlineStr">
        <is>
          <t>.</t>
        </is>
      </c>
    </row>
    <row r="790">
      <c r="A790" t="inlineStr"/>
      <c r="B790">
        <f>HYPERLINK("https://genome.ucsc.edu/cgi-bin/hgTracks?db=hg19&amp;position=chr3%3A186461653%2D186461653", "chr3:186461653")</f>
        <v/>
      </c>
      <c r="C790" t="inlineStr">
        <is>
          <t>chr3</t>
        </is>
      </c>
      <c r="D790" t="n">
        <v>186461653</v>
      </c>
      <c r="E790" t="n">
        <v>186461653</v>
      </c>
      <c r="F790" t="inlineStr">
        <is>
          <t>-</t>
        </is>
      </c>
      <c r="G790" t="inlineStr">
        <is>
          <t>G</t>
        </is>
      </c>
      <c r="H790" t="inlineStr">
        <is>
          <t>31.60</t>
        </is>
      </c>
      <c r="I790" t="inlineStr">
        <is>
          <t>17</t>
        </is>
      </c>
      <c r="J790" t="inlineStr">
        <is>
          <t>15,2</t>
        </is>
      </c>
      <c r="K790" t="inlineStr">
        <is>
          <t>.</t>
        </is>
      </c>
      <c r="L790" t="inlineStr">
        <is>
          <t>.</t>
        </is>
      </c>
      <c r="M790">
        <f>HYPERLINK("https://www.genecards.org/Search/Keyword?queryString=%5Baliases%5D(%20KNG1%20)&amp;keywords=KNG1", "KNG1")</f>
        <v/>
      </c>
      <c r="N790" t="inlineStr">
        <is>
          <t>UTR3;ncRNA_intronic</t>
        </is>
      </c>
      <c r="O790" t="inlineStr">
        <is>
          <t>.</t>
        </is>
      </c>
      <c r="P790" t="inlineStr">
        <is>
          <t>NM_000893:c.*79_*80insG;NM_001102416:c.*1533_*1534insG;NM_001166451:c.*79_*80insG;uc003fqr.3:c.*79_*80insG;uc021xil.1:c.*79_*80insG</t>
        </is>
      </c>
      <c r="Q790" t="n">
        <v>-1</v>
      </c>
      <c r="R790" t="n">
        <v>-1</v>
      </c>
      <c r="S790" t="n">
        <v>-1</v>
      </c>
      <c r="T790" t="n">
        <v>-1</v>
      </c>
      <c r="U790" t="n">
        <v>-1</v>
      </c>
      <c r="V790" t="inlineStr">
        <is>
          <t>.</t>
        </is>
      </c>
      <c r="W790" t="inlineStr">
        <is>
          <t>.</t>
        </is>
      </c>
      <c r="X790" t="inlineStr">
        <is>
          <t>.</t>
        </is>
      </c>
      <c r="Y790" t="inlineStr">
        <is>
          <t>.</t>
        </is>
      </c>
      <c r="Z790" t="inlineStr">
        <is>
          <t>.</t>
        </is>
      </c>
      <c r="AA790" t="inlineStr">
        <is>
          <t>.</t>
        </is>
      </c>
      <c r="AB790" t="inlineStr">
        <is>
          <t>.</t>
        </is>
      </c>
      <c r="AC790" t="inlineStr">
        <is>
          <t>.</t>
        </is>
      </c>
      <c r="AD790" t="inlineStr">
        <is>
          <t>2</t>
        </is>
      </c>
      <c r="AE790" t="inlineStr">
        <is>
          <t>4.17299309157391e-08</t>
        </is>
      </c>
      <c r="AF790" t="inlineStr">
        <is>
          <t>kininogen 1</t>
        </is>
      </c>
      <c r="AG790" t="inlineStr">
        <is>
          <t xml:space="preserve">FUNCTION: (1) Kininogens are inhibitors of thiol proteases; (2) HMW-kininogen plays an important role in blood coagulation by helping to position optimally prekallikrein and factor XI next to factor XII; (3) HMW-kininogen inhibits the thrombin- and plasmin- induced aggregation of thrombocytes; (4) the active peptide bradykinin that is released from HMW-kininogen shows a variety of physiological effects: (4A) influence in smooth muscle contraction, (4B) induction of hypotension, (4C) natriuresis and diuresis, (4D) decrease in blood glucose level, (4E) it is a mediator of inflammation and causes (4E1) increase in vascular permeability, (4E2) stimulation of nociceptors (4E3) release of other mediators of inflammation (e.g. prostaglandins), (4F) it has a cardioprotective effect (directly via bradykinin action, indirectly via endothelium-derived relaxing factor action); (5) LMW-kininogen inhibits the aggregation of thrombocytes; (6) LMW- kininogen is in contrast to HMW-kininogen not involved in blood clotting.; </t>
        </is>
      </c>
      <c r="AH790" t="inlineStr">
        <is>
          <t xml:space="preserve">DISEASE: High molecular weight kininogen deficiency (HMWK deficiency) [MIM:228960]: Autosomal recessive coagulation defect. Patients with HWMK deficiency do not have a hemorrhagic tendency, but they exhibit abnormal surface-mediated activation of fibrinolysis. Note=The disease is caused by mutations affecting the gene represented in this entry.; </t>
        </is>
      </c>
      <c r="AI790" t="inlineStr">
        <is>
          <t>.</t>
        </is>
      </c>
      <c r="AJ790" t="inlineStr">
        <is>
          <t>.</t>
        </is>
      </c>
      <c r="AK790" t="inlineStr">
        <is>
          <t>.</t>
        </is>
      </c>
      <c r="AL790" t="inlineStr">
        <is>
          <t>.</t>
        </is>
      </c>
    </row>
    <row r="791">
      <c r="A791" t="inlineStr"/>
      <c r="B791">
        <f>HYPERLINK("https://genome.ucsc.edu/cgi-bin/hgTracks?db=hg19&amp;position=chr3%3A186461656%2D186461656", "chr3:186461656")</f>
        <v/>
      </c>
      <c r="C791" t="inlineStr">
        <is>
          <t>chr3</t>
        </is>
      </c>
      <c r="D791" t="n">
        <v>186461656</v>
      </c>
      <c r="E791" t="n">
        <v>186461656</v>
      </c>
      <c r="F791" t="inlineStr">
        <is>
          <t>A</t>
        </is>
      </c>
      <c r="G791" t="inlineStr">
        <is>
          <t>T</t>
        </is>
      </c>
      <c r="H791" t="inlineStr">
        <is>
          <t>31.64</t>
        </is>
      </c>
      <c r="I791" t="inlineStr">
        <is>
          <t>17</t>
        </is>
      </c>
      <c r="J791" t="inlineStr">
        <is>
          <t>15,2</t>
        </is>
      </c>
      <c r="K791" t="inlineStr">
        <is>
          <t>.</t>
        </is>
      </c>
      <c r="L791" t="inlineStr">
        <is>
          <t>.</t>
        </is>
      </c>
      <c r="M791">
        <f>HYPERLINK("https://www.genecards.org/Search/Keyword?queryString=%5Baliases%5D(%20KNG1%20)&amp;keywords=KNG1", "KNG1")</f>
        <v/>
      </c>
      <c r="N791" t="inlineStr">
        <is>
          <t>UTR3;ncRNA_intronic</t>
        </is>
      </c>
      <c r="O791" t="inlineStr">
        <is>
          <t>.</t>
        </is>
      </c>
      <c r="P791" t="inlineStr">
        <is>
          <t>NM_000893:c.*82A&gt;T;NM_001102416:c.*1536A&gt;T;NM_001166451:c.*82A&gt;T;uc003fqr.3:c.*82A&gt;T;uc021xil.1:c.*82A&gt;T</t>
        </is>
      </c>
      <c r="Q791" t="n">
        <v>-1</v>
      </c>
      <c r="R791" t="n">
        <v>-1</v>
      </c>
      <c r="S791" t="n">
        <v>-1</v>
      </c>
      <c r="T791" t="n">
        <v>-1</v>
      </c>
      <c r="U791" t="n">
        <v>-1</v>
      </c>
      <c r="V791" t="inlineStr">
        <is>
          <t>.</t>
        </is>
      </c>
      <c r="W791" t="inlineStr">
        <is>
          <t>.</t>
        </is>
      </c>
      <c r="X791" t="inlineStr">
        <is>
          <t>.</t>
        </is>
      </c>
      <c r="Y791" t="inlineStr">
        <is>
          <t>.</t>
        </is>
      </c>
      <c r="Z791" t="inlineStr">
        <is>
          <t>.</t>
        </is>
      </c>
      <c r="AA791" t="inlineStr">
        <is>
          <t>.</t>
        </is>
      </c>
      <c r="AB791" t="inlineStr">
        <is>
          <t>.</t>
        </is>
      </c>
      <c r="AC791" t="inlineStr">
        <is>
          <t>.</t>
        </is>
      </c>
      <c r="AD791" t="inlineStr">
        <is>
          <t>2</t>
        </is>
      </c>
      <c r="AE791" t="inlineStr">
        <is>
          <t>4.17299309157391e-08</t>
        </is>
      </c>
      <c r="AF791" t="inlineStr">
        <is>
          <t>kininogen 1</t>
        </is>
      </c>
      <c r="AG791" t="inlineStr">
        <is>
          <t xml:space="preserve">FUNCTION: (1) Kininogens are inhibitors of thiol proteases; (2) HMW-kininogen plays an important role in blood coagulation by helping to position optimally prekallikrein and factor XI next to factor XII; (3) HMW-kininogen inhibits the thrombin- and plasmin- induced aggregation of thrombocytes; (4) the active peptide bradykinin that is released from HMW-kininogen shows a variety of physiological effects: (4A) influence in smooth muscle contraction, (4B) induction of hypotension, (4C) natriuresis and diuresis, (4D) decrease in blood glucose level, (4E) it is a mediator of inflammation and causes (4E1) increase in vascular permeability, (4E2) stimulation of nociceptors (4E3) release of other mediators of inflammation (e.g. prostaglandins), (4F) it has a cardioprotective effect (directly via bradykinin action, indirectly via endothelium-derived relaxing factor action); (5) LMW-kininogen inhibits the aggregation of thrombocytes; (6) LMW- kininogen is in contrast to HMW-kininogen not involved in blood clotting.; </t>
        </is>
      </c>
      <c r="AH791" t="inlineStr">
        <is>
          <t xml:space="preserve">DISEASE: High molecular weight kininogen deficiency (HMWK deficiency) [MIM:228960]: Autosomal recessive coagulation defect. Patients with HWMK deficiency do not have a hemorrhagic tendency, but they exhibit abnormal surface-mediated activation of fibrinolysis. Note=The disease is caused by mutations affecting the gene represented in this entry.; </t>
        </is>
      </c>
      <c r="AI791" t="inlineStr">
        <is>
          <t>.</t>
        </is>
      </c>
      <c r="AJ791" t="inlineStr">
        <is>
          <t>.</t>
        </is>
      </c>
      <c r="AK791" t="inlineStr">
        <is>
          <t>.</t>
        </is>
      </c>
      <c r="AL791" t="inlineStr">
        <is>
          <t>.</t>
        </is>
      </c>
    </row>
    <row r="792">
      <c r="A792" t="inlineStr"/>
      <c r="B792">
        <f>HYPERLINK("https://genome.ucsc.edu/cgi-bin/hgTracks?db=hg19&amp;position=chr3%3A193272443%2D193272456", "chr3:193272443")</f>
        <v/>
      </c>
      <c r="C792" t="inlineStr">
        <is>
          <t>chr3</t>
        </is>
      </c>
      <c r="D792" t="n">
        <v>193272443</v>
      </c>
      <c r="E792" t="n">
        <v>193272456</v>
      </c>
      <c r="F792" t="inlineStr">
        <is>
          <t>GTGTGTGTGTGTGT</t>
        </is>
      </c>
      <c r="G792" t="inlineStr">
        <is>
          <t>-</t>
        </is>
      </c>
      <c r="H792" t="inlineStr">
        <is>
          <t>1367.02</t>
        </is>
      </c>
      <c r="I792" t="inlineStr">
        <is>
          <t>40</t>
        </is>
      </c>
      <c r="J792" t="inlineStr">
        <is>
          <t>1,9,26</t>
        </is>
      </c>
      <c r="K792" t="inlineStr">
        <is>
          <t>.</t>
        </is>
      </c>
      <c r="L792" t="inlineStr">
        <is>
          <t>.</t>
        </is>
      </c>
      <c r="M792">
        <f>HYPERLINK("https://www.genecards.org/Search/Keyword?queryString=%5Baliases%5D(%20ATP13A4%20)%20OR%20%5Baliases%5D(%20ATP13A4-AS1%20)&amp;keywords=ATP13A4,ATP13A4-AS1", "ATP13A4;ATP13A4-AS1")</f>
        <v/>
      </c>
      <c r="N792" t="inlineStr">
        <is>
          <t>intronic;ncRNA_exonic</t>
        </is>
      </c>
      <c r="O792" t="inlineStr">
        <is>
          <t>.</t>
        </is>
      </c>
      <c r="P792" t="inlineStr">
        <is>
          <t>.</t>
        </is>
      </c>
      <c r="Q792" t="n">
        <v>0.0015368</v>
      </c>
      <c r="R792" t="n">
        <v>-1</v>
      </c>
      <c r="S792" t="n">
        <v>-1</v>
      </c>
      <c r="T792" t="n">
        <v>-1</v>
      </c>
      <c r="U792" t="n">
        <v>-1</v>
      </c>
      <c r="V792" t="inlineStr">
        <is>
          <t>.</t>
        </is>
      </c>
      <c r="W792" t="inlineStr">
        <is>
          <t>.</t>
        </is>
      </c>
      <c r="X792" t="inlineStr">
        <is>
          <t>.</t>
        </is>
      </c>
      <c r="Y792" t="inlineStr">
        <is>
          <t>.</t>
        </is>
      </c>
      <c r="Z792" t="inlineStr">
        <is>
          <t>.</t>
        </is>
      </c>
      <c r="AA792" t="inlineStr">
        <is>
          <t>.</t>
        </is>
      </c>
      <c r="AB792" t="inlineStr">
        <is>
          <t>.</t>
        </is>
      </c>
      <c r="AC792" t="inlineStr">
        <is>
          <t>1/2</t>
        </is>
      </c>
      <c r="AD792" t="inlineStr">
        <is>
          <t>2;2</t>
        </is>
      </c>
      <c r="AE792" t="inlineStr">
        <is>
          <t>6.07648654021509e-10</t>
        </is>
      </c>
      <c r="AF792" t="inlineStr">
        <is>
          <t>ATP13A4 antisense RNA 1;ATPase 13A4</t>
        </is>
      </c>
      <c r="AG792" t="inlineStr">
        <is>
          <t>.</t>
        </is>
      </c>
      <c r="AH792" t="inlineStr">
        <is>
          <t xml:space="preserve">DISEASE: Note=A chromosomal aberration involving ATP13A4 is found in 2 patients with specific language impairment (SLI) disorders. Paracentric inversion inv(3)(q25;q29). The inversion produces a disruption of the protein. {ECO:0000269|PubMed:15925480}.; </t>
        </is>
      </c>
      <c r="AI792" t="inlineStr">
        <is>
          <t>.</t>
        </is>
      </c>
      <c r="AJ792" t="inlineStr">
        <is>
          <t>.</t>
        </is>
      </c>
      <c r="AK792" t="inlineStr">
        <is>
          <t>.</t>
        </is>
      </c>
      <c r="AL792" t="inlineStr">
        <is>
          <t>.</t>
        </is>
      </c>
    </row>
    <row r="793">
      <c r="A793" t="inlineStr"/>
      <c r="B793">
        <f>HYPERLINK("https://genome.ucsc.edu/cgi-bin/hgTracks?db=hg19&amp;position=chr3%3A193272445%2D193272456", "chr3:193272445")</f>
        <v/>
      </c>
      <c r="C793" t="inlineStr">
        <is>
          <t>chr3</t>
        </is>
      </c>
      <c r="D793" t="n">
        <v>193272445</v>
      </c>
      <c r="E793" t="n">
        <v>193272456</v>
      </c>
      <c r="F793" t="inlineStr">
        <is>
          <t>GTGTGTGTGTGT</t>
        </is>
      </c>
      <c r="G793" t="inlineStr">
        <is>
          <t>-</t>
        </is>
      </c>
      <c r="H793" t="inlineStr">
        <is>
          <t>1367.02</t>
        </is>
      </c>
      <c r="I793" t="inlineStr">
        <is>
          <t>40</t>
        </is>
      </c>
      <c r="J793" t="inlineStr">
        <is>
          <t>1,9,26</t>
        </is>
      </c>
      <c r="K793" t="inlineStr">
        <is>
          <t>.</t>
        </is>
      </c>
      <c r="L793" t="inlineStr">
        <is>
          <t>.</t>
        </is>
      </c>
      <c r="M793">
        <f>HYPERLINK("https://www.genecards.org/Search/Keyword?queryString=%5Baliases%5D(%20ATP13A4%20)%20OR%20%5Baliases%5D(%20ATP13A4-AS1%20)&amp;keywords=ATP13A4,ATP13A4-AS1", "ATP13A4;ATP13A4-AS1")</f>
        <v/>
      </c>
      <c r="N793" t="inlineStr">
        <is>
          <t>intronic;ncRNA_exonic</t>
        </is>
      </c>
      <c r="O793" t="inlineStr">
        <is>
          <t>.</t>
        </is>
      </c>
      <c r="P793" t="inlineStr">
        <is>
          <t>.</t>
        </is>
      </c>
      <c r="Q793" t="n">
        <v>-1</v>
      </c>
      <c r="R793" t="n">
        <v>-1</v>
      </c>
      <c r="S793" t="n">
        <v>-1</v>
      </c>
      <c r="T793" t="n">
        <v>-1</v>
      </c>
      <c r="U793" t="n">
        <v>-1</v>
      </c>
      <c r="V793" t="inlineStr">
        <is>
          <t>.</t>
        </is>
      </c>
      <c r="W793" t="inlineStr">
        <is>
          <t>.</t>
        </is>
      </c>
      <c r="X793" t="inlineStr">
        <is>
          <t>.</t>
        </is>
      </c>
      <c r="Y793" t="inlineStr">
        <is>
          <t>.</t>
        </is>
      </c>
      <c r="Z793" t="inlineStr">
        <is>
          <t>.</t>
        </is>
      </c>
      <c r="AA793" t="inlineStr">
        <is>
          <t>.</t>
        </is>
      </c>
      <c r="AB793" t="inlineStr">
        <is>
          <t>.</t>
        </is>
      </c>
      <c r="AC793" t="inlineStr">
        <is>
          <t>1/2</t>
        </is>
      </c>
      <c r="AD793" t="inlineStr">
        <is>
          <t>2;2</t>
        </is>
      </c>
      <c r="AE793" t="inlineStr">
        <is>
          <t>6.07648654021509e-10</t>
        </is>
      </c>
      <c r="AF793" t="inlineStr">
        <is>
          <t>ATP13A4 antisense RNA 1;ATPase 13A4</t>
        </is>
      </c>
      <c r="AG793" t="inlineStr">
        <is>
          <t>.</t>
        </is>
      </c>
      <c r="AH793" t="inlineStr">
        <is>
          <t xml:space="preserve">DISEASE: Note=A chromosomal aberration involving ATP13A4 is found in 2 patients with specific language impairment (SLI) disorders. Paracentric inversion inv(3)(q25;q29). The inversion produces a disruption of the protein. {ECO:0000269|PubMed:15925480}.; </t>
        </is>
      </c>
      <c r="AI793" t="inlineStr">
        <is>
          <t>.</t>
        </is>
      </c>
      <c r="AJ793" t="inlineStr">
        <is>
          <t>.</t>
        </is>
      </c>
      <c r="AK793" t="inlineStr">
        <is>
          <t>.</t>
        </is>
      </c>
      <c r="AL793" t="inlineStr">
        <is>
          <t>.</t>
        </is>
      </c>
    </row>
    <row r="794">
      <c r="A794" t="inlineStr"/>
      <c r="B794">
        <f>HYPERLINK("https://genome.ucsc.edu/cgi-bin/hgTracks?db=hg19&amp;position=chr3%3A195943349%2D195943349", "chr3:195943349")</f>
        <v/>
      </c>
      <c r="C794" t="inlineStr">
        <is>
          <t>chr3</t>
        </is>
      </c>
      <c r="D794" t="n">
        <v>195943349</v>
      </c>
      <c r="E794" t="n">
        <v>195943349</v>
      </c>
      <c r="F794" t="inlineStr">
        <is>
          <t>T</t>
        </is>
      </c>
      <c r="G794" t="inlineStr">
        <is>
          <t>C</t>
        </is>
      </c>
      <c r="H794" t="inlineStr">
        <is>
          <t>47.64</t>
        </is>
      </c>
      <c r="I794" t="inlineStr">
        <is>
          <t>8</t>
        </is>
      </c>
      <c r="J794" t="inlineStr">
        <is>
          <t>6,2</t>
        </is>
      </c>
      <c r="K794" t="inlineStr">
        <is>
          <t>.</t>
        </is>
      </c>
      <c r="L794" t="inlineStr">
        <is>
          <t>.</t>
        </is>
      </c>
      <c r="M794" t="inlineStr">
        <is>
          <t>.</t>
        </is>
      </c>
      <c r="N794" t="inlineStr">
        <is>
          <t>upstream</t>
        </is>
      </c>
      <c r="O794" t="inlineStr">
        <is>
          <t>.</t>
        </is>
      </c>
      <c r="P794" t="inlineStr">
        <is>
          <t>dist=56;dist=34;dist=56</t>
        </is>
      </c>
      <c r="Q794" t="n">
        <v>-1</v>
      </c>
      <c r="R794" t="n">
        <v>-1</v>
      </c>
      <c r="S794" t="n">
        <v>-1</v>
      </c>
      <c r="T794" t="n">
        <v>-1</v>
      </c>
      <c r="U794" t="n">
        <v>-1</v>
      </c>
      <c r="V794" t="inlineStr">
        <is>
          <t>.</t>
        </is>
      </c>
      <c r="W794" t="inlineStr">
        <is>
          <t>.</t>
        </is>
      </c>
      <c r="X794" t="inlineStr">
        <is>
          <t>PD</t>
        </is>
      </c>
      <c r="Y794" t="inlineStr">
        <is>
          <t>off</t>
        </is>
      </c>
      <c r="Z794" t="inlineStr">
        <is>
          <t>.</t>
        </is>
      </c>
      <c r="AA794" t="inlineStr">
        <is>
          <t>.</t>
        </is>
      </c>
      <c r="AB794" t="inlineStr">
        <is>
          <t>.</t>
        </is>
      </c>
      <c r="AC794" t="inlineStr">
        <is>
          <t>0/1</t>
        </is>
      </c>
      <c r="AD794" t="inlineStr">
        <is>
          <t>6</t>
        </is>
      </c>
      <c r="AE794" t="inlineStr">
        <is>
          <t>.</t>
        </is>
      </c>
      <c r="AF794" t="inlineStr">
        <is>
          <t>.</t>
        </is>
      </c>
      <c r="AG794" t="inlineStr">
        <is>
          <t>.</t>
        </is>
      </c>
      <c r="AH794" t="inlineStr">
        <is>
          <t>.</t>
        </is>
      </c>
      <c r="AI794" t="inlineStr">
        <is>
          <t>.</t>
        </is>
      </c>
      <c r="AJ794" t="inlineStr">
        <is>
          <t>.</t>
        </is>
      </c>
      <c r="AK794" t="inlineStr">
        <is>
          <t>.</t>
        </is>
      </c>
      <c r="AL794" t="inlineStr">
        <is>
          <t>.</t>
        </is>
      </c>
    </row>
    <row r="795">
      <c r="A795" t="inlineStr"/>
      <c r="B795">
        <f>HYPERLINK("https://genome.ucsc.edu/cgi-bin/hgTracks?db=hg19&amp;position=chr4%3A248289%2D248289", "chr4:248289")</f>
        <v/>
      </c>
      <c r="C795" t="inlineStr">
        <is>
          <t>chr4</t>
        </is>
      </c>
      <c r="D795" t="n">
        <v>248289</v>
      </c>
      <c r="E795" t="n">
        <v>248289</v>
      </c>
      <c r="F795" t="inlineStr">
        <is>
          <t>-</t>
        </is>
      </c>
      <c r="G795" t="inlineStr">
        <is>
          <t>GG</t>
        </is>
      </c>
      <c r="H795" t="inlineStr">
        <is>
          <t>52.60</t>
        </is>
      </c>
      <c r="I795" t="inlineStr">
        <is>
          <t>10</t>
        </is>
      </c>
      <c r="J795" t="inlineStr">
        <is>
          <t>8,2</t>
        </is>
      </c>
      <c r="K795" t="inlineStr">
        <is>
          <t>.</t>
        </is>
      </c>
      <c r="L795" t="inlineStr">
        <is>
          <t>.</t>
        </is>
      </c>
      <c r="M795">
        <f>HYPERLINK("https://www.genecards.org/Search/Keyword?queryString=%5Baliases%5D(%20ZNF876P%20)&amp;keywords=ZNF876P", "ZNF876P")</f>
        <v/>
      </c>
      <c r="N795" t="inlineStr">
        <is>
          <t>exonic;intergenic;ncRNA_exonic</t>
        </is>
      </c>
      <c r="O795" t="inlineStr">
        <is>
          <t>frameshift insertion</t>
        </is>
      </c>
      <c r="P795" t="inlineStr">
        <is>
          <t>ZNF876P:uc010iba.4:exon2:c.258_259insGG:p.K89Rfs*47;dist=30177;dist=16175</t>
        </is>
      </c>
      <c r="Q795" t="n">
        <v>-1</v>
      </c>
      <c r="R795" t="n">
        <v>-1</v>
      </c>
      <c r="S795" t="n">
        <v>-1</v>
      </c>
      <c r="T795" t="n">
        <v>-1</v>
      </c>
      <c r="U795" t="n">
        <v>-1</v>
      </c>
      <c r="V795" t="inlineStr">
        <is>
          <t>.</t>
        </is>
      </c>
      <c r="W795" t="inlineStr">
        <is>
          <t>.</t>
        </is>
      </c>
      <c r="X795" t="inlineStr">
        <is>
          <t>.</t>
        </is>
      </c>
      <c r="Y795" t="inlineStr">
        <is>
          <t>.</t>
        </is>
      </c>
      <c r="Z795" t="inlineStr">
        <is>
          <t>.</t>
        </is>
      </c>
      <c r="AA795" t="inlineStr">
        <is>
          <t>.</t>
        </is>
      </c>
      <c r="AB795" t="inlineStr">
        <is>
          <t>.</t>
        </is>
      </c>
      <c r="AC795" t="inlineStr">
        <is>
          <t>.</t>
        </is>
      </c>
      <c r="AD795" t="inlineStr">
        <is>
          <t>1</t>
        </is>
      </c>
      <c r="AE795" t="inlineStr">
        <is>
          <t>.</t>
        </is>
      </c>
      <c r="AF795" t="inlineStr">
        <is>
          <t>zinc finger protein 876, pseudogene</t>
        </is>
      </c>
      <c r="AG795" t="inlineStr">
        <is>
          <t xml:space="preserve">FUNCTION: May be involved in transcriptional regulation. {ECO:0000250}.; </t>
        </is>
      </c>
      <c r="AH795" t="inlineStr">
        <is>
          <t>.</t>
        </is>
      </c>
      <c r="AI795" t="inlineStr">
        <is>
          <t>.</t>
        </is>
      </c>
      <c r="AJ795" t="inlineStr">
        <is>
          <t>.</t>
        </is>
      </c>
      <c r="AK795" t="inlineStr">
        <is>
          <t>.</t>
        </is>
      </c>
      <c r="AL795" t="inlineStr">
        <is>
          <t>.</t>
        </is>
      </c>
    </row>
    <row r="796">
      <c r="A796" t="inlineStr"/>
      <c r="B796">
        <f>HYPERLINK("https://genome.ucsc.edu/cgi-bin/hgTracks?db=hg19&amp;position=chr4%3A675949%2D675949", "chr4:675949")</f>
        <v/>
      </c>
      <c r="C796" t="inlineStr">
        <is>
          <t>chr4</t>
        </is>
      </c>
      <c r="D796" t="n">
        <v>675949</v>
      </c>
      <c r="E796" t="n">
        <v>675949</v>
      </c>
      <c r="F796" t="inlineStr">
        <is>
          <t>G</t>
        </is>
      </c>
      <c r="G796" t="inlineStr">
        <is>
          <t>A</t>
        </is>
      </c>
      <c r="H796" t="inlineStr">
        <is>
          <t>1022.64</t>
        </is>
      </c>
      <c r="I796" t="inlineStr">
        <is>
          <t>61</t>
        </is>
      </c>
      <c r="J796" t="inlineStr">
        <is>
          <t>20,41</t>
        </is>
      </c>
      <c r="K796" t="inlineStr">
        <is>
          <t>.</t>
        </is>
      </c>
      <c r="L796">
        <f>HYPERLINK("https://www.ncbi.nlm.nih.gov/snp/rs183765686", "rs183765686")</f>
        <v/>
      </c>
      <c r="M796">
        <f>HYPERLINK("https://www.genecards.org/Search/Keyword?queryString=%5Baliases%5D(%20MFSD7%20)%20OR%20%5Baliases%5D(%20SLC49A3%20)&amp;keywords=MFSD7,SLC49A3", "MFSD7;SLC49A3")</f>
        <v/>
      </c>
      <c r="N796" t="inlineStr">
        <is>
          <t>exonic</t>
        </is>
      </c>
      <c r="O796" t="inlineStr">
        <is>
          <t>nonsynonymous SNV;stopgain</t>
        </is>
      </c>
      <c r="P796" t="inlineStr">
        <is>
          <t>SLC49A3:NM_001294342:exon8:c.C1124T:p.A375V,SLC49A3:NM_001378059:exon8:c.C1190T:p.A397V,SLC49A3:NM_001378060:exon8:c.C1187T:p.A396V,SLC49A3:NM_001378062:exon8:c.C1121T:p.A374V,SLC49A3:NM_001378061:exon9:c.C1244T:p.A415V,SLC49A3:NM_001294341:exon10:c.C1481T:p.A494V,SLC49A3:NM_032219:exon10:c.C1478T:p.A493V;MFSD7:uc003gaw.3:exon6:c.C707T:p.A236V,MFSD7:uc003gaz.3:exon8:c.C1124T:p.A375V,MFSD7:uc003gax.3:exon10:c.C1478T:p.A493V,MFSD7:uc003gay.3:exon10:c.C1481T:p.A494V;SLC49A3:ENST00000503156.5_6:exon10:c.C1246T:p.R416X</t>
        </is>
      </c>
      <c r="Q796" t="n">
        <v>0.0169</v>
      </c>
      <c r="R796" t="n">
        <v>0.0161</v>
      </c>
      <c r="S796" t="n">
        <v>0.0164</v>
      </c>
      <c r="T796" t="n">
        <v>-1</v>
      </c>
      <c r="U796" t="n">
        <v>0.0203</v>
      </c>
      <c r="V796" t="inlineStr">
        <is>
          <t>3/9</t>
        </is>
      </c>
      <c r="W796" t="inlineStr">
        <is>
          <t>.</t>
        </is>
      </c>
      <c r="X796" t="inlineStr">
        <is>
          <t>.</t>
        </is>
      </c>
      <c r="Y796" t="inlineStr">
        <is>
          <t>.</t>
        </is>
      </c>
      <c r="Z796" t="inlineStr">
        <is>
          <t>0/7</t>
        </is>
      </c>
      <c r="AA796" t="inlineStr">
        <is>
          <t>Likely benign</t>
        </is>
      </c>
      <c r="AB796" t="inlineStr">
        <is>
          <t>.</t>
        </is>
      </c>
      <c r="AC796" t="inlineStr">
        <is>
          <t>0/1</t>
        </is>
      </c>
      <c r="AD796" t="inlineStr">
        <is>
          <t>1;1</t>
        </is>
      </c>
      <c r="AE796" t="inlineStr">
        <is>
          <t>2.75660020784589e-12</t>
        </is>
      </c>
      <c r="AF796" t="inlineStr">
        <is>
          <t>major facilitator superfamily domain containing 7</t>
        </is>
      </c>
      <c r="AG796" t="inlineStr">
        <is>
          <t>.</t>
        </is>
      </c>
      <c r="AH796" t="inlineStr">
        <is>
          <t>.</t>
        </is>
      </c>
      <c r="AI796" t="inlineStr">
        <is>
          <t>.</t>
        </is>
      </c>
      <c r="AJ796" t="inlineStr">
        <is>
          <t>.</t>
        </is>
      </c>
      <c r="AK796" t="inlineStr">
        <is>
          <t>.</t>
        </is>
      </c>
      <c r="AL796" t="inlineStr">
        <is>
          <t>.</t>
        </is>
      </c>
    </row>
    <row r="797">
      <c r="A797" t="inlineStr"/>
      <c r="B797">
        <f>HYPERLINK("https://genome.ucsc.edu/cgi-bin/hgTracks?db=hg19&amp;position=chr4%3A1017613%2D1017613", "chr4:1017613")</f>
        <v/>
      </c>
      <c r="C797" t="inlineStr">
        <is>
          <t>chr4</t>
        </is>
      </c>
      <c r="D797" t="n">
        <v>1017613</v>
      </c>
      <c r="E797" t="n">
        <v>1017613</v>
      </c>
      <c r="F797" t="inlineStr">
        <is>
          <t>C</t>
        </is>
      </c>
      <c r="G797" t="inlineStr">
        <is>
          <t>T</t>
        </is>
      </c>
      <c r="H797" t="inlineStr">
        <is>
          <t>777.64</t>
        </is>
      </c>
      <c r="I797" t="inlineStr">
        <is>
          <t>96</t>
        </is>
      </c>
      <c r="J797" t="inlineStr">
        <is>
          <t>63,33</t>
        </is>
      </c>
      <c r="K797" t="inlineStr">
        <is>
          <t>.</t>
        </is>
      </c>
      <c r="L797">
        <f>HYPERLINK("https://www.ncbi.nlm.nih.gov/snp/rs201696860", "rs201696860")</f>
        <v/>
      </c>
      <c r="M797">
        <f>HYPERLINK("https://www.genecards.org/Search/Keyword?queryString=%5Baliases%5D(%20FGFRL1%20)&amp;keywords=FGFRL1", "FGFRL1")</f>
        <v/>
      </c>
      <c r="N797" t="inlineStr">
        <is>
          <t>exonic</t>
        </is>
      </c>
      <c r="O797" t="inlineStr">
        <is>
          <t>nonsynonymous SNV</t>
        </is>
      </c>
      <c r="P797" t="inlineStr">
        <is>
          <t>FGFRL1:NM_021923:exon4:c.C442T:p.R148C,FGFRL1:NM_001004356:exon5:c.C442T:p.R148C,FGFRL1:NM_001004358:exon5:c.C442T:p.R148C,FGFRL1:NM_001370296:exon5:c.C442T:p.R148C;FGFRL1:uc003gce.3:exon5:c.C442T:p.R148C,FGFRL1:uc003gcf.3:exon5:c.C442T:p.R148C,FGFRL1:uc003gcg.3:exon5:c.C442T:p.R148C,FGFRL1:uc010ibo.3:exon5:c.C442T:p.R148C;FGFRL1:ENST00000264748.6_1:exon4:c.C442T:p.R148C,FGFRL1:ENST00000504138.5_1:exon5:c.C442T:p.R148C,FGFRL1:ENST00000510644.6_3:exon5:c.C442T:p.R148C,FGFRL1:ENST00000398484.6_1:exon6:c.C442T:p.R148C</t>
        </is>
      </c>
      <c r="Q797" t="n">
        <v>0.008621</v>
      </c>
      <c r="R797" t="n">
        <v>0.0014</v>
      </c>
      <c r="S797" t="n">
        <v>0.0015</v>
      </c>
      <c r="T797" t="n">
        <v>-1</v>
      </c>
      <c r="U797" t="n">
        <v>0.0018</v>
      </c>
      <c r="V797" t="inlineStr">
        <is>
          <t>8/11</t>
        </is>
      </c>
      <c r="W797" t="inlineStr">
        <is>
          <t>.</t>
        </is>
      </c>
      <c r="X797" t="inlineStr">
        <is>
          <t>.</t>
        </is>
      </c>
      <c r="Y797" t="inlineStr">
        <is>
          <t>.</t>
        </is>
      </c>
      <c r="Z797" t="inlineStr">
        <is>
          <t>1/7</t>
        </is>
      </c>
      <c r="AA797" t="inlineStr">
        <is>
          <t>Uncertain significance</t>
        </is>
      </c>
      <c r="AB797" t="inlineStr">
        <is>
          <t>.</t>
        </is>
      </c>
      <c r="AC797" t="inlineStr">
        <is>
          <t>0/1</t>
        </is>
      </c>
      <c r="AD797" t="inlineStr">
        <is>
          <t>1</t>
        </is>
      </c>
      <c r="AE797" t="inlineStr">
        <is>
          <t>0.582186675448565</t>
        </is>
      </c>
      <c r="AF797" t="inlineStr">
        <is>
          <t>fibroblast growth factor receptor-like 1</t>
        </is>
      </c>
      <c r="AG797" t="inlineStr">
        <is>
          <t xml:space="preserve">FUNCTION: Has a negative effect on cell proliferation. {ECO:0000250}.; </t>
        </is>
      </c>
      <c r="AH797" t="inlineStr">
        <is>
          <t>.</t>
        </is>
      </c>
      <c r="AI797" t="inlineStr">
        <is>
          <t>.</t>
        </is>
      </c>
      <c r="AJ797" t="inlineStr">
        <is>
          <t>.</t>
        </is>
      </c>
      <c r="AK797" t="inlineStr">
        <is>
          <t>.</t>
        </is>
      </c>
      <c r="AL797" t="inlineStr">
        <is>
          <t>.</t>
        </is>
      </c>
    </row>
    <row r="798">
      <c r="A798" t="inlineStr"/>
      <c r="B798">
        <f>HYPERLINK("https://genome.ucsc.edu/cgi-bin/hgTracks?db=hg19&amp;position=chr4%3A1388350%2D1388350", "chr4:1388350")</f>
        <v/>
      </c>
      <c r="C798" t="inlineStr">
        <is>
          <t>chr4</t>
        </is>
      </c>
      <c r="D798" t="n">
        <v>1388350</v>
      </c>
      <c r="E798" t="n">
        <v>1388350</v>
      </c>
      <c r="F798" t="inlineStr">
        <is>
          <t>-</t>
        </is>
      </c>
      <c r="G798" t="inlineStr">
        <is>
          <t>TGCCCATGTGGAGTGCCCGCCTGCTCACACA</t>
        </is>
      </c>
      <c r="H798" t="inlineStr">
        <is>
          <t>2232.60</t>
        </is>
      </c>
      <c r="I798" t="inlineStr">
        <is>
          <t>121</t>
        </is>
      </c>
      <c r="J798" t="inlineStr">
        <is>
          <t>62,59</t>
        </is>
      </c>
      <c r="K798" t="inlineStr">
        <is>
          <t>.</t>
        </is>
      </c>
      <c r="L798">
        <f>HYPERLINK("https://www.ncbi.nlm.nih.gov/snp/rs750778284", "rs750778284")</f>
        <v/>
      </c>
      <c r="M798">
        <f>HYPERLINK("https://www.genecards.org/Search/Keyword?queryString=%5Baliases%5D(%20CRIPAK%20)&amp;keywords=CRIPAK", "CRIPAK")</f>
        <v/>
      </c>
      <c r="N798" t="inlineStr">
        <is>
          <t>UTR3;exonic;intergenic</t>
        </is>
      </c>
      <c r="O798" t="inlineStr">
        <is>
          <t>frameshift insertion</t>
        </is>
      </c>
      <c r="P798" t="inlineStr">
        <is>
          <t>dist=6513;dist=8370;CRIPAK:uc003gdf.2:exon1:c.51_52insTGCCCATGTGGAGTGCCCGCCTGCTCACACA:p.C27Hfs*391;ENST00000511216.6_6:c.*8601_*8602insTGCCCATGTGGAGTGCCCGCCTGCTCACACA</t>
        </is>
      </c>
      <c r="Q798" t="n">
        <v>0.0010543</v>
      </c>
      <c r="R798" t="n">
        <v>-1</v>
      </c>
      <c r="S798" t="n">
        <v>-1</v>
      </c>
      <c r="T798" t="n">
        <v>-1</v>
      </c>
      <c r="U798" t="n">
        <v>-1</v>
      </c>
      <c r="V798" t="inlineStr">
        <is>
          <t>.</t>
        </is>
      </c>
      <c r="W798" t="inlineStr">
        <is>
          <t>.</t>
        </is>
      </c>
      <c r="X798" t="inlineStr">
        <is>
          <t>.</t>
        </is>
      </c>
      <c r="Y798" t="inlineStr">
        <is>
          <t>.</t>
        </is>
      </c>
      <c r="Z798" t="inlineStr">
        <is>
          <t>.</t>
        </is>
      </c>
      <c r="AA798" t="inlineStr">
        <is>
          <t>.</t>
        </is>
      </c>
      <c r="AB798" t="inlineStr">
        <is>
          <t>.</t>
        </is>
      </c>
      <c r="AC798" t="inlineStr">
        <is>
          <t>.</t>
        </is>
      </c>
      <c r="AD798" t="inlineStr">
        <is>
          <t>2</t>
        </is>
      </c>
      <c r="AE798" t="inlineStr">
        <is>
          <t>2.43127197997244e-12</t>
        </is>
      </c>
      <c r="AF798" t="inlineStr">
        <is>
          <t>cysteine rich PAK1 inhibitor</t>
        </is>
      </c>
      <c r="AG798" t="inlineStr">
        <is>
          <t xml:space="preserve">FUNCTION: Negative regulator of PAK1. It has been suggested that the lost of CRIPAK in breast tumors might contribute to hormonal independence. {ECO:0000269|PubMed:16278681}.; </t>
        </is>
      </c>
      <c r="AH798" t="inlineStr">
        <is>
          <t>.</t>
        </is>
      </c>
      <c r="AI798" t="inlineStr">
        <is>
          <t>.</t>
        </is>
      </c>
      <c r="AJ798" t="inlineStr">
        <is>
          <t>.</t>
        </is>
      </c>
      <c r="AK798" t="inlineStr">
        <is>
          <t>.</t>
        </is>
      </c>
      <c r="AL798" t="inlineStr">
        <is>
          <t>.</t>
        </is>
      </c>
    </row>
    <row r="799">
      <c r="A799" t="inlineStr"/>
      <c r="B799">
        <f>HYPERLINK("https://genome.ucsc.edu/cgi-bin/hgTracks?db=hg19&amp;position=chr4%3A1388756%2D1388756", "chr4:1388756")</f>
        <v/>
      </c>
      <c r="C799" t="inlineStr">
        <is>
          <t>chr4</t>
        </is>
      </c>
      <c r="D799" t="n">
        <v>1388756</v>
      </c>
      <c r="E799" t="n">
        <v>1388756</v>
      </c>
      <c r="F799" t="inlineStr">
        <is>
          <t>-</t>
        </is>
      </c>
      <c r="G799" t="inlineStr">
        <is>
          <t>CACG</t>
        </is>
      </c>
      <c r="H799" t="inlineStr">
        <is>
          <t>623.60</t>
        </is>
      </c>
      <c r="I799" t="inlineStr">
        <is>
          <t>87</t>
        </is>
      </c>
      <c r="J799" t="inlineStr">
        <is>
          <t>65,22</t>
        </is>
      </c>
      <c r="K799" t="inlineStr">
        <is>
          <t>.</t>
        </is>
      </c>
      <c r="L799" t="inlineStr">
        <is>
          <t>.</t>
        </is>
      </c>
      <c r="M799">
        <f>HYPERLINK("https://www.genecards.org/Search/Keyword?queryString=%5Baliases%5D(%20CRIPAK%20)&amp;keywords=CRIPAK", "CRIPAK")</f>
        <v/>
      </c>
      <c r="N799" t="inlineStr">
        <is>
          <t>UTR3;exonic;intergenic</t>
        </is>
      </c>
      <c r="O799" t="inlineStr">
        <is>
          <t>frameshift insertion</t>
        </is>
      </c>
      <c r="P799" t="inlineStr">
        <is>
          <t>dist=6919;dist=7964;CRIPAK:uc003gdf.2:exon1:c.457_458insCACG:p.M153Tfs*256;ENST00000511216.6_6:c.*9007_*9008insCACG</t>
        </is>
      </c>
      <c r="Q799" t="n">
        <v>6.507e-05</v>
      </c>
      <c r="R799" t="n">
        <v>-1</v>
      </c>
      <c r="S799" t="n">
        <v>-1</v>
      </c>
      <c r="T799" t="n">
        <v>-1</v>
      </c>
      <c r="U799" t="n">
        <v>-1</v>
      </c>
      <c r="V799" t="inlineStr">
        <is>
          <t>.</t>
        </is>
      </c>
      <c r="W799" t="inlineStr">
        <is>
          <t>.</t>
        </is>
      </c>
      <c r="X799" t="inlineStr">
        <is>
          <t>.</t>
        </is>
      </c>
      <c r="Y799" t="inlineStr">
        <is>
          <t>.</t>
        </is>
      </c>
      <c r="Z799" t="inlineStr">
        <is>
          <t>.</t>
        </is>
      </c>
      <c r="AA799" t="inlineStr">
        <is>
          <t>.</t>
        </is>
      </c>
      <c r="AB799" t="inlineStr">
        <is>
          <t>.</t>
        </is>
      </c>
      <c r="AC799" t="inlineStr">
        <is>
          <t>.</t>
        </is>
      </c>
      <c r="AD799" t="inlineStr">
        <is>
          <t>2</t>
        </is>
      </c>
      <c r="AE799" t="inlineStr">
        <is>
          <t>2.43127197997244e-12</t>
        </is>
      </c>
      <c r="AF799" t="inlineStr">
        <is>
          <t>cysteine rich PAK1 inhibitor</t>
        </is>
      </c>
      <c r="AG799" t="inlineStr">
        <is>
          <t xml:space="preserve">FUNCTION: Negative regulator of PAK1. It has been suggested that the lost of CRIPAK in breast tumors might contribute to hormonal independence. {ECO:0000269|PubMed:16278681}.; </t>
        </is>
      </c>
      <c r="AH799" t="inlineStr">
        <is>
          <t>.</t>
        </is>
      </c>
      <c r="AI799" t="inlineStr">
        <is>
          <t>GenotypeConflict</t>
        </is>
      </c>
      <c r="AJ799" t="inlineStr">
        <is>
          <t>.</t>
        </is>
      </c>
      <c r="AK799" t="inlineStr">
        <is>
          <t>.</t>
        </is>
      </c>
      <c r="AL799" t="inlineStr">
        <is>
          <t>.</t>
        </is>
      </c>
    </row>
    <row r="800">
      <c r="A800" t="inlineStr"/>
      <c r="B800">
        <f>HYPERLINK("https://genome.ucsc.edu/cgi-bin/hgTracks?db=hg19&amp;position=chr4%3A1941422%2D1941422", "chr4:1941422")</f>
        <v/>
      </c>
      <c r="C800" t="inlineStr">
        <is>
          <t>chr4</t>
        </is>
      </c>
      <c r="D800" t="n">
        <v>1941422</v>
      </c>
      <c r="E800" t="n">
        <v>1941422</v>
      </c>
      <c r="F800" t="inlineStr">
        <is>
          <t>C</t>
        </is>
      </c>
      <c r="G800" t="inlineStr">
        <is>
          <t>T</t>
        </is>
      </c>
      <c r="H800" t="inlineStr">
        <is>
          <t>1412.64</t>
        </is>
      </c>
      <c r="I800" t="inlineStr">
        <is>
          <t>230</t>
        </is>
      </c>
      <c r="J800" t="inlineStr">
        <is>
          <t>158,72</t>
        </is>
      </c>
      <c r="K800" t="inlineStr">
        <is>
          <t>.</t>
        </is>
      </c>
      <c r="L800" t="inlineStr">
        <is>
          <t>.</t>
        </is>
      </c>
      <c r="M800">
        <f>HYPERLINK("https://www.genecards.org/Search/Keyword?queryString=%5Baliases%5D(%20NSD2%20)%20OR%20%5Baliases%5D(%20WHSC1%20)&amp;keywords=NSD2,WHSC1", "NSD2;WHSC1")</f>
        <v/>
      </c>
      <c r="N800" t="inlineStr">
        <is>
          <t>exonic</t>
        </is>
      </c>
      <c r="O800" t="inlineStr">
        <is>
          <t>stopgain</t>
        </is>
      </c>
      <c r="P800" t="inlineStr">
        <is>
          <t>NSD2:NM_133334:exon8:c.C1798T:p.R600X,NSD2:NM_001042424:exon9:c.C1798T:p.R600X,NSD2:NM_133335:exon9:c.C1798T:p.R600X,NSD2:NM_133331:exon10:c.C1798T:p.R600X,NSD2:NM_007331:exon11:c.C1798T:p.R600X,NSD2:NM_133330:exon11:c.C1798T:p.R600X;WHSC1:uc003geh.1:exon8:c.C1798T:p.R600X,WHSC1:uc003gdy.1:exon9:c.C1798T:p.R600X,WHSC1:uc003gdz.4:exon9:c.C1798T:p.R600X,WHSC1:uc003ged.4:exon9:c.C1798T:p.R600X,WHSC1:uc010icd.1:exon9:c.C1798T:p.R600X,WHSC1:uc010ice.1:exon9:c.C1798T:p.R600X,WHSC1:uc003gec.4:exon10:c.C1798T:p.R600X,WHSC1:uc003gea.1:exon11:c.C1798T:p.R600X,WHSC1:uc003geb.4:exon11:c.C1798T:p.R600X;NSD2:ENST00000512700.2_2:exon8:c.C1798T:p.R600X,NSD2:ENST00000382891.9_3:exon9:c.C1798T:p.R600X,NSD2:ENST00000398261.6_3:exon9:c.C1798T:p.R600X,NSD2:ENST00000503128.5_2:exon9:c.C1798T:p.R600X,NSD2:ENST00000508803.6_4:exon9:c.C1798T:p.R600X,NSD2:ENST00000514045.5_2:exon9:c.C1798T:p.R600X,NSD2:ENST00000382892.6_3:exon10:c.C1798T:p.R600X,NSD2:ENST00000382895.7_2:exon11:c.C1798T:p.R600X,NSD2:ENST00000420906.6_2:exon11:c.C1798T:p.R600X</t>
        </is>
      </c>
      <c r="Q800" t="n">
        <v>-1</v>
      </c>
      <c r="R800" t="n">
        <v>-1</v>
      </c>
      <c r="S800" t="n">
        <v>-1</v>
      </c>
      <c r="T800" t="n">
        <v>-1</v>
      </c>
      <c r="U800" t="n">
        <v>-1</v>
      </c>
      <c r="V800" t="inlineStr">
        <is>
          <t>4/4</t>
        </is>
      </c>
      <c r="W800" t="inlineStr">
        <is>
          <t>.</t>
        </is>
      </c>
      <c r="X800" t="inlineStr">
        <is>
          <t>.</t>
        </is>
      </c>
      <c r="Y800" t="inlineStr">
        <is>
          <t>.</t>
        </is>
      </c>
      <c r="Z800" t="inlineStr">
        <is>
          <t>3/7</t>
        </is>
      </c>
      <c r="AA800" t="inlineStr">
        <is>
          <t>Pathogenic</t>
        </is>
      </c>
      <c r="AB800" t="inlineStr">
        <is>
          <t>.</t>
        </is>
      </c>
      <c r="AC800" t="inlineStr">
        <is>
          <t>0/1</t>
        </is>
      </c>
      <c r="AD800" t="inlineStr">
        <is>
          <t>1;1</t>
        </is>
      </c>
      <c r="AE800" t="inlineStr">
        <is>
          <t>0.999999325434983</t>
        </is>
      </c>
      <c r="AF800" t="inlineStr">
        <is>
          <t>Wolf-Hirschhorn syndrome candidate 1</t>
        </is>
      </c>
      <c r="AG800" t="inlineStr">
        <is>
          <t xml:space="preserve">FUNCTION: Histone methyltransferase with histone H3 'Lys-27' (H3K27me) methyltransferase activity. Isoform RE-IIBP may act as a transcription regulator that binds DNA and suppresses IL5 transcription through HDAC recruitment. {ECO:0000269|PubMed:11152655, ECO:0000269|PubMed:16115125, ECO:0000269|PubMed:18172012}.; </t>
        </is>
      </c>
      <c r="AH800" t="inlineStr">
        <is>
          <t xml:space="preserve">DISEASE: Note=WHSC1 is located in the Wolf-Hirschhorn syndrome (WHS) critical region. WHS results from by sub-telomeric deletions in the short arm of chromosome 4. WHSC1 is deleted in every case, however deletion of linked genes contributes to both the severity of the core characteristics and the presence of the additional syndromic problems.; </t>
        </is>
      </c>
      <c r="AI800" t="inlineStr">
        <is>
          <t>.</t>
        </is>
      </c>
      <c r="AJ800" t="inlineStr">
        <is>
          <t>.</t>
        </is>
      </c>
      <c r="AK800" t="inlineStr">
        <is>
          <t>.</t>
        </is>
      </c>
      <c r="AL800" t="inlineStr">
        <is>
          <t>.</t>
        </is>
      </c>
    </row>
    <row r="801">
      <c r="A801" t="inlineStr"/>
      <c r="B801">
        <f>HYPERLINK("https://genome.ucsc.edu/cgi-bin/hgTracks?db=hg19&amp;position=chr4%3A2828992%2D2828992", "chr4:2828992")</f>
        <v/>
      </c>
      <c r="C801" t="inlineStr">
        <is>
          <t>chr4</t>
        </is>
      </c>
      <c r="D801" t="n">
        <v>2828992</v>
      </c>
      <c r="E801" t="n">
        <v>2828992</v>
      </c>
      <c r="F801" t="inlineStr">
        <is>
          <t>C</t>
        </is>
      </c>
      <c r="G801" t="inlineStr">
        <is>
          <t>T</t>
        </is>
      </c>
      <c r="H801" t="inlineStr">
        <is>
          <t>770.64</t>
        </is>
      </c>
      <c r="I801" t="inlineStr">
        <is>
          <t>57</t>
        </is>
      </c>
      <c r="J801" t="inlineStr">
        <is>
          <t>22,35</t>
        </is>
      </c>
      <c r="K801" t="inlineStr">
        <is>
          <t>.</t>
        </is>
      </c>
      <c r="L801">
        <f>HYPERLINK("https://www.ncbi.nlm.nih.gov/snp/rs35313240", "rs35313240")</f>
        <v/>
      </c>
      <c r="M801">
        <f>HYPERLINK("https://www.genecards.org/Search/Keyword?queryString=%5Baliases%5D(%20SH3BP2%20)&amp;keywords=SH3BP2", "SH3BP2")</f>
        <v/>
      </c>
      <c r="N801" t="inlineStr">
        <is>
          <t>exonic</t>
        </is>
      </c>
      <c r="O801" t="inlineStr">
        <is>
          <t>nonsynonymous SNV</t>
        </is>
      </c>
      <c r="P801" t="inlineStr">
        <is>
          <t>SH3BP2:NM_001122681:exon6:c.C464T:p.A155V,SH3BP2:NM_001145855:exon6:c.C548T:p.A183V,SH3BP2:NM_001145856:exon6:c.C635T:p.A212V,SH3BP2:NM_003023:exon6:c.C464T:p.A155V;SH3BP2:uc003gfm.4:exon1:c.C389T:p.A130V,SH3BP2:uc003gfi.4:exon6:c.C464T:p.A155V,SH3BP2:uc003gfj.4:exon6:c.C635T:p.A212V,SH3BP2:uc003gfk.4:exon6:c.C464T:p.A155V,SH3BP2:uc011bvp.2:exon6:c.C548T:p.A183V,SH3BP2:uc003gfl.4:exon7:c.C263T:p.A88V;SH3BP2:ENST00000356331.9_5:exon6:c.C464T:p.A155V,SH3BP2:ENST00000435136.8_5:exon6:c.C548T:p.A183V,SH3BP2:ENST00000503393.8_11:exon6:c.C464T:p.A155V,SH3BP2:ENST00000511747.6_4:exon6:c.C635T:p.A212V</t>
        </is>
      </c>
      <c r="Q801" t="n">
        <v>0.017544</v>
      </c>
      <c r="R801" t="n">
        <v>0.0049</v>
      </c>
      <c r="S801" t="n">
        <v>0.0072</v>
      </c>
      <c r="T801" t="n">
        <v>-1</v>
      </c>
      <c r="U801" t="n">
        <v>0.0042</v>
      </c>
      <c r="V801" t="inlineStr">
        <is>
          <t>4/10</t>
        </is>
      </c>
      <c r="W801" t="inlineStr">
        <is>
          <t>.</t>
        </is>
      </c>
      <c r="X801" t="inlineStr">
        <is>
          <t>.</t>
        </is>
      </c>
      <c r="Y801" t="inlineStr">
        <is>
          <t>.</t>
        </is>
      </c>
      <c r="Z801" t="inlineStr">
        <is>
          <t>1/7</t>
        </is>
      </c>
      <c r="AA801" t="inlineStr">
        <is>
          <t>Benign</t>
        </is>
      </c>
      <c r="AB801" t="inlineStr">
        <is>
          <t>Benign/Likely_benign</t>
        </is>
      </c>
      <c r="AC801" t="inlineStr">
        <is>
          <t>0/1</t>
        </is>
      </c>
      <c r="AD801" t="inlineStr">
        <is>
          <t>1</t>
        </is>
      </c>
      <c r="AE801" t="inlineStr">
        <is>
          <t>0.00310189992242549</t>
        </is>
      </c>
      <c r="AF801" t="inlineStr">
        <is>
          <t>SH3-domain binding protein 2</t>
        </is>
      </c>
      <c r="AG801" t="inlineStr">
        <is>
          <t xml:space="preserve">FUNCTION: Binds differentially to the SH3 domains of certain proteins of signal transduction pathways. Binds to phosphatidylinositols; linking the hemopoietic tyrosine kinase fes to the cytoplasmic membrane in a phosphorylation dependent mechanism.; </t>
        </is>
      </c>
      <c r="AH801" t="inlineStr">
        <is>
          <t xml:space="preserve">DISEASE: Cherubism (CRBM) [MIM:118400]: An autosomal dominant syndrome characterized by excessive bone degradation of the upper and lower jaws, which often begins around three years of age. It is followed by development of fibrous tissue masses, which causes a characteristic facial swelling. {ECO:0000269|PubMed:11381256, ECO:0000269|PubMed:12900899, ECO:0000269|PubMed:14577811}. Note=The disease is caused by mutations affecting the gene represented in this entry.; </t>
        </is>
      </c>
      <c r="AI801" t="inlineStr">
        <is>
          <t>.</t>
        </is>
      </c>
      <c r="AJ801" t="inlineStr">
        <is>
          <t>.</t>
        </is>
      </c>
      <c r="AK801" t="inlineStr">
        <is>
          <t>.</t>
        </is>
      </c>
      <c r="AL801" t="inlineStr">
        <is>
          <t>.</t>
        </is>
      </c>
    </row>
    <row r="802">
      <c r="A802" t="inlineStr"/>
      <c r="B802">
        <f>HYPERLINK("https://genome.ucsc.edu/cgi-bin/hgTracks?db=hg19&amp;position=chr4%3A7774730%2D7774730", "chr4:7774730")</f>
        <v/>
      </c>
      <c r="C802" t="inlineStr">
        <is>
          <t>chr4</t>
        </is>
      </c>
      <c r="D802" t="n">
        <v>7774730</v>
      </c>
      <c r="E802" t="n">
        <v>7774730</v>
      </c>
      <c r="F802" t="inlineStr">
        <is>
          <t>C</t>
        </is>
      </c>
      <c r="G802" t="inlineStr">
        <is>
          <t>A</t>
        </is>
      </c>
      <c r="H802" t="inlineStr">
        <is>
          <t>485.64</t>
        </is>
      </c>
      <c r="I802" t="inlineStr">
        <is>
          <t>71</t>
        </is>
      </c>
      <c r="J802" t="inlineStr">
        <is>
          <t>48,23</t>
        </is>
      </c>
      <c r="K802" t="inlineStr">
        <is>
          <t>.</t>
        </is>
      </c>
      <c r="L802" t="inlineStr">
        <is>
          <t>.</t>
        </is>
      </c>
      <c r="M802">
        <f>HYPERLINK("https://www.genecards.org/Search/Keyword?queryString=%5Baliases%5D(%20AFAP1%20)&amp;keywords=AFAP1", "AFAP1")</f>
        <v/>
      </c>
      <c r="N802" t="inlineStr">
        <is>
          <t>exonic</t>
        </is>
      </c>
      <c r="O802" t="inlineStr">
        <is>
          <t>nonsynonymous SNV</t>
        </is>
      </c>
      <c r="P802" t="inlineStr">
        <is>
          <t>AFAP1:NM_001371090:exon14:c.G1818T:p.K606N,AFAP1:NM_198595:exon15:c.G1818T:p.K606N,AFAP1:NM_001134647:exon16:c.G2070T:p.K690N,AFAP1:NM_001371091:exon16:c.G1818T:p.K606N;AFAP1:uc003gkg.1:exon15:c.G1818T:p.K606N,AFAP1:uc011bwk.1:exon16:c.G2070T:p.K690N;AFAP1:ENST00000360265.9_5:exon14:c.G1818T:p.K606N,AFAP1:ENST00000358461.6_6:exon15:c.G1818T:p.K606N,AFAP1:ENST00000382543.4_5:exon15:c.G2070T:p.K690N,AFAP1:ENST00000420658.6_6:exon16:c.G2070T:p.K690N</t>
        </is>
      </c>
      <c r="Q802" t="n">
        <v>-1</v>
      </c>
      <c r="R802" t="n">
        <v>-1</v>
      </c>
      <c r="S802" t="n">
        <v>-1</v>
      </c>
      <c r="T802" t="n">
        <v>-1</v>
      </c>
      <c r="U802" t="n">
        <v>-1</v>
      </c>
      <c r="V802" t="inlineStr">
        <is>
          <t>6/12</t>
        </is>
      </c>
      <c r="W802" t="inlineStr">
        <is>
          <t>.</t>
        </is>
      </c>
      <c r="X802" t="inlineStr">
        <is>
          <t>.</t>
        </is>
      </c>
      <c r="Y802" t="inlineStr">
        <is>
          <t>.</t>
        </is>
      </c>
      <c r="Z802" t="inlineStr">
        <is>
          <t>0/7</t>
        </is>
      </c>
      <c r="AA802" t="inlineStr">
        <is>
          <t>Uncertain significance</t>
        </is>
      </c>
      <c r="AB802" t="inlineStr">
        <is>
          <t>.</t>
        </is>
      </c>
      <c r="AC802" t="inlineStr">
        <is>
          <t>0/1</t>
        </is>
      </c>
      <c r="AD802" t="inlineStr">
        <is>
          <t>1</t>
        </is>
      </c>
      <c r="AE802" t="inlineStr">
        <is>
          <t>0.376071779661091</t>
        </is>
      </c>
      <c r="AF802" t="inlineStr">
        <is>
          <t>actin filament associated protein 1</t>
        </is>
      </c>
      <c r="AG802" t="inlineStr">
        <is>
          <t xml:space="preserve">FUNCTION: Can cross-link actin filaments into both network and bundle structures (By similarity). May modulate changes in actin filament integrity and induce lamellipodia formation. May function as an adapter molecule that links other proteins, such as SRC and PKC to the actin cytoskeleton. Seems to play a role in the development and progression of prostate adenocarcinoma by regulating cell-matrix adhesions and migration in the cancer cells. {ECO:0000250, ECO:0000269|PubMed:15485829}.; </t>
        </is>
      </c>
      <c r="AH802" t="inlineStr">
        <is>
          <t>.</t>
        </is>
      </c>
      <c r="AI802" t="inlineStr">
        <is>
          <t>.</t>
        </is>
      </c>
      <c r="AJ802" t="inlineStr">
        <is>
          <t>.</t>
        </is>
      </c>
      <c r="AK802" t="inlineStr">
        <is>
          <t>.</t>
        </is>
      </c>
      <c r="AL802" t="inlineStr">
        <is>
          <t>.</t>
        </is>
      </c>
    </row>
    <row r="803">
      <c r="A803" t="inlineStr"/>
      <c r="B803">
        <f>HYPERLINK("https://genome.ucsc.edu/cgi-bin/hgTracks?db=hg19&amp;position=chr4%3A8238080%2D8238080", "chr4:8238080")</f>
        <v/>
      </c>
      <c r="C803" t="inlineStr">
        <is>
          <t>chr4</t>
        </is>
      </c>
      <c r="D803" t="n">
        <v>8238080</v>
      </c>
      <c r="E803" t="n">
        <v>8238080</v>
      </c>
      <c r="F803" t="inlineStr">
        <is>
          <t>C</t>
        </is>
      </c>
      <c r="G803" t="inlineStr">
        <is>
          <t>G</t>
        </is>
      </c>
      <c r="H803" t="inlineStr">
        <is>
          <t>1069.64</t>
        </is>
      </c>
      <c r="I803" t="inlineStr">
        <is>
          <t>132</t>
        </is>
      </c>
      <c r="J803" t="inlineStr">
        <is>
          <t>80,52</t>
        </is>
      </c>
      <c r="K803" t="inlineStr">
        <is>
          <t>.</t>
        </is>
      </c>
      <c r="L803" t="inlineStr">
        <is>
          <t>.</t>
        </is>
      </c>
      <c r="M803">
        <f>HYPERLINK("https://www.genecards.org/Search/Keyword?queryString=%5Baliases%5D(%20SH3TC1%20)&amp;keywords=SH3TC1", "SH3TC1")</f>
        <v/>
      </c>
      <c r="N803" t="inlineStr">
        <is>
          <t>exonic</t>
        </is>
      </c>
      <c r="O803" t="inlineStr">
        <is>
          <t>nonsynonymous SNV</t>
        </is>
      </c>
      <c r="P803" t="inlineStr">
        <is>
          <t>SH3TC1:NM_001318480:exon16:c.C3253G:p.L1085V,SH3TC1:NM_018986:exon16:c.C3481G:p.L1161V;SH3TC1:uc003gkv.4:exon16:c.C3481G:p.L1161V,SH3TC1:uc003gkw.4:exon16:c.C3253G:p.L1085V;SH3TC1:ENST00000511002.6_2:exon5:c.C484G:p.L162V,SH3TC1:ENST00000508641.2_2:exon15:c.C3253G:p.L1085V,SH3TC1:ENST00000684698.1_1:exon15:c.C3400G:p.L1134V,SH3TC1:ENST00000245105.8_3:exon16:c.C3481G:p.L1161V,SH3TC1:ENST00000457650.7_4:exon17:c.C3481G:p.L1161V</t>
        </is>
      </c>
      <c r="Q803" t="n">
        <v>-1</v>
      </c>
      <c r="R803" t="n">
        <v>-1</v>
      </c>
      <c r="S803" t="n">
        <v>-1</v>
      </c>
      <c r="T803" t="n">
        <v>-1</v>
      </c>
      <c r="U803" t="n">
        <v>-1</v>
      </c>
      <c r="V803" t="inlineStr">
        <is>
          <t>5/12</t>
        </is>
      </c>
      <c r="W803" t="inlineStr">
        <is>
          <t>.</t>
        </is>
      </c>
      <c r="X803" t="inlineStr">
        <is>
          <t>.</t>
        </is>
      </c>
      <c r="Y803" t="inlineStr">
        <is>
          <t>.</t>
        </is>
      </c>
      <c r="Z803" t="inlineStr">
        <is>
          <t>0/7</t>
        </is>
      </c>
      <c r="AA803" t="inlineStr">
        <is>
          <t>Uncertain significance</t>
        </is>
      </c>
      <c r="AB803" t="inlineStr">
        <is>
          <t>.</t>
        </is>
      </c>
      <c r="AC803" t="inlineStr">
        <is>
          <t>0/1</t>
        </is>
      </c>
      <c r="AD803" t="inlineStr">
        <is>
          <t>1</t>
        </is>
      </c>
      <c r="AE803" t="inlineStr">
        <is>
          <t>1.08196254711814e-27</t>
        </is>
      </c>
      <c r="AF803" t="inlineStr">
        <is>
          <t>SH3 domain and tetratricopeptide repeats 1</t>
        </is>
      </c>
      <c r="AG803" t="inlineStr">
        <is>
          <t>.</t>
        </is>
      </c>
      <c r="AH803" t="inlineStr">
        <is>
          <t>.</t>
        </is>
      </c>
      <c r="AI803" t="inlineStr">
        <is>
          <t>.</t>
        </is>
      </c>
      <c r="AJ803" t="inlineStr">
        <is>
          <t>.</t>
        </is>
      </c>
      <c r="AK803" t="inlineStr">
        <is>
          <t>.</t>
        </is>
      </c>
      <c r="AL803" t="inlineStr">
        <is>
          <t>.</t>
        </is>
      </c>
    </row>
    <row r="804">
      <c r="A804" t="inlineStr"/>
      <c r="B804">
        <f>HYPERLINK("https://genome.ucsc.edu/cgi-bin/hgTracks?db=hg19&amp;position=chr4%3A10566489%2D10566489", "chr4:10566489")</f>
        <v/>
      </c>
      <c r="C804" t="inlineStr">
        <is>
          <t>chr4</t>
        </is>
      </c>
      <c r="D804" t="n">
        <v>10566489</v>
      </c>
      <c r="E804" t="n">
        <v>10566489</v>
      </c>
      <c r="F804" t="inlineStr">
        <is>
          <t>T</t>
        </is>
      </c>
      <c r="G804" t="inlineStr">
        <is>
          <t>C</t>
        </is>
      </c>
      <c r="H804" t="inlineStr">
        <is>
          <t>335.64</t>
        </is>
      </c>
      <c r="I804" t="inlineStr">
        <is>
          <t>19</t>
        </is>
      </c>
      <c r="J804" t="inlineStr">
        <is>
          <t>7,12</t>
        </is>
      </c>
      <c r="K804" t="inlineStr">
        <is>
          <t>.</t>
        </is>
      </c>
      <c r="L804">
        <f>HYPERLINK("https://www.ncbi.nlm.nih.gov/snp/rs114955321", "rs114955321")</f>
        <v/>
      </c>
      <c r="M804">
        <f>HYPERLINK("https://www.genecards.org/Search/Keyword?queryString=%5Baliases%5D(%20CLNK%20)&amp;keywords=CLNK", "CLNK")</f>
        <v/>
      </c>
      <c r="N804" t="inlineStr">
        <is>
          <t>intronic</t>
        </is>
      </c>
      <c r="O804" t="inlineStr">
        <is>
          <t>.</t>
        </is>
      </c>
      <c r="P804" t="inlineStr">
        <is>
          <t>.</t>
        </is>
      </c>
      <c r="Q804" t="n">
        <v>0.00396759</v>
      </c>
      <c r="R804" t="n">
        <v>0.004</v>
      </c>
      <c r="S804" t="n">
        <v>0.0037</v>
      </c>
      <c r="T804" t="n">
        <v>-1</v>
      </c>
      <c r="U804" t="n">
        <v>0.0031</v>
      </c>
      <c r="V804" t="inlineStr">
        <is>
          <t>.</t>
        </is>
      </c>
      <c r="W804" t="inlineStr">
        <is>
          <t>.</t>
        </is>
      </c>
      <c r="X804" t="inlineStr">
        <is>
          <t>D</t>
        </is>
      </c>
      <c r="Y804" t="inlineStr">
        <is>
          <t>off</t>
        </is>
      </c>
      <c r="Z804" t="inlineStr">
        <is>
          <t>.</t>
        </is>
      </c>
      <c r="AA804" t="inlineStr">
        <is>
          <t>.</t>
        </is>
      </c>
      <c r="AB804" t="inlineStr">
        <is>
          <t>.</t>
        </is>
      </c>
      <c r="AC804" t="inlineStr">
        <is>
          <t>0/1</t>
        </is>
      </c>
      <c r="AD804" t="inlineStr">
        <is>
          <t>1</t>
        </is>
      </c>
      <c r="AE804" t="inlineStr">
        <is>
          <t>1.34591221879556e-20</t>
        </is>
      </c>
      <c r="AF804" t="inlineStr">
        <is>
          <t>cytokine dependent hematopoietic cell linker</t>
        </is>
      </c>
      <c r="AG804" t="inlineStr">
        <is>
          <t xml:space="preserve">FUNCTION: Plays a role in the regulation of immunoreceptor signaling, including PLC-gamma-mediated B-cell antigen receptor (BCR) signaling and FC-epsilon R1-mediated mast cell degranulation. Involved in phosphorylation of LAT (By similarity). {ECO:0000250}.; </t>
        </is>
      </c>
      <c r="AH804" t="inlineStr">
        <is>
          <t>.</t>
        </is>
      </c>
      <c r="AI804" t="inlineStr">
        <is>
          <t>.</t>
        </is>
      </c>
      <c r="AJ804" t="inlineStr">
        <is>
          <t>.</t>
        </is>
      </c>
      <c r="AK804" t="inlineStr">
        <is>
          <t>.</t>
        </is>
      </c>
      <c r="AL804" t="inlineStr">
        <is>
          <t>.</t>
        </is>
      </c>
    </row>
    <row r="805">
      <c r="A805" t="inlineStr"/>
      <c r="B805">
        <f>HYPERLINK("https://genome.ucsc.edu/cgi-bin/hgTracks?db=hg19&amp;position=chr4%3A15443880%2D15443880", "chr4:15443880")</f>
        <v/>
      </c>
      <c r="C805" t="inlineStr">
        <is>
          <t>chr4</t>
        </is>
      </c>
      <c r="D805" t="n">
        <v>15443880</v>
      </c>
      <c r="E805" t="n">
        <v>15443880</v>
      </c>
      <c r="F805" t="inlineStr">
        <is>
          <t>G</t>
        </is>
      </c>
      <c r="G805" t="inlineStr">
        <is>
          <t>T</t>
        </is>
      </c>
      <c r="H805" t="inlineStr">
        <is>
          <t>618.64</t>
        </is>
      </c>
      <c r="I805" t="inlineStr">
        <is>
          <t>164</t>
        </is>
      </c>
      <c r="J805" t="inlineStr">
        <is>
          <t>126,38</t>
        </is>
      </c>
      <c r="K805" t="inlineStr">
        <is>
          <t>.</t>
        </is>
      </c>
      <c r="L805" t="inlineStr">
        <is>
          <t>.</t>
        </is>
      </c>
      <c r="M805">
        <f>HYPERLINK("https://www.genecards.org/Search/Keyword?queryString=%5Baliases%5D(%20C1QTNF7%20)&amp;keywords=C1QTNF7", "C1QTNF7")</f>
        <v/>
      </c>
      <c r="N805" t="inlineStr">
        <is>
          <t>exonic</t>
        </is>
      </c>
      <c r="O805" t="inlineStr">
        <is>
          <t>nonsynonymous SNV</t>
        </is>
      </c>
      <c r="P805" t="inlineStr">
        <is>
          <t>C1QTNF7:NM_001135170:exon3:c.G348T:p.E116D,C1QTNF7:NM_001135171:exon3:c.G327T:p.E109D,C1QTNF7:NM_031911:exon3:c.G327T:p.E109D;C1QTNF7:uc003gno.3:exon3:c.G348T:p.E116D,C1QTNF7:uc003gnp.3:exon3:c.G327T:p.E109D,C1QTNF7:uc011bxb.2:exon3:c.G327T:p.E109D;C1QTNF7:ENST00000295297.4_3:exon3:c.G348T:p.E116D,C1QTNF7:ENST00000429690.5_4:exon3:c.G327T:p.E109D,C1QTNF7:ENST00000444304.3_6:exon3:c.G327T:p.E109D</t>
        </is>
      </c>
      <c r="Q805" t="n">
        <v>-1</v>
      </c>
      <c r="R805" t="n">
        <v>-1</v>
      </c>
      <c r="S805" t="n">
        <v>-1</v>
      </c>
      <c r="T805" t="n">
        <v>-1</v>
      </c>
      <c r="U805" t="n">
        <v>-1</v>
      </c>
      <c r="V805" t="inlineStr">
        <is>
          <t>6/12</t>
        </is>
      </c>
      <c r="W805" t="inlineStr">
        <is>
          <t>.</t>
        </is>
      </c>
      <c r="X805" t="inlineStr">
        <is>
          <t>.</t>
        </is>
      </c>
      <c r="Y805" t="inlineStr">
        <is>
          <t>.</t>
        </is>
      </c>
      <c r="Z805" t="inlineStr">
        <is>
          <t>0/7</t>
        </is>
      </c>
      <c r="AA805" t="inlineStr">
        <is>
          <t>Uncertain significance</t>
        </is>
      </c>
      <c r="AB805" t="inlineStr">
        <is>
          <t>.</t>
        </is>
      </c>
      <c r="AC805" t="inlineStr">
        <is>
          <t>0/1</t>
        </is>
      </c>
      <c r="AD805" t="inlineStr">
        <is>
          <t>1</t>
        </is>
      </c>
      <c r="AE805" t="inlineStr">
        <is>
          <t>0.0199101310745169</t>
        </is>
      </c>
      <c r="AF805" t="inlineStr">
        <is>
          <t>C1q and tumor necrosis factor related protein 7</t>
        </is>
      </c>
      <c r="AG805" t="inlineStr">
        <is>
          <t>.</t>
        </is>
      </c>
      <c r="AH805" t="inlineStr">
        <is>
          <t>.</t>
        </is>
      </c>
      <c r="AI805" t="inlineStr">
        <is>
          <t>.</t>
        </is>
      </c>
      <c r="AJ805" t="inlineStr">
        <is>
          <t>.</t>
        </is>
      </c>
      <c r="AK805" t="inlineStr">
        <is>
          <t>.</t>
        </is>
      </c>
      <c r="AL805" t="inlineStr">
        <is>
          <t>.</t>
        </is>
      </c>
    </row>
    <row r="806">
      <c r="A806" t="inlineStr"/>
      <c r="B806">
        <f>HYPERLINK("https://genome.ucsc.edu/cgi-bin/hgTracks?db=hg19&amp;position=chr4%3A20482340%2D20482340", "chr4:20482340")</f>
        <v/>
      </c>
      <c r="C806" t="inlineStr">
        <is>
          <t>chr4</t>
        </is>
      </c>
      <c r="D806" t="n">
        <v>20482340</v>
      </c>
      <c r="E806" t="n">
        <v>20482340</v>
      </c>
      <c r="F806" t="inlineStr">
        <is>
          <t>C</t>
        </is>
      </c>
      <c r="G806" t="inlineStr">
        <is>
          <t>A</t>
        </is>
      </c>
      <c r="H806" t="inlineStr">
        <is>
          <t>363.64</t>
        </is>
      </c>
      <c r="I806" t="inlineStr">
        <is>
          <t>65</t>
        </is>
      </c>
      <c r="J806" t="inlineStr">
        <is>
          <t>48,17</t>
        </is>
      </c>
      <c r="K806" t="inlineStr">
        <is>
          <t>.</t>
        </is>
      </c>
      <c r="L806" t="inlineStr">
        <is>
          <t>.</t>
        </is>
      </c>
      <c r="M806">
        <f>HYPERLINK("https://www.genecards.org/Search/Keyword?queryString=%5Baliases%5D(%20SLIT2%20)&amp;keywords=SLIT2", "SLIT2")</f>
        <v/>
      </c>
      <c r="N806" t="inlineStr">
        <is>
          <t>exonic</t>
        </is>
      </c>
      <c r="O806" t="inlineStr">
        <is>
          <t>nonsynonymous SNV</t>
        </is>
      </c>
      <c r="P806" t="inlineStr">
        <is>
          <t>SLIT2:NM_001289135:exon6:c.C469A:p.Q157K,SLIT2:NM_001289136:exon6:c.C469A:p.Q157K,SLIT2:NM_004787:exon6:c.C469A:p.Q157K;SLIT2:uc003gpr.1:exon6:c.C469A:p.Q157K,SLIT2:uc003gps.1:exon6:c.C469A:p.Q157K;SLIT2:ENST00000273739.9_5:exon6:c.C469A:p.Q157K,SLIT2:ENST00000503823.5_4:exon6:c.C469A:p.Q157K,SLIT2:ENST00000503837.5_6:exon6:c.C469A:p.Q157K,SLIT2:ENST00000504154.6_8:exon6:c.C469A:p.Q157K,SLIT2:ENST00000622093.4_1:exon6:c.C211A:p.Q71K</t>
        </is>
      </c>
      <c r="Q806" t="n">
        <v>-1</v>
      </c>
      <c r="R806" t="n">
        <v>-1</v>
      </c>
      <c r="S806" t="n">
        <v>-1</v>
      </c>
      <c r="T806" t="n">
        <v>-1</v>
      </c>
      <c r="U806" t="n">
        <v>-1</v>
      </c>
      <c r="V806" t="inlineStr">
        <is>
          <t>9/12</t>
        </is>
      </c>
      <c r="W806" t="inlineStr">
        <is>
          <t>D</t>
        </is>
      </c>
      <c r="X806" t="inlineStr">
        <is>
          <t>.</t>
        </is>
      </c>
      <c r="Y806" t="inlineStr">
        <is>
          <t>.</t>
        </is>
      </c>
      <c r="Z806" t="inlineStr">
        <is>
          <t>4/7</t>
        </is>
      </c>
      <c r="AA806" t="inlineStr">
        <is>
          <t>Uncertain significance</t>
        </is>
      </c>
      <c r="AB806" t="inlineStr">
        <is>
          <t>.</t>
        </is>
      </c>
      <c r="AC806" t="inlineStr">
        <is>
          <t>0/1</t>
        </is>
      </c>
      <c r="AD806" t="inlineStr">
        <is>
          <t>1</t>
        </is>
      </c>
      <c r="AE806" t="inlineStr">
        <is>
          <t>0.999999067396252</t>
        </is>
      </c>
      <c r="AF806" t="inlineStr">
        <is>
          <t>slit guidance ligand 2</t>
        </is>
      </c>
      <c r="AG806" t="inlineStr">
        <is>
          <t xml:space="preserve">FUNCTION: Thought to act as molecular guidance cue in cellular migration, and function appears to be mediated by interaction with roundabout homolog receptors. During neural development involved in axonal navigation at the ventral midline of the neural tube and projection of axons to different regions. SLIT1 and SLIT2 seem to be essential for midline guidance in the forebrain by acting as repulsive signal preventing inappropriate midline crossing by axons projecting from the olfactory bulb. In spinal chord development may play a role in guiding commissural axons once they reached the floor plate by modulating the response to netrin. In vitro, silences the attractive effect of NTN1 but not its growth- stimulatory effect and silencing requires the formation of a ROBO1-DCC complex. May be implicated in spinal chord midline post- crossing axon repulsion. In vitro, only commissural axons that crossed the midline responded to SLIT2. In the developing visual system appears to function as repellent for retinal ganglion axons by providing a repulsion that directs these axons along their appropriate paths prior to, and after passage through, the optic chiasm. In vitro, collapses and repels retinal ganglion cell growth cones. Seems to play a role in branching and arborization of CNS sensory axons, and in neuronal cell migration. In vitro, Slit homolog 2 protein N-product, but not Slit homolog 2 protein C-product, repels olfactory bulb (OB) but not dorsal root ganglia (DRG) axons, induces OB growth cones collapse and induces branching of DRG axons. Seems to be involved in regulating leukocyte migration. {ECO:0000269|PubMed:10102268, ECO:0000269|PubMed:10864954, ECO:0000269|PubMed:10975526, ECO:0000269|PubMed:11239147, ECO:0000269|PubMed:11309622, ECO:0000269|PubMed:11404413}.; </t>
        </is>
      </c>
      <c r="AH806" t="inlineStr">
        <is>
          <t>.</t>
        </is>
      </c>
      <c r="AI806" t="inlineStr">
        <is>
          <t>.</t>
        </is>
      </c>
      <c r="AJ806" t="inlineStr">
        <is>
          <t>.</t>
        </is>
      </c>
      <c r="AK806" t="inlineStr">
        <is>
          <t>.</t>
        </is>
      </c>
      <c r="AL806" t="inlineStr">
        <is>
          <t>.</t>
        </is>
      </c>
    </row>
    <row r="807">
      <c r="A807" t="inlineStr"/>
      <c r="B807">
        <f>HYPERLINK("https://genome.ucsc.edu/cgi-bin/hgTracks?db=hg19&amp;position=chr4%3A39864693%2D39864693", "chr4:39864693")</f>
        <v/>
      </c>
      <c r="C807" t="inlineStr">
        <is>
          <t>chr4</t>
        </is>
      </c>
      <c r="D807" t="n">
        <v>39864693</v>
      </c>
      <c r="E807" t="n">
        <v>39864693</v>
      </c>
      <c r="F807" t="inlineStr">
        <is>
          <t>C</t>
        </is>
      </c>
      <c r="G807" t="inlineStr">
        <is>
          <t>T</t>
        </is>
      </c>
      <c r="H807" t="inlineStr">
        <is>
          <t>490.64</t>
        </is>
      </c>
      <c r="I807" t="inlineStr">
        <is>
          <t>86</t>
        </is>
      </c>
      <c r="J807" t="inlineStr">
        <is>
          <t>60,26</t>
        </is>
      </c>
      <c r="K807" t="inlineStr">
        <is>
          <t>.</t>
        </is>
      </c>
      <c r="L807" t="inlineStr">
        <is>
          <t>.</t>
        </is>
      </c>
      <c r="M807">
        <f>HYPERLINK("https://www.genecards.org/Search/Keyword?queryString=%5Baliases%5D(%20PDS5A%20)&amp;keywords=PDS5A", "PDS5A")</f>
        <v/>
      </c>
      <c r="N807" t="inlineStr">
        <is>
          <t>exonic</t>
        </is>
      </c>
      <c r="O807" t="inlineStr">
        <is>
          <t>nonsynonymous SNV</t>
        </is>
      </c>
      <c r="P807" t="inlineStr">
        <is>
          <t>PDS5A:NM_001100399:exon25:c.G2767A:p.D923N;PDS5A:uc003guv.4:exon25:c.G2767A:p.D923N;PDS5A:ENST00000303538.13_5:exon25:c.G2767A:p.D923N</t>
        </is>
      </c>
      <c r="Q807" t="n">
        <v>-1</v>
      </c>
      <c r="R807" t="n">
        <v>-1</v>
      </c>
      <c r="S807" t="n">
        <v>-1</v>
      </c>
      <c r="T807" t="n">
        <v>-1</v>
      </c>
      <c r="U807" t="n">
        <v>-1</v>
      </c>
      <c r="V807" t="inlineStr">
        <is>
          <t>8/11</t>
        </is>
      </c>
      <c r="W807" t="inlineStr">
        <is>
          <t>D</t>
        </is>
      </c>
      <c r="X807" t="inlineStr">
        <is>
          <t>.</t>
        </is>
      </c>
      <c r="Y807" t="inlineStr">
        <is>
          <t>.</t>
        </is>
      </c>
      <c r="Z807" t="inlineStr">
        <is>
          <t>5/7</t>
        </is>
      </c>
      <c r="AA807" t="inlineStr">
        <is>
          <t>Uncertain significance</t>
        </is>
      </c>
      <c r="AB807" t="inlineStr">
        <is>
          <t>.</t>
        </is>
      </c>
      <c r="AC807" t="inlineStr">
        <is>
          <t>0/1</t>
        </is>
      </c>
      <c r="AD807" t="inlineStr">
        <is>
          <t>1</t>
        </is>
      </c>
      <c r="AE807" t="inlineStr">
        <is>
          <t>0.999852920422859</t>
        </is>
      </c>
      <c r="AF807" t="inlineStr">
        <is>
          <t>PDS5 cohesin associated factor A</t>
        </is>
      </c>
      <c r="AG807" t="inlineStr">
        <is>
          <t xml:space="preserve">FUNCTION: Probable regulator of sister chromatid cohesion in mitosis which may stabilize cohesin complex association with chromatin. May couple sister chromatid cohesion during mitosis to DNA replication. Cohesion ensures that chromosome partitioning is accurate in both meiotic and mitotic cells and plays an important role in DNA repair. {ECO:0000269|PubMed:15855230, ECO:0000269|PubMed:19907496}.; </t>
        </is>
      </c>
      <c r="AH807" t="inlineStr">
        <is>
          <t>.</t>
        </is>
      </c>
      <c r="AI807" t="inlineStr">
        <is>
          <t>.</t>
        </is>
      </c>
      <c r="AJ807" t="inlineStr">
        <is>
          <t>.</t>
        </is>
      </c>
      <c r="AK807" t="inlineStr">
        <is>
          <t>.</t>
        </is>
      </c>
      <c r="AL807" t="inlineStr">
        <is>
          <t>.</t>
        </is>
      </c>
    </row>
    <row r="808">
      <c r="A808" t="inlineStr"/>
      <c r="B808">
        <f>HYPERLINK("https://genome.ucsc.edu/cgi-bin/hgTracks?db=hg19&amp;position=chr4%3A41265961%2D41265961", "chr4:41265961")</f>
        <v/>
      </c>
      <c r="C808" t="inlineStr">
        <is>
          <t>chr4</t>
        </is>
      </c>
      <c r="D808" t="n">
        <v>41265961</v>
      </c>
      <c r="E808" t="n">
        <v>41265961</v>
      </c>
      <c r="F808" t="inlineStr">
        <is>
          <t>C</t>
        </is>
      </c>
      <c r="G808" t="inlineStr">
        <is>
          <t>G</t>
        </is>
      </c>
      <c r="H808" t="inlineStr">
        <is>
          <t>54.64</t>
        </is>
      </c>
      <c r="I808" t="inlineStr">
        <is>
          <t>6</t>
        </is>
      </c>
      <c r="J808" t="inlineStr">
        <is>
          <t>4,2</t>
        </is>
      </c>
      <c r="K808" t="inlineStr">
        <is>
          <t>.</t>
        </is>
      </c>
      <c r="L808" t="inlineStr">
        <is>
          <t>.</t>
        </is>
      </c>
      <c r="M808">
        <f>HYPERLINK("https://www.genecards.org/Search/Keyword?queryString=%5Baliases%5D(%20UCHL1%20)&amp;keywords=UCHL1", "UCHL1")</f>
        <v/>
      </c>
      <c r="N808" t="inlineStr">
        <is>
          <t>intronic</t>
        </is>
      </c>
      <c r="O808" t="inlineStr">
        <is>
          <t>.</t>
        </is>
      </c>
      <c r="P808" t="inlineStr">
        <is>
          <t>.</t>
        </is>
      </c>
      <c r="Q808" t="n">
        <v>-1</v>
      </c>
      <c r="R808" t="n">
        <v>-1</v>
      </c>
      <c r="S808" t="n">
        <v>-1</v>
      </c>
      <c r="T808" t="n">
        <v>-1</v>
      </c>
      <c r="U808" t="n">
        <v>-1</v>
      </c>
      <c r="V808" t="inlineStr">
        <is>
          <t>.</t>
        </is>
      </c>
      <c r="W808" t="inlineStr">
        <is>
          <t>.</t>
        </is>
      </c>
      <c r="X808" t="inlineStr">
        <is>
          <t>PD</t>
        </is>
      </c>
      <c r="Y808" t="inlineStr">
        <is>
          <t>off</t>
        </is>
      </c>
      <c r="Z808" t="inlineStr">
        <is>
          <t>.</t>
        </is>
      </c>
      <c r="AA808" t="inlineStr">
        <is>
          <t>.</t>
        </is>
      </c>
      <c r="AB808" t="inlineStr">
        <is>
          <t>.</t>
        </is>
      </c>
      <c r="AC808" t="inlineStr">
        <is>
          <t>0/1</t>
        </is>
      </c>
      <c r="AD808" t="inlineStr">
        <is>
          <t>1</t>
        </is>
      </c>
      <c r="AE808" t="inlineStr">
        <is>
          <t>0.972670211212399</t>
        </is>
      </c>
      <c r="AF808" t="inlineStr">
        <is>
          <t>ubiquitin C-terminal hydrolase L1</t>
        </is>
      </c>
      <c r="AG808" t="inlineStr">
        <is>
          <t xml:space="preserve">FUNCTION: Ubiquitin-protein hydrolase involved both in the processing of ubiquitin precursors and of ubiquitinated proteins. This enzyme is a thiol protease that recognizes and hydrolyzes a peptide bond at the C-terminal glycine of ubiquitin. Also binds to free monoubiquitin and may prevent its degradation in lysosomes. The homodimer may have ATP-independent ubiquitin ligase activity. {ECO:0000269|PubMed:12408865, ECO:0000269|PubMed:9790970}.; </t>
        </is>
      </c>
      <c r="AH808" t="inlineStr">
        <is>
          <t xml:space="preserve">DISEASE: Parkinson disease 5 (PARK5) [MIM:613643]: A complex neurodegenerative disorder with manifestations ranging from typical Parkinson disease to dementia with Lewy bodies. Clinical features include parkinsonian symptoms (resting tremor, rigidity, postural instability and bradykinesia), dementia, diffuse Lewy body pathology, autonomic dysfunction, hallucinations and paranoia. {ECO:0000269|PubMed:9774100}. Note=The disease is caused by mutations affecting the gene represented in this entry.; DISEASE: Neurodegeneration with optic atrophy, childhood-onset (NDGOA) [MIM:615491]: A progressive neurodegenerative syndrome characterized by childhood onset blindness, cerebellar ataxia, nystagmus, dorsal column dysfuction, and spasticity with upper motor neuron dysfunction. {ECO:0000269|PubMed:23359680}. Note=The disease is caused by mutations affecting the gene represented in this entry.; </t>
        </is>
      </c>
      <c r="AI808" t="inlineStr">
        <is>
          <t>.</t>
        </is>
      </c>
      <c r="AJ808" t="inlineStr">
        <is>
          <t>.</t>
        </is>
      </c>
      <c r="AK808" t="inlineStr">
        <is>
          <t>.</t>
        </is>
      </c>
      <c r="AL808" t="inlineStr">
        <is>
          <t>.</t>
        </is>
      </c>
    </row>
    <row r="809">
      <c r="A809" t="inlineStr"/>
      <c r="B809">
        <f>HYPERLINK("https://genome.ucsc.edu/cgi-bin/hgTracks?db=hg19&amp;position=chr4%3A47427995%2D47427995", "chr4:47427995")</f>
        <v/>
      </c>
      <c r="C809" t="inlineStr">
        <is>
          <t>chr4</t>
        </is>
      </c>
      <c r="D809" t="n">
        <v>47427995</v>
      </c>
      <c r="E809" t="n">
        <v>47427995</v>
      </c>
      <c r="F809" t="inlineStr">
        <is>
          <t>C</t>
        </is>
      </c>
      <c r="G809" t="inlineStr">
        <is>
          <t>A</t>
        </is>
      </c>
      <c r="H809" t="inlineStr">
        <is>
          <t>684.64</t>
        </is>
      </c>
      <c r="I809" t="inlineStr">
        <is>
          <t>93</t>
        </is>
      </c>
      <c r="J809" t="inlineStr">
        <is>
          <t>62,31</t>
        </is>
      </c>
      <c r="K809" t="inlineStr">
        <is>
          <t>.</t>
        </is>
      </c>
      <c r="L809" t="inlineStr">
        <is>
          <t>.</t>
        </is>
      </c>
      <c r="M809">
        <f>HYPERLINK("https://www.genecards.org/Search/Keyword?queryString=%5Baliases%5D(%20GABRB1%20)&amp;keywords=GABRB1", "GABRB1")</f>
        <v/>
      </c>
      <c r="N809" t="inlineStr">
        <is>
          <t>exonic</t>
        </is>
      </c>
      <c r="O809" t="inlineStr">
        <is>
          <t>nonsynonymous SNV</t>
        </is>
      </c>
      <c r="P809" t="inlineStr">
        <is>
          <t>GABRB1:NM_000812:exon9:c.C1385A:p.S462Y;GABRB1:uc011bze.2:exon8:c.C1175A:p.S392Y,GABRB1:uc003gxh.3:exon9:c.C1385A:p.S462Y;GABRB1:ENST00000295454.8_3:exon9:c.C1385A:p.S462Y</t>
        </is>
      </c>
      <c r="Q809" t="n">
        <v>-1</v>
      </c>
      <c r="R809" t="n">
        <v>-1</v>
      </c>
      <c r="S809" t="n">
        <v>-1</v>
      </c>
      <c r="T809" t="n">
        <v>-1</v>
      </c>
      <c r="U809" t="n">
        <v>-1</v>
      </c>
      <c r="V809" t="inlineStr">
        <is>
          <t>7/12</t>
        </is>
      </c>
      <c r="W809" t="inlineStr">
        <is>
          <t>.</t>
        </is>
      </c>
      <c r="X809" t="inlineStr">
        <is>
          <t>.</t>
        </is>
      </c>
      <c r="Y809" t="inlineStr">
        <is>
          <t>.</t>
        </is>
      </c>
      <c r="Z809" t="inlineStr">
        <is>
          <t>2/7</t>
        </is>
      </c>
      <c r="AA809" t="inlineStr">
        <is>
          <t>Uncertain significance</t>
        </is>
      </c>
      <c r="AB809" t="inlineStr">
        <is>
          <t>.</t>
        </is>
      </c>
      <c r="AC809" t="inlineStr">
        <is>
          <t>0/1</t>
        </is>
      </c>
      <c r="AD809" t="inlineStr">
        <is>
          <t>1</t>
        </is>
      </c>
      <c r="AE809" t="inlineStr">
        <is>
          <t>0.977782832819184</t>
        </is>
      </c>
      <c r="AF809" t="inlineStr">
        <is>
          <t>gamma-aminobutyric acid type A receptor beta1 subunit</t>
        </is>
      </c>
      <c r="AG809" t="inlineStr">
        <is>
          <t xml:space="preserve">FUNCTION: Component of the heteropentameric receptor for GABA, the major inhibitory neurotransmitter in the vertebrate brain. Functions also as histamine receptor and mediates cellular responses to histamine. Functions as receptor for diazepines and various anesthetics, such as pentobarbital; these are bound at a separate allosteric effector binding site. Functions as ligand- gated chloride channel (By similarity). {ECO:0000250}.; </t>
        </is>
      </c>
      <c r="AH809" t="inlineStr">
        <is>
          <t>.</t>
        </is>
      </c>
      <c r="AI809" t="inlineStr">
        <is>
          <t>.</t>
        </is>
      </c>
      <c r="AJ809" t="inlineStr">
        <is>
          <t>.</t>
        </is>
      </c>
      <c r="AK809" t="inlineStr">
        <is>
          <t>.</t>
        </is>
      </c>
      <c r="AL809" t="inlineStr">
        <is>
          <t>.</t>
        </is>
      </c>
    </row>
    <row r="810">
      <c r="A810" t="inlineStr"/>
      <c r="B810">
        <f>HYPERLINK("https://genome.ucsc.edu/cgi-bin/hgTracks?db=hg19&amp;position=chr4%3A55140793%2D55140793", "chr4:55140793")</f>
        <v/>
      </c>
      <c r="C810" t="inlineStr">
        <is>
          <t>chr4</t>
        </is>
      </c>
      <c r="D810" t="n">
        <v>55140793</v>
      </c>
      <c r="E810" t="n">
        <v>55140793</v>
      </c>
      <c r="F810" t="inlineStr">
        <is>
          <t>G</t>
        </is>
      </c>
      <c r="G810" t="inlineStr">
        <is>
          <t>A</t>
        </is>
      </c>
      <c r="H810" t="inlineStr">
        <is>
          <t>635.64</t>
        </is>
      </c>
      <c r="I810" t="inlineStr">
        <is>
          <t>98</t>
        </is>
      </c>
      <c r="J810" t="inlineStr">
        <is>
          <t>69,29</t>
        </is>
      </c>
      <c r="K810" t="inlineStr">
        <is>
          <t>.</t>
        </is>
      </c>
      <c r="L810" t="inlineStr">
        <is>
          <t>.</t>
        </is>
      </c>
      <c r="M810">
        <f>HYPERLINK("https://www.genecards.org/Search/Keyword?queryString=%5Baliases%5D(%20PDGFRA%20)&amp;keywords=PDGFRA", "PDGFRA")</f>
        <v/>
      </c>
      <c r="N810" t="inlineStr">
        <is>
          <t>splicing</t>
        </is>
      </c>
      <c r="O810" t="inlineStr">
        <is>
          <t>.</t>
        </is>
      </c>
      <c r="P810" t="inlineStr">
        <is>
          <t>NM_001347827:exon11:c.1653+1G&gt;A;NM_006206:exon11:c.1653+1G&gt;A;NM_001347828:exon12:c.1728+1G&gt;A;NM_001347829:exon11:c.1653+1G&gt;A;NM_001347830:exon11:c.1692+1G&gt;A;uc010igq.1:exon10:c.1335+1G&gt;A;uc003han.4:exon11:c.1653+1G&gt;A;ENST00000257290.10_3:exon11:c.1653+1G&gt;A</t>
        </is>
      </c>
      <c r="Q810" t="n">
        <v>-1</v>
      </c>
      <c r="R810" t="n">
        <v>-1</v>
      </c>
      <c r="S810" t="n">
        <v>-1</v>
      </c>
      <c r="T810" t="n">
        <v>-1</v>
      </c>
      <c r="U810" t="n">
        <v>-1</v>
      </c>
      <c r="V810" t="inlineStr">
        <is>
          <t>2/2</t>
        </is>
      </c>
      <c r="W810" t="inlineStr">
        <is>
          <t>D</t>
        </is>
      </c>
      <c r="X810" t="inlineStr">
        <is>
          <t>D</t>
        </is>
      </c>
      <c r="Y810" t="inlineStr">
        <is>
          <t>on</t>
        </is>
      </c>
      <c r="Z810" t="inlineStr">
        <is>
          <t>5/7</t>
        </is>
      </c>
      <c r="AA810" t="inlineStr">
        <is>
          <t>.</t>
        </is>
      </c>
      <c r="AB810" t="inlineStr">
        <is>
          <t>.</t>
        </is>
      </c>
      <c r="AC810" t="inlineStr">
        <is>
          <t>0/1</t>
        </is>
      </c>
      <c r="AD810" t="inlineStr">
        <is>
          <t>1</t>
        </is>
      </c>
      <c r="AE810" t="inlineStr">
        <is>
          <t>0.999876729754594</t>
        </is>
      </c>
      <c r="AF810" t="inlineStr">
        <is>
          <t>platelet derived growth factor receptor alpha</t>
        </is>
      </c>
      <c r="AG810" t="inlineStr">
        <is>
          <t xml:space="preserve">FUNCTION: Tyrosine-protein kinase that acts as a cell-surface receptor for PDGFA, PDGFB and PDGFC and plays an essential role in the regulation of embryonic development, cell proliferation, survival and chemotaxis. Depending on the context, promotes or inhibits cell proliferation and cell migration. Plays an important role in the differentiation of bone marrow-derived mesenchymal stem cells. Required for normal skeleton development and cephalic closure during embryonic development. Required for normal development of the mucosa lining the gastrointestinal tract, and for recruitment of mesenchymal cells and normal development of intestinal villi. Plays a role in cell migration and chemotaxis in wound healing. Plays a role in platelet activation, secretion of agonists from platelet granules, and in thrombin-induced platelet aggregation. Binding of its cognate ligands - homodimeric PDGFA, homodimeric PDGFB, heterodimers formed by PDGFA and PDGFB or homodimeric PDGFC -leads to the activation of several signaling cascades; the response depends on the nature of the bound ligand and is modulated by the formation of heterodimers between PDGFRA and PDGFRB. Phosphorylates PIK3R1, PLCG1, and PTPN11. Activation of PLCG1 leads to the production of the cellular signaling molecules diacylglycerol and inositol 1,4,5-trisphosphate, mobilization of cytosolic Ca(2+) and the activation of protein kinase C. Phosphorylates PIK3R1, the regulatory subunit of phosphatidylinositol 3-kinase, and thereby mediates activation of the AKT1 signaling pathway. Mediates activation of HRAS and of the MAP kinases MAPK1/ERK2 and/or MAPK3/ERK1. Promotes activation of STAT family members STAT1, STAT3 and STAT5A and/or STAT5B. Receptor signaling is down-regulated by protein phosphatases that dephosphorylate the receptor and its down-stream effectors, and by rapid internalization of the activated receptor. {ECO:0000269|PubMed:10734113, ECO:0000269|PubMed:10947961, ECO:0000269|PubMed:11297552, ECO:0000269|PubMed:12522257, ECO:0000269|PubMed:1646396, ECO:0000269|PubMed:1709159, ECO:0000269|PubMed:17141222, ECO:0000269|PubMed:20972453, ECO:0000269|PubMed:21224473, ECO:0000269|PubMed:21596750, ECO:0000269|PubMed:2554309, ECO:0000269|PubMed:8188664, ECO:0000269|PubMed:8760137, ECO:0000269|PubMed:8943348}.; </t>
        </is>
      </c>
      <c r="AH810" t="inlineStr">
        <is>
          <t xml:space="preserve">DISEASE: Note=A chromosomal aberration involving PDGFRA is found in some cases of hypereosinophilic syndrome. Interstitial chromosomal deletion del(4)(q12q12) causes the fusion of FIP1L1 and PDGFRA (FIP1L1-PDGFRA). Mutations that cause overexpression and/or constitutive activation of PDGFRA may be a cause of hypereosinophilic syndrome. {ECO:0000269|PubMed:12808148}.; DISEASE: Gastrointestinal stromal tumor (GIST) [MIM:606764]: Common mesenchymal neoplasms arising in the gastrointestinal tract, most often in the stomach. They are histologically, immunohistochemically, and genetically different from typical leiomyomas, leiomyosarcomas, and schwannomas. Most GISTs are composed of a fairly uniform population of spindle-shaped cells. Some tumors are dominated by epithelioid cells or contain a mixture of spindle and epithelioid morphologies. Primary GISTs in the gastrointestinal tract commonly metastasize in the omentum and mesenteries, often as multiple nodules. However, primary tumors may also occur outside of the gastrointestinal tract, in other intra-abdominal locations, especially in the omentum and mesentery. {ECO:0000269|PubMed:12522257, ECO:0000269|PubMed:15928335}. Note=The gene represented in this entry may be involved in disease pathogenesis. Mutations causing PDGFRA constitutive activation have been found in gastrointestinal stromal tumors lacking KIT mutations (PubMed:12522257). {ECO:0000269|PubMed:12522257}.; </t>
        </is>
      </c>
      <c r="AI810" t="inlineStr">
        <is>
          <t>.</t>
        </is>
      </c>
      <c r="AJ810" t="inlineStr">
        <is>
          <t>.</t>
        </is>
      </c>
      <c r="AK810" t="inlineStr">
        <is>
          <t>.</t>
        </is>
      </c>
      <c r="AL810" t="inlineStr">
        <is>
          <t>.</t>
        </is>
      </c>
    </row>
    <row r="811">
      <c r="A811" t="inlineStr"/>
      <c r="B811">
        <f>HYPERLINK("https://genome.ucsc.edu/cgi-bin/hgTracks?db=hg19&amp;position=chr4%3A55524252%2D55524252", "chr4:55524252")</f>
        <v/>
      </c>
      <c r="C811" t="inlineStr">
        <is>
          <t>chr4</t>
        </is>
      </c>
      <c r="D811" t="n">
        <v>55524252</v>
      </c>
      <c r="E811" t="n">
        <v>55524252</v>
      </c>
      <c r="F811" t="inlineStr">
        <is>
          <t>G</t>
        </is>
      </c>
      <c r="G811" t="inlineStr">
        <is>
          <t>A</t>
        </is>
      </c>
      <c r="H811" t="inlineStr">
        <is>
          <t>995.64</t>
        </is>
      </c>
      <c r="I811" t="inlineStr">
        <is>
          <t>62</t>
        </is>
      </c>
      <c r="J811" t="inlineStr">
        <is>
          <t>22,40</t>
        </is>
      </c>
      <c r="K811" t="inlineStr">
        <is>
          <t>CS951456</t>
        </is>
      </c>
      <c r="L811">
        <f>HYPERLINK("https://www.ncbi.nlm.nih.gov/snp/rs72550820", "rs72550820")</f>
        <v/>
      </c>
      <c r="M811">
        <f>HYPERLINK("https://www.genecards.org/Search/Keyword?queryString=%5Baliases%5D(%20KIT%20)&amp;keywords=KIT", "KIT")</f>
        <v/>
      </c>
      <c r="N811" t="inlineStr">
        <is>
          <t>intronic</t>
        </is>
      </c>
      <c r="O811" t="inlineStr">
        <is>
          <t>.</t>
        </is>
      </c>
      <c r="P811" t="inlineStr">
        <is>
          <t>.</t>
        </is>
      </c>
      <c r="Q811" t="n">
        <v>0.0219</v>
      </c>
      <c r="R811" t="n">
        <v>0.0159</v>
      </c>
      <c r="S811" t="n">
        <v>0.0163</v>
      </c>
      <c r="T811" t="n">
        <v>-1</v>
      </c>
      <c r="U811" t="n">
        <v>0.0171</v>
      </c>
      <c r="V811" t="inlineStr">
        <is>
          <t>.</t>
        </is>
      </c>
      <c r="W811" t="inlineStr">
        <is>
          <t>D</t>
        </is>
      </c>
      <c r="X811" t="inlineStr">
        <is>
          <t>.</t>
        </is>
      </c>
      <c r="Y811" t="inlineStr">
        <is>
          <t>.</t>
        </is>
      </c>
      <c r="Z811" t="inlineStr">
        <is>
          <t>.</t>
        </is>
      </c>
      <c r="AA811" t="inlineStr">
        <is>
          <t>.</t>
        </is>
      </c>
      <c r="AB811" t="inlineStr">
        <is>
          <t>Benign</t>
        </is>
      </c>
      <c r="AC811" t="inlineStr">
        <is>
          <t>0/1</t>
        </is>
      </c>
      <c r="AD811" t="inlineStr">
        <is>
          <t>1</t>
        </is>
      </c>
      <c r="AE811" t="inlineStr">
        <is>
          <t>0.999879540537062</t>
        </is>
      </c>
      <c r="AF811" t="inlineStr">
        <is>
          <t>KIT proto-oncogene receptor tyrosine kinase</t>
        </is>
      </c>
      <c r="AG811" t="inlineStr">
        <is>
          <t xml:space="preserve">FUNCTION: Tyrosine-protein kinase that acts as cell-surface receptor for the cytokine KITLG/SCF and plays an essential role in the regulation of cell survival and proliferation, hematopoiesis, stem cell maintenance, gametogenesis, mast cell development, migration and function, and in melanogenesis. In response to KITLG/SCF binding, KIT can activate several signaling pathways. Phosphorylates PIK3R1, PLCG1, SH2B2/APS and CBL. Activates the AKT1 signaling pathway by phosphorylation of PIK3R1, the regulatory subunit of phosphatidylinositol 3-kinase. Activated KIT also transmits signals via GRB2 and activation of RAS, RAF1 and the MAP kinases MAPK1/ERK2 and/or MAPK3/ERK1. Promotes activation of STAT family members STAT1, STAT3, STAT5A and STAT5B. Activation of PLCG1 leads to the production of the cellular signaling molecules diacylglycerol and inositol 1,4,5-trisphosphate. KIT signaling is modulated by protein phosphatases, and by rapid internalization and degradation of the receptor. Activated KIT promotes phosphorylation of the protein phosphatases PTPN6/SHP-1 and PTPRU, and of the transcription factors STAT1, STAT3, STAT5A and STAT5B. Promotes phosphorylation of PIK3R1, CBL, CRK (isoform Crk-II), LYN, MAPK1/ERK2 and/or MAPK3/ERK1, PLCG1, SRC and SHC1. {ECO:0000269|PubMed:10397721, ECO:0000269|PubMed:12444928, ECO:0000269|PubMed:12511554, ECO:0000269|PubMed:12878163, ECO:0000269|PubMed:17904548, ECO:0000269|PubMed:19265199, ECO:0000269|PubMed:21135090, ECO:0000269|PubMed:21640708, ECO:0000269|PubMed:7520444, ECO:0000269|PubMed:9528781}.; </t>
        </is>
      </c>
      <c r="AH811" t="inlineStr">
        <is>
          <t xml:space="preserve">DISEASE: Piebald trait (PBT) [MIM:172800]: Autosomal dominant genetic developmental abnormality of pigmentation characterized by congenital patches of white skin and hair that lack melanocytes. {ECO:0000269|PubMed:11074500, ECO:0000269|PubMed:1370874, ECO:0000269|PubMed:1376329, ECO:0000269|PubMed:1717985, ECO:0000269|PubMed:7687267, ECO:0000269|PubMed:8680409, ECO:0000269|PubMed:9450866, ECO:0000269|PubMed:9699740}. Note=The disease is caused by mutations affecting the gene represented in this entry.; DISEASE: Gastrointestinal stromal tumor (GIST) [MIM:606764]: Common mesenchymal neoplasms arising in the gastrointestinal tract, most often in the stomach. They are histologically, immunohistochemically, and genetically different from typical leiomyomas, leiomyosarcomas, and schwannomas. Most GISTs are composed of a fairly uniform population of spindle-shaped cells. Some tumors are dominated by epithelioid cells or contain a mixture of spindle and epithelioid morphologies. Primary GISTs in the gastrointestinal tract commonly metastasize in the omentum and mesenteries, often as multiple nodules. However, primary tumors may also occur outside of the gastrointestinal tract, in other intra-abdominal locations, especially in the omentum and mesentery. {ECO:0000269|PubMed:11505412, ECO:0000269|PubMed:15824741, ECO:0000269|PubMed:9438854, ECO:0000269|PubMed:9697690}. Note=The gene represented in this entry is involved in disease pathogenesis.; DISEASE: Testicular germ cell tumor (TGCT) [MIM:273300]: A common malignancy in males representing 95% of all testicular neoplasms. TGCTs have various pathologic subtypes including: unclassified intratubular germ cell neoplasia, seminoma (including cases with syncytiotrophoblastic cells), spermatocytic seminoma, embryonal carcinoma, yolk sac tumor, choriocarcinoma, and teratoma. Note=The gene represented in this entry may be involved in disease pathogenesis.; DISEASE: Leukemia, acute myelogenous (AML) [MIM:601626]: A subtype of acute leukemia, a cancer of the white blood cells. AML is a malignant disease of bone marrow characterized by maturational arrest of hematopoietic precursors at an early stage of development. Clonal expansion of myeloid blasts occurs in bone marrow, blood, and other tissue. Myelogenous leukemias develop from changes in cells that normally produce neutrophils, basophils, eosinophils and monocytes. Note=The gene represented in this entry is involved in disease pathogenesis. Somatic mutations that lead to constitutive activation of KIT are detected in AML patients. These mutations fall into two classes, the most common being in-frame internal tandem duplications of variable length in the juxtamembrane region that disrupt the normal regulation of the kinase activity. Likewise, point mutations in the kinase domain can result in a constitutively activated kinase.; </t>
        </is>
      </c>
      <c r="AI811" t="inlineStr">
        <is>
          <t>.</t>
        </is>
      </c>
      <c r="AJ811" t="inlineStr">
        <is>
          <t>.</t>
        </is>
      </c>
      <c r="AK811" t="inlineStr">
        <is>
          <t>.</t>
        </is>
      </c>
      <c r="AL811" t="inlineStr">
        <is>
          <t>.</t>
        </is>
      </c>
    </row>
    <row r="812">
      <c r="A812" t="inlineStr"/>
      <c r="B812">
        <f>HYPERLINK("https://genome.ucsc.edu/cgi-bin/hgTracks?db=hg19&amp;position=chr4%3A57366615%2D57366615", "chr4:57366615")</f>
        <v/>
      </c>
      <c r="C812" t="inlineStr">
        <is>
          <t>chr4</t>
        </is>
      </c>
      <c r="D812" t="n">
        <v>57366615</v>
      </c>
      <c r="E812" t="n">
        <v>57366615</v>
      </c>
      <c r="F812" t="inlineStr">
        <is>
          <t>T</t>
        </is>
      </c>
      <c r="G812" t="inlineStr">
        <is>
          <t>G</t>
        </is>
      </c>
      <c r="H812" t="inlineStr">
        <is>
          <t>345.64</t>
        </is>
      </c>
      <c r="I812" t="inlineStr">
        <is>
          <t>18</t>
        </is>
      </c>
      <c r="J812" t="inlineStr">
        <is>
          <t>6,12</t>
        </is>
      </c>
      <c r="K812" t="inlineStr">
        <is>
          <t>.</t>
        </is>
      </c>
      <c r="L812" t="inlineStr">
        <is>
          <t>.</t>
        </is>
      </c>
      <c r="M812">
        <f>HYPERLINK("https://www.genecards.org/Search/Keyword?queryString=%5Baliases%5D(%20SRP72%20)&amp;keywords=SRP72", "SRP72")</f>
        <v/>
      </c>
      <c r="N812" t="inlineStr">
        <is>
          <t>intronic</t>
        </is>
      </c>
      <c r="O812" t="inlineStr">
        <is>
          <t>.</t>
        </is>
      </c>
      <c r="P812" t="inlineStr">
        <is>
          <t>.</t>
        </is>
      </c>
      <c r="Q812" t="n">
        <v>-1</v>
      </c>
      <c r="R812" t="n">
        <v>-1</v>
      </c>
      <c r="S812" t="n">
        <v>-1</v>
      </c>
      <c r="T812" t="n">
        <v>-1</v>
      </c>
      <c r="U812" t="n">
        <v>-1</v>
      </c>
      <c r="V812" t="inlineStr">
        <is>
          <t>.</t>
        </is>
      </c>
      <c r="W812" t="inlineStr">
        <is>
          <t>.</t>
        </is>
      </c>
      <c r="X812" t="inlineStr">
        <is>
          <t>PD</t>
        </is>
      </c>
      <c r="Y812" t="inlineStr">
        <is>
          <t>off</t>
        </is>
      </c>
      <c r="Z812" t="inlineStr">
        <is>
          <t>.</t>
        </is>
      </c>
      <c r="AA812" t="inlineStr">
        <is>
          <t>.</t>
        </is>
      </c>
      <c r="AB812" t="inlineStr">
        <is>
          <t>.</t>
        </is>
      </c>
      <c r="AC812" t="inlineStr">
        <is>
          <t>0/1</t>
        </is>
      </c>
      <c r="AD812" t="inlineStr">
        <is>
          <t>1</t>
        </is>
      </c>
      <c r="AE812" t="inlineStr">
        <is>
          <t>0.0141881388069381</t>
        </is>
      </c>
      <c r="AF812" t="inlineStr">
        <is>
          <t>signal recognition particle 72kDa</t>
        </is>
      </c>
      <c r="AG812" t="inlineStr">
        <is>
          <t xml:space="preserve">FUNCTION: Signal-recognition-particle assembly has a crucial role in targeting secretory proteins to the rough endoplasmic reticulum membrane. Binds the 7S RNA only in presence of SRP68. This ribonucleoprotein complex might interact directly with the docking protein in the ER membrane and possibly participate in the elongation arrest function.; </t>
        </is>
      </c>
      <c r="AH812" t="inlineStr">
        <is>
          <t xml:space="preserve">DISEASE: Bone marrow failure syndrome 1 (BMFS1) [MIM:614675]: An autosomal dominant disease characterized by aplastic anemia and myelodysplasia resulting from bone marrow failure. Aplastic anemia is a form of anemia in which the bone marrow fails to produce adequate numbers of peripheral blood elements. Myelodysplasia is a clonal hematopoietic stem cell disorder in which immature cells in the bone marrow become malformed and dysfunctional. {ECO:0000269|PubMed:22541560}. Note=The disease is caused by mutations affecting the gene represented in this entry.; </t>
        </is>
      </c>
      <c r="AI812" t="inlineStr">
        <is>
          <t>.</t>
        </is>
      </c>
      <c r="AJ812" t="inlineStr">
        <is>
          <t>.</t>
        </is>
      </c>
      <c r="AK812" t="inlineStr">
        <is>
          <t>.</t>
        </is>
      </c>
      <c r="AL812" t="inlineStr">
        <is>
          <t>.</t>
        </is>
      </c>
    </row>
    <row r="813">
      <c r="A813" t="inlineStr"/>
      <c r="B813">
        <f>HYPERLINK("https://genome.ucsc.edu/cgi-bin/hgTracks?db=hg19&amp;position=chr4%3A71347333%2D71347333", "chr4:71347333")</f>
        <v/>
      </c>
      <c r="C813" t="inlineStr">
        <is>
          <t>chr4</t>
        </is>
      </c>
      <c r="D813" t="n">
        <v>71347333</v>
      </c>
      <c r="E813" t="n">
        <v>71347333</v>
      </c>
      <c r="F813" t="inlineStr">
        <is>
          <t>C</t>
        </is>
      </c>
      <c r="G813" t="inlineStr">
        <is>
          <t>T</t>
        </is>
      </c>
      <c r="H813" t="inlineStr">
        <is>
          <t>2584.64</t>
        </is>
      </c>
      <c r="I813" t="inlineStr">
        <is>
          <t>184</t>
        </is>
      </c>
      <c r="J813" t="inlineStr">
        <is>
          <t>75,109</t>
        </is>
      </c>
      <c r="K813" t="inlineStr">
        <is>
          <t>.</t>
        </is>
      </c>
      <c r="L813">
        <f>HYPERLINK("https://www.ncbi.nlm.nih.gov/snp/rs72655156", "rs72655156")</f>
        <v/>
      </c>
      <c r="M813">
        <f>HYPERLINK("https://www.genecards.org/Search/Keyword?queryString=%5Baliases%5D(%20MUC7%20)&amp;keywords=MUC7", "MUC7")</f>
        <v/>
      </c>
      <c r="N813" t="inlineStr">
        <is>
          <t>exonic</t>
        </is>
      </c>
      <c r="O813" t="inlineStr">
        <is>
          <t>nonsynonymous SNV</t>
        </is>
      </c>
      <c r="P813" t="inlineStr">
        <is>
          <t>MUC7:NM_152291:exon3:c.C872T:p.T291I,MUC7:NM_001145006:exon4:c.C872T:p.T291I,MUC7:NM_001145007:exon4:c.C872T:p.T291I;MUC7:uc003hfj.3:exon3:c.C872T:p.T291I,MUC7:uc011cat.2:exon4:c.C872T:p.T291I,MUC7:uc011cau.2:exon4:c.C872T:p.T291I;MUC7:ENST00000304887.6_4:exon3:c.C872T:p.T291I,MUC7:ENST00000413702.5_2:exon4:c.C872T:p.T291I,MUC7:ENST00000456088.5_2:exon4:c.C872T:p.T291I</t>
        </is>
      </c>
      <c r="Q813" t="n">
        <v>0.025452</v>
      </c>
      <c r="R813" t="n">
        <v>0.0226</v>
      </c>
      <c r="S813" t="n">
        <v>0.0217</v>
      </c>
      <c r="T813" t="n">
        <v>-1</v>
      </c>
      <c r="U813" t="n">
        <v>0.0244</v>
      </c>
      <c r="V813" t="inlineStr">
        <is>
          <t>3/9</t>
        </is>
      </c>
      <c r="W813" t="inlineStr">
        <is>
          <t>.</t>
        </is>
      </c>
      <c r="X813" t="inlineStr">
        <is>
          <t>.</t>
        </is>
      </c>
      <c r="Y813" t="inlineStr">
        <is>
          <t>.</t>
        </is>
      </c>
      <c r="Z813" t="inlineStr">
        <is>
          <t>0/7</t>
        </is>
      </c>
      <c r="AA813" t="inlineStr">
        <is>
          <t>Likely benign</t>
        </is>
      </c>
      <c r="AB813" t="inlineStr">
        <is>
          <t>.</t>
        </is>
      </c>
      <c r="AC813" t="inlineStr">
        <is>
          <t>0/1</t>
        </is>
      </c>
      <c r="AD813" t="inlineStr">
        <is>
          <t>1</t>
        </is>
      </c>
      <c r="AE813" t="inlineStr">
        <is>
          <t>9.13857519573247e-05</t>
        </is>
      </c>
      <c r="AF813" t="inlineStr">
        <is>
          <t>mucin 7, secreted</t>
        </is>
      </c>
      <c r="AG813" t="inlineStr">
        <is>
          <t xml:space="preserve">FUNCTION: May function in a protective capacity by promoting the clearance of bacteria in the oral cavity and aiding in mastication, speech, and swallowing. Binds P.aeruginosa pili. {ECO:0000269|PubMed:11378823, ECO:0000269|PubMed:8104046}.; </t>
        </is>
      </c>
      <c r="AH813" t="inlineStr">
        <is>
          <t xml:space="preserve">DISEASE: Asthma (ASTHMA) [MIM:600807]: The most common chronic disease affecting children and young adults. It is a complex genetic disorder with a heterogeneous phenotype, largely attributed to the interactions among many genes and between these genes and the environment. It is characterized by recurrent attacks of paroxysmal dyspnea, with wheezing due to spasmodic contraction of the bronchi. {ECO:0000269|PubMed:11378823}. Note=Disease susceptibility is associated with variations affecting the gene represented in this entry.; </t>
        </is>
      </c>
      <c r="AI813" t="inlineStr">
        <is>
          <t>.</t>
        </is>
      </c>
      <c r="AJ813" t="inlineStr">
        <is>
          <t>.</t>
        </is>
      </c>
      <c r="AK813" t="inlineStr">
        <is>
          <t>.</t>
        </is>
      </c>
      <c r="AL813" t="inlineStr">
        <is>
          <t>NGS_LowStringency</t>
        </is>
      </c>
    </row>
    <row r="814">
      <c r="A814" t="inlineStr"/>
      <c r="B814">
        <f>HYPERLINK("https://genome.ucsc.edu/cgi-bin/hgTracks?db=hg19&amp;position=chr4%3A75065702%2D75065702", "chr4:75065702")</f>
        <v/>
      </c>
      <c r="C814" t="inlineStr">
        <is>
          <t>chr4</t>
        </is>
      </c>
      <c r="D814" t="n">
        <v>75065702</v>
      </c>
      <c r="E814" t="n">
        <v>75065702</v>
      </c>
      <c r="F814" t="inlineStr">
        <is>
          <t>G</t>
        </is>
      </c>
      <c r="G814" t="inlineStr">
        <is>
          <t>A</t>
        </is>
      </c>
      <c r="H814" t="inlineStr">
        <is>
          <t>1181.64</t>
        </is>
      </c>
      <c r="I814" t="inlineStr">
        <is>
          <t>66</t>
        </is>
      </c>
      <c r="J814" t="inlineStr">
        <is>
          <t>21,45</t>
        </is>
      </c>
      <c r="K814" t="inlineStr">
        <is>
          <t>.</t>
        </is>
      </c>
      <c r="L814">
        <f>HYPERLINK("https://www.ncbi.nlm.nih.gov/snp/rs141427163", "rs141427163")</f>
        <v/>
      </c>
      <c r="M814">
        <f>HYPERLINK("https://www.genecards.org/Search/Keyword?queryString=%5Baliases%5D(%20MTHFD2L%20)&amp;keywords=MTHFD2L", "MTHFD2L")</f>
        <v/>
      </c>
      <c r="N814" t="inlineStr">
        <is>
          <t>intronic</t>
        </is>
      </c>
      <c r="O814" t="inlineStr">
        <is>
          <t>.</t>
        </is>
      </c>
      <c r="P814" t="inlineStr">
        <is>
          <t>.</t>
        </is>
      </c>
      <c r="Q814" t="n">
        <v>0.0074</v>
      </c>
      <c r="R814" t="n">
        <v>0.0049</v>
      </c>
      <c r="S814" t="n">
        <v>0.0067</v>
      </c>
      <c r="T814" t="n">
        <v>-1</v>
      </c>
      <c r="U814" t="n">
        <v>0.0081</v>
      </c>
      <c r="V814" t="inlineStr">
        <is>
          <t>.</t>
        </is>
      </c>
      <c r="W814" t="inlineStr">
        <is>
          <t>.</t>
        </is>
      </c>
      <c r="X814" t="inlineStr">
        <is>
          <t>PD</t>
        </is>
      </c>
      <c r="Y814" t="inlineStr">
        <is>
          <t>off</t>
        </is>
      </c>
      <c r="Z814" t="inlineStr">
        <is>
          <t>.</t>
        </is>
      </c>
      <c r="AA814" t="inlineStr">
        <is>
          <t>.</t>
        </is>
      </c>
      <c r="AB814" t="inlineStr">
        <is>
          <t>.</t>
        </is>
      </c>
      <c r="AC814" t="inlineStr">
        <is>
          <t>0/1</t>
        </is>
      </c>
      <c r="AD814" t="inlineStr">
        <is>
          <t>1</t>
        </is>
      </c>
      <c r="AE814" t="inlineStr">
        <is>
          <t>0.000263184973008233</t>
        </is>
      </c>
      <c r="AF814" t="inlineStr">
        <is>
          <t>methylenetetrahydrofolate dehydrogenase (NADP+ dependent) 2-like</t>
        </is>
      </c>
      <c r="AG814" t="inlineStr">
        <is>
          <t>.</t>
        </is>
      </c>
      <c r="AH814" t="inlineStr">
        <is>
          <t>.</t>
        </is>
      </c>
      <c r="AI814" t="inlineStr">
        <is>
          <t>.</t>
        </is>
      </c>
      <c r="AJ814" t="inlineStr">
        <is>
          <t>.</t>
        </is>
      </c>
      <c r="AK814" t="inlineStr">
        <is>
          <t>.</t>
        </is>
      </c>
      <c r="AL814" t="inlineStr">
        <is>
          <t>.</t>
        </is>
      </c>
    </row>
    <row r="815">
      <c r="A815" t="inlineStr"/>
      <c r="B815">
        <f>HYPERLINK("https://genome.ucsc.edu/cgi-bin/hgTracks?db=hg19&amp;position=chr4%3A77085401%2D77085541", "chr4:77085401")</f>
        <v/>
      </c>
      <c r="C815" t="inlineStr">
        <is>
          <t>chr4</t>
        </is>
      </c>
      <c r="D815" t="n">
        <v>77085401</v>
      </c>
      <c r="E815" t="n">
        <v>77085541</v>
      </c>
      <c r="F815" t="inlineStr">
        <is>
          <t>CTATAATCCCAGCACTTTGGGAGGCCAAGGCAGGCGGATTGCTTGAGCTCAAAAGTTTGAGACCAGCCTGAGCAATGTGGTGAAACCACCTCTCTACAAAAAATACAAAAATTAGCTGGGGCTGGGCATGGTGGCTCATGA</t>
        </is>
      </c>
      <c r="G815" t="inlineStr">
        <is>
          <t>-</t>
        </is>
      </c>
      <c r="H815" t="inlineStr">
        <is>
          <t>47.60</t>
        </is>
      </c>
      <c r="I815" t="inlineStr">
        <is>
          <t>6</t>
        </is>
      </c>
      <c r="J815" t="inlineStr">
        <is>
          <t>4,2</t>
        </is>
      </c>
      <c r="K815" t="inlineStr">
        <is>
          <t>.</t>
        </is>
      </c>
      <c r="L815" t="inlineStr">
        <is>
          <t>.</t>
        </is>
      </c>
      <c r="M815">
        <f>HYPERLINK("https://www.genecards.org/Search/Keyword?queryString=%5Baliases%5D(%20SCARB2%20)&amp;keywords=SCARB2", "SCARB2")</f>
        <v/>
      </c>
      <c r="N815" t="inlineStr">
        <is>
          <t>intronic;ncRNA_intronic</t>
        </is>
      </c>
      <c r="O815" t="inlineStr">
        <is>
          <t>.</t>
        </is>
      </c>
      <c r="P815" t="inlineStr">
        <is>
          <t>.</t>
        </is>
      </c>
      <c r="Q815" t="n">
        <v>-1</v>
      </c>
      <c r="R815" t="n">
        <v>-1</v>
      </c>
      <c r="S815" t="n">
        <v>-1</v>
      </c>
      <c r="T815" t="n">
        <v>-1</v>
      </c>
      <c r="U815" t="n">
        <v>-1</v>
      </c>
      <c r="V815" t="inlineStr">
        <is>
          <t>.</t>
        </is>
      </c>
      <c r="W815" t="inlineStr">
        <is>
          <t>.</t>
        </is>
      </c>
      <c r="X815" t="inlineStr">
        <is>
          <t>.</t>
        </is>
      </c>
      <c r="Y815" t="inlineStr">
        <is>
          <t>.</t>
        </is>
      </c>
      <c r="Z815" t="inlineStr">
        <is>
          <t>.</t>
        </is>
      </c>
      <c r="AA815" t="inlineStr">
        <is>
          <t>.</t>
        </is>
      </c>
      <c r="AB815" t="inlineStr">
        <is>
          <t>.</t>
        </is>
      </c>
      <c r="AC815" t="inlineStr">
        <is>
          <t>0/1</t>
        </is>
      </c>
      <c r="AD815" t="inlineStr">
        <is>
          <t>2</t>
        </is>
      </c>
      <c r="AE815" t="inlineStr">
        <is>
          <t>0.072442869057668</t>
        </is>
      </c>
      <c r="AF815" t="inlineStr">
        <is>
          <t>scavenger receptor class B member 2</t>
        </is>
      </c>
      <c r="AG815" t="inlineStr">
        <is>
          <t xml:space="preserve">FUNCTION: Acts as a lysosomal receptor for glucosylceramidase (GBA) targeting. {ECO:0000269|PubMed:18022370}.; </t>
        </is>
      </c>
      <c r="AH815" t="inlineStr">
        <is>
          <t xml:space="preserve">DISEASE: Epilepsy, progressive myoclonic 4, with or without renal failure (EPM4) [MIM:254900]: An autosomal recessive progressive myoclonic epilepsy associated with renal failure in some cases. Cognitive function is preserved. Myoclonus is a brief, involuntary twitching of a muscle or a group of muscles. {ECO:0000269|PubMed:18308289, ECO:0000269|PubMed:18424452, ECO:0000269|PubMed:19454373, ECO:0000269|PubMed:21670406}. Note=The disease is caused by mutations affecting the gene represented in this entry.; DISEASE: Note=Genetic variants in SCARB2 can act as modifier of the phenotypic expression and severity of Gaucher disease. {ECO:0000269|PubMed:21796727}.; </t>
        </is>
      </c>
      <c r="AI815" t="inlineStr">
        <is>
          <t>.</t>
        </is>
      </c>
      <c r="AJ815" t="inlineStr">
        <is>
          <t>.</t>
        </is>
      </c>
      <c r="AK815" t="inlineStr">
        <is>
          <t>.</t>
        </is>
      </c>
      <c r="AL815" t="inlineStr">
        <is>
          <t>.</t>
        </is>
      </c>
    </row>
    <row r="816">
      <c r="A816" t="inlineStr"/>
      <c r="B816">
        <f>HYPERLINK("https://genome.ucsc.edu/cgi-bin/hgTracks?db=hg19&amp;position=chr4%3A77097870%2D77097870", "chr4:77097870")</f>
        <v/>
      </c>
      <c r="C816" t="inlineStr">
        <is>
          <t>chr4</t>
        </is>
      </c>
      <c r="D816" t="n">
        <v>77097870</v>
      </c>
      <c r="E816" t="n">
        <v>77097870</v>
      </c>
      <c r="F816" t="inlineStr">
        <is>
          <t>-</t>
        </is>
      </c>
      <c r="G816" t="inlineStr">
        <is>
          <t>C</t>
        </is>
      </c>
      <c r="H816" t="inlineStr">
        <is>
          <t>35.60</t>
        </is>
      </c>
      <c r="I816" t="inlineStr">
        <is>
          <t>7</t>
        </is>
      </c>
      <c r="J816" t="inlineStr">
        <is>
          <t>5,2</t>
        </is>
      </c>
      <c r="K816" t="inlineStr">
        <is>
          <t>.</t>
        </is>
      </c>
      <c r="L816" t="inlineStr">
        <is>
          <t>.</t>
        </is>
      </c>
      <c r="M816">
        <f>HYPERLINK("https://www.genecards.org/Search/Keyword?queryString=%5Baliases%5D(%20SCARB2%20)&amp;keywords=SCARB2", "SCARB2")</f>
        <v/>
      </c>
      <c r="N816" t="inlineStr">
        <is>
          <t>intronic;ncRNA_intronic</t>
        </is>
      </c>
      <c r="O816" t="inlineStr">
        <is>
          <t>.</t>
        </is>
      </c>
      <c r="P816" t="inlineStr">
        <is>
          <t>.</t>
        </is>
      </c>
      <c r="Q816" t="n">
        <v>-1</v>
      </c>
      <c r="R816" t="n">
        <v>-1</v>
      </c>
      <c r="S816" t="n">
        <v>-1</v>
      </c>
      <c r="T816" t="n">
        <v>-1</v>
      </c>
      <c r="U816" t="n">
        <v>-1</v>
      </c>
      <c r="V816" t="inlineStr">
        <is>
          <t>.</t>
        </is>
      </c>
      <c r="W816" t="inlineStr">
        <is>
          <t>.</t>
        </is>
      </c>
      <c r="X816" t="inlineStr">
        <is>
          <t>.</t>
        </is>
      </c>
      <c r="Y816" t="inlineStr">
        <is>
          <t>.</t>
        </is>
      </c>
      <c r="Z816" t="inlineStr">
        <is>
          <t>.</t>
        </is>
      </c>
      <c r="AA816" t="inlineStr">
        <is>
          <t>.</t>
        </is>
      </c>
      <c r="AB816" t="inlineStr">
        <is>
          <t>.</t>
        </is>
      </c>
      <c r="AC816" t="inlineStr">
        <is>
          <t>0/1</t>
        </is>
      </c>
      <c r="AD816" t="inlineStr">
        <is>
          <t>2</t>
        </is>
      </c>
      <c r="AE816" t="inlineStr">
        <is>
          <t>0.072442869057668</t>
        </is>
      </c>
      <c r="AF816" t="inlineStr">
        <is>
          <t>scavenger receptor class B member 2</t>
        </is>
      </c>
      <c r="AG816" t="inlineStr">
        <is>
          <t xml:space="preserve">FUNCTION: Acts as a lysosomal receptor for glucosylceramidase (GBA) targeting. {ECO:0000269|PubMed:18022370}.; </t>
        </is>
      </c>
      <c r="AH816" t="inlineStr">
        <is>
          <t xml:space="preserve">DISEASE: Epilepsy, progressive myoclonic 4, with or without renal failure (EPM4) [MIM:254900]: An autosomal recessive progressive myoclonic epilepsy associated with renal failure in some cases. Cognitive function is preserved. Myoclonus is a brief, involuntary twitching of a muscle or a group of muscles. {ECO:0000269|PubMed:18308289, ECO:0000269|PubMed:18424452, ECO:0000269|PubMed:19454373, ECO:0000269|PubMed:21670406}. Note=The disease is caused by mutations affecting the gene represented in this entry.; DISEASE: Note=Genetic variants in SCARB2 can act as modifier of the phenotypic expression and severity of Gaucher disease. {ECO:0000269|PubMed:21796727}.; </t>
        </is>
      </c>
      <c r="AI816" t="inlineStr">
        <is>
          <t>.</t>
        </is>
      </c>
      <c r="AJ816" t="inlineStr">
        <is>
          <t>.</t>
        </is>
      </c>
      <c r="AK816" t="inlineStr">
        <is>
          <t>.</t>
        </is>
      </c>
      <c r="AL816" t="inlineStr">
        <is>
          <t>.</t>
        </is>
      </c>
    </row>
    <row r="817">
      <c r="A817" t="inlineStr"/>
      <c r="B817">
        <f>HYPERLINK("https://genome.ucsc.edu/cgi-bin/hgTracks?db=hg19&amp;position=chr4%3A85560024%2D85560024", "chr4:85560024")</f>
        <v/>
      </c>
      <c r="C817" t="inlineStr">
        <is>
          <t>chr4</t>
        </is>
      </c>
      <c r="D817" t="n">
        <v>85560024</v>
      </c>
      <c r="E817" t="n">
        <v>85560024</v>
      </c>
      <c r="F817" t="inlineStr">
        <is>
          <t>T</t>
        </is>
      </c>
      <c r="G817" t="inlineStr">
        <is>
          <t>A</t>
        </is>
      </c>
      <c r="H817" t="inlineStr">
        <is>
          <t>117.64</t>
        </is>
      </c>
      <c r="I817" t="inlineStr">
        <is>
          <t>23</t>
        </is>
      </c>
      <c r="J817" t="inlineStr">
        <is>
          <t>17,6</t>
        </is>
      </c>
      <c r="K817" t="inlineStr">
        <is>
          <t>.</t>
        </is>
      </c>
      <c r="L817">
        <f>HYPERLINK("https://www.ncbi.nlm.nih.gov/snp/rs182410859", "rs182410859")</f>
        <v/>
      </c>
      <c r="M817">
        <f>HYPERLINK("https://www.genecards.org/Search/Keyword?queryString=%5Baliases%5D(%20CDS1%20)&amp;keywords=CDS1", "CDS1")</f>
        <v/>
      </c>
      <c r="N817" t="inlineStr">
        <is>
          <t>intronic</t>
        </is>
      </c>
      <c r="O817" t="inlineStr">
        <is>
          <t>.</t>
        </is>
      </c>
      <c r="P817" t="inlineStr">
        <is>
          <t>.</t>
        </is>
      </c>
      <c r="Q817" t="n">
        <v>0.005</v>
      </c>
      <c r="R817" t="n">
        <v>0.0008</v>
      </c>
      <c r="S817" t="n">
        <v>0.0005999999999999999</v>
      </c>
      <c r="T817" t="n">
        <v>-1</v>
      </c>
      <c r="U817" t="n">
        <v>0.0008</v>
      </c>
      <c r="V817" t="inlineStr">
        <is>
          <t>.</t>
        </is>
      </c>
      <c r="W817" t="inlineStr">
        <is>
          <t>.</t>
        </is>
      </c>
      <c r="X817" t="inlineStr">
        <is>
          <t>D</t>
        </is>
      </c>
      <c r="Y817" t="inlineStr">
        <is>
          <t>off</t>
        </is>
      </c>
      <c r="Z817" t="inlineStr">
        <is>
          <t>.</t>
        </is>
      </c>
      <c r="AA817" t="inlineStr">
        <is>
          <t>.</t>
        </is>
      </c>
      <c r="AB817" t="inlineStr">
        <is>
          <t>.</t>
        </is>
      </c>
      <c r="AC817" t="inlineStr">
        <is>
          <t>0/1</t>
        </is>
      </c>
      <c r="AD817" t="inlineStr">
        <is>
          <t>1</t>
        </is>
      </c>
      <c r="AE817" t="inlineStr">
        <is>
          <t>0.00532553324506115</t>
        </is>
      </c>
      <c r="AF817" t="inlineStr">
        <is>
          <t>CDP-diacylglycerol synthase 1</t>
        </is>
      </c>
      <c r="AG817" t="inlineStr">
        <is>
          <t xml:space="preserve">FUNCTION: Provides CDP-diacylglycerol, an important precursor for the synthesis of phosphatidylinositol (PtdIns), phosphatidylglycerol, and cardiolipin. Overexpression may amplify cellular signaling responses from cytokines. May also play an important role in the signal transduction mechanism of retina and neural cells.; </t>
        </is>
      </c>
      <c r="AH817" t="inlineStr">
        <is>
          <t>.</t>
        </is>
      </c>
      <c r="AI817" t="inlineStr">
        <is>
          <t>.</t>
        </is>
      </c>
      <c r="AJ817" t="inlineStr">
        <is>
          <t>.</t>
        </is>
      </c>
      <c r="AK817" t="inlineStr">
        <is>
          <t>.</t>
        </is>
      </c>
      <c r="AL817" t="inlineStr">
        <is>
          <t>.</t>
        </is>
      </c>
    </row>
    <row r="818">
      <c r="A818" t="inlineStr"/>
      <c r="B818">
        <f>HYPERLINK("https://genome.ucsc.edu/cgi-bin/hgTracks?db=hg19&amp;position=chr4%3A87705395%2D87705395", "chr4:87705395")</f>
        <v/>
      </c>
      <c r="C818" t="inlineStr">
        <is>
          <t>chr4</t>
        </is>
      </c>
      <c r="D818" t="n">
        <v>87705395</v>
      </c>
      <c r="E818" t="n">
        <v>87705395</v>
      </c>
      <c r="F818" t="inlineStr">
        <is>
          <t>T</t>
        </is>
      </c>
      <c r="G818" t="inlineStr">
        <is>
          <t>A</t>
        </is>
      </c>
      <c r="H818" t="inlineStr">
        <is>
          <t>50.64</t>
        </is>
      </c>
      <c r="I818" t="inlineStr">
        <is>
          <t>8</t>
        </is>
      </c>
      <c r="J818" t="inlineStr">
        <is>
          <t>6,2</t>
        </is>
      </c>
      <c r="K818" t="inlineStr">
        <is>
          <t>.</t>
        </is>
      </c>
      <c r="L818" t="inlineStr">
        <is>
          <t>.</t>
        </is>
      </c>
      <c r="M818">
        <f>HYPERLINK("https://www.genecards.org/Search/Keyword?queryString=%5Baliases%5D(%20PTPN13%20)&amp;keywords=PTPN13", "PTPN13")</f>
        <v/>
      </c>
      <c r="N818" t="inlineStr">
        <is>
          <t>intronic</t>
        </is>
      </c>
      <c r="O818" t="inlineStr">
        <is>
          <t>.</t>
        </is>
      </c>
      <c r="P818" t="inlineStr">
        <is>
          <t>.</t>
        </is>
      </c>
      <c r="Q818" t="n">
        <v>-1</v>
      </c>
      <c r="R818" t="n">
        <v>-1</v>
      </c>
      <c r="S818" t="n">
        <v>-1</v>
      </c>
      <c r="T818" t="n">
        <v>-1</v>
      </c>
      <c r="U818" t="n">
        <v>-1</v>
      </c>
      <c r="V818" t="inlineStr">
        <is>
          <t>.</t>
        </is>
      </c>
      <c r="W818" t="inlineStr">
        <is>
          <t>.</t>
        </is>
      </c>
      <c r="X818" t="inlineStr">
        <is>
          <t>PD</t>
        </is>
      </c>
      <c r="Y818" t="inlineStr">
        <is>
          <t>off</t>
        </is>
      </c>
      <c r="Z818" t="inlineStr">
        <is>
          <t>.</t>
        </is>
      </c>
      <c r="AA818" t="inlineStr">
        <is>
          <t>.</t>
        </is>
      </c>
      <c r="AB818" t="inlineStr">
        <is>
          <t>.</t>
        </is>
      </c>
      <c r="AC818" t="inlineStr">
        <is>
          <t>0/1</t>
        </is>
      </c>
      <c r="AD818" t="inlineStr">
        <is>
          <t>1</t>
        </is>
      </c>
      <c r="AE818" t="inlineStr">
        <is>
          <t>5.05692716523618e-10</t>
        </is>
      </c>
      <c r="AF818" t="inlineStr">
        <is>
          <t>protein tyrosine phosphatase, non-receptor type 13</t>
        </is>
      </c>
      <c r="AG818" t="inlineStr">
        <is>
          <t xml:space="preserve">FUNCTION: Tyrosine phosphatase which regulates negatively FAS- induced apoptosis and NGFR-mediated pro-apoptotic signaling (PubMed:15611135). May regulate phosphoinositide 3-kinase (PI3K) signaling through dephosphorylation of PIK3R2 (PubMed:23604317). {ECO:0000269|PubMed:15611135, ECO:0000269|PubMed:23604317}.; </t>
        </is>
      </c>
      <c r="AH818" t="inlineStr">
        <is>
          <t>.</t>
        </is>
      </c>
      <c r="AI818" t="inlineStr">
        <is>
          <t>.</t>
        </is>
      </c>
      <c r="AJ818" t="inlineStr">
        <is>
          <t>.</t>
        </is>
      </c>
      <c r="AK818" t="inlineStr">
        <is>
          <t>.</t>
        </is>
      </c>
      <c r="AL818" t="inlineStr">
        <is>
          <t>.</t>
        </is>
      </c>
    </row>
    <row r="819">
      <c r="A819" t="inlineStr"/>
      <c r="B819">
        <f>HYPERLINK("https://genome.ucsc.edu/cgi-bin/hgTracks?db=hg19&amp;position=chr4%3A88533166%2D88533171", "chr4:88533166")</f>
        <v/>
      </c>
      <c r="C819" t="inlineStr">
        <is>
          <t>chr4</t>
        </is>
      </c>
      <c r="D819" t="n">
        <v>88533166</v>
      </c>
      <c r="E819" t="n">
        <v>88533171</v>
      </c>
      <c r="F819" t="inlineStr">
        <is>
          <t>TGTGTG</t>
        </is>
      </c>
      <c r="G819" t="inlineStr">
        <is>
          <t>-</t>
        </is>
      </c>
      <c r="H819" t="inlineStr">
        <is>
          <t>1154.02</t>
        </is>
      </c>
      <c r="I819" t="inlineStr">
        <is>
          <t>28</t>
        </is>
      </c>
      <c r="J819" t="inlineStr">
        <is>
          <t>0,16,12</t>
        </is>
      </c>
      <c r="K819" t="inlineStr">
        <is>
          <t>.</t>
        </is>
      </c>
      <c r="L819" t="inlineStr">
        <is>
          <t>.</t>
        </is>
      </c>
      <c r="M819">
        <f>HYPERLINK("https://www.genecards.org/Search/Keyword?queryString=%5Baliases%5D(%20DSPP%20)&amp;keywords=DSPP", "DSPP")</f>
        <v/>
      </c>
      <c r="N819" t="inlineStr">
        <is>
          <t>intronic;ncRNA_intronic</t>
        </is>
      </c>
      <c r="O819" t="inlineStr">
        <is>
          <t>.</t>
        </is>
      </c>
      <c r="P819" t="inlineStr">
        <is>
          <t>.</t>
        </is>
      </c>
      <c r="Q819" t="n">
        <v>-1</v>
      </c>
      <c r="R819" t="n">
        <v>-1</v>
      </c>
      <c r="S819" t="n">
        <v>-1</v>
      </c>
      <c r="T819" t="n">
        <v>-1</v>
      </c>
      <c r="U819" t="n">
        <v>-1</v>
      </c>
      <c r="V819" t="inlineStr">
        <is>
          <t>.</t>
        </is>
      </c>
      <c r="W819" t="inlineStr">
        <is>
          <t>.</t>
        </is>
      </c>
      <c r="X819" t="inlineStr">
        <is>
          <t>.</t>
        </is>
      </c>
      <c r="Y819" t="inlineStr">
        <is>
          <t>.</t>
        </is>
      </c>
      <c r="Z819" t="inlineStr">
        <is>
          <t>.</t>
        </is>
      </c>
      <c r="AA819" t="inlineStr">
        <is>
          <t>.</t>
        </is>
      </c>
      <c r="AB819" t="inlineStr">
        <is>
          <t>.</t>
        </is>
      </c>
      <c r="AC819" t="inlineStr">
        <is>
          <t>1/2</t>
        </is>
      </c>
      <c r="AD819" t="inlineStr">
        <is>
          <t>1</t>
        </is>
      </c>
      <c r="AE819" t="inlineStr">
        <is>
          <t>0.000618023464984046</t>
        </is>
      </c>
      <c r="AF819" t="inlineStr">
        <is>
          <t>dentin sialophosphoprotein</t>
        </is>
      </c>
      <c r="AG819" t="inlineStr">
        <is>
          <t xml:space="preserve">FUNCTION: DSP may be an important factor in dentinogenesis. DPP may bind high amount of calcium and facilitate initial mineralization of dentin matrix collagen as well as regulate the size and shape of the crystals.; </t>
        </is>
      </c>
      <c r="AH819" t="inlineStr">
        <is>
          <t xml:space="preserve">DISEASE: Deafness, autosomal dominant, 39, with dentinogenesis imperfecta 1 (DFNA39/DGI1) [MIM:605594]: A disorder characterized by the association of progressive sensorineural high-frequency hearing loss with dentinogenesis imperfecta. {ECO:0000269|PubMed:11175790}. Note=The disease is caused by mutations affecting the gene represented in this entry.; DISEASE: Dentinogenesis imperfecta, Shields type 2 (DGI2) [MIM:125490]: A form of dentinogenesis imperfecta, an autosomal dominant dentin disorder characterized by amber-brown, opalescent teeth that fracture and shed their enamel during mastication, thereby exposing the dentin to rapid wear. Radiographically, the crown appears bulbous and pulpal obliteration is common. The pulp chambers are initially larger than normal prior and immediately after tooth eruption, and then progressively close down to become almost obliterated by abnormal dentin formation. Roots are short and thin. Both primary and permanent teeth are affected. DGI2 is not associated with osteogenesis imperfecta. {ECO:0000269|PubMed:11175779, ECO:0000269|PubMed:14758537, ECO:0000269|PubMed:17627120, ECO:0000269|PubMed:21029264}. Note=The disease is caused by mutations affecting the gene represented in this entry. DSPP defects causing dentin abnormalities act in a dominant negative manner and include missense, splice-site, frameshift mutations. 5' frameshift mutations cause dentin dysplasia while frameshift mutations at the 3' end cause the more severe dentinogenesis imperfecta phenotype (PubMed:18521831 and PubMed:22392858).; DISEASE: Dentinogenesis imperfecta, Shields type 3 (DGI3) [MIM:125500]: A form of dentinogenesis imperfecta, an autosomal dominant dentin disorder characterized by amber-brown, opalescent teeth that fracture and shed their enamel during mastication, thereby exposing the dentin to rapid wear. Radiographically, the crown appears bulbous and pulpal obliteration is common. The pulp chambers are initially larger than normal prior and immediately after tooth eruption, and then progressively close down to become almost obliterated by abnormal dentin formation. Roots are short and thin. Both primary and permanent teeth are affected. DGI3 teeth typically manifest multiple periapical radiolucencies. DGI3 is not associated with osteogenesis imperfecta. {ECO:0000269|PubMed:15592686, ECO:0000269|PubMed:18521831, ECO:0000269|PubMed:23509818}. Note=The disease is caused by mutations affecting the gene represented in this entry. DSPP defects causing dentin abnormalities act in a dominant negative manner and include missense, splice-site, frameshift mutations. 5' frameshift mutations cause dentin dysplasia while frameshift mutations at the 3' end cause the more severe dentinogenesis imperfecta phenotype (PubMed:18521831 and PubMed:22392858).; DISEASE: Dentin dysplasia 2 (DTDP2) [MIM:125420]: A dental defect in which the deciduous teeth are opalescent. The permanent teeth are of normal shape, form, and color in most cases. The root length is normal. On radiographs, the pulp chambers of permanent teeth are obliterated, have a thistle-tube deformity and contain pulp stones. {ECO:0000269|PubMed:12354781, ECO:0000269|PubMed:18521831}. Note=The disease is caused by mutations affecting the gene represented in this entry. DSPP defects causing dentin abnormalities act in a dominant negative manner and include missense, splice-site, frameshift mutations. 5' frameshift mutations cause dentin dysplasia while frameshift mutations at the 3' end cause the more severe dentinogenesis imperfecta phenotype (PubMed:18521831, PubMed:22392858). {ECO:0000269|PubMed:18521831, ECO:0000269|PubMed:22392858}.; </t>
        </is>
      </c>
      <c r="AI819" t="inlineStr">
        <is>
          <t>.</t>
        </is>
      </c>
      <c r="AJ819" t="inlineStr">
        <is>
          <t>.</t>
        </is>
      </c>
      <c r="AK819" t="inlineStr">
        <is>
          <t>.</t>
        </is>
      </c>
      <c r="AL819" t="inlineStr">
        <is>
          <t>.</t>
        </is>
      </c>
    </row>
    <row r="820">
      <c r="A820" t="inlineStr"/>
      <c r="B820">
        <f>HYPERLINK("https://genome.ucsc.edu/cgi-bin/hgTracks?db=hg19&amp;position=chr4%3A88585219%2D88585219", "chr4:88585219")</f>
        <v/>
      </c>
      <c r="C820" t="inlineStr">
        <is>
          <t>chr4</t>
        </is>
      </c>
      <c r="D820" t="n">
        <v>88585219</v>
      </c>
      <c r="E820" t="n">
        <v>88585219</v>
      </c>
      <c r="F820" t="inlineStr">
        <is>
          <t>T</t>
        </is>
      </c>
      <c r="G820" t="inlineStr">
        <is>
          <t>-</t>
        </is>
      </c>
      <c r="H820" t="inlineStr">
        <is>
          <t>2121.02</t>
        </is>
      </c>
      <c r="I820" t="inlineStr">
        <is>
          <t>89</t>
        </is>
      </c>
      <c r="J820" t="inlineStr">
        <is>
          <t>5,35,47</t>
        </is>
      </c>
      <c r="K820" t="inlineStr">
        <is>
          <t>.</t>
        </is>
      </c>
      <c r="L820" t="inlineStr">
        <is>
          <t>.</t>
        </is>
      </c>
      <c r="M820">
        <f>HYPERLINK("https://www.genecards.org/Search/Keyword?queryString=%5Baliases%5D(%20DMP1%20)&amp;keywords=DMP1", "DMP1")</f>
        <v/>
      </c>
      <c r="N820" t="inlineStr">
        <is>
          <t>UTR3;ncRNA_intronic</t>
        </is>
      </c>
      <c r="O820" t="inlineStr">
        <is>
          <t>.</t>
        </is>
      </c>
      <c r="P820" t="inlineStr">
        <is>
          <t>NM_004407:c.*747delT;NM_001079911:c.*747delT;uc003hqv.3:c.*747delT;uc003hqw.3:c.*747delT</t>
        </is>
      </c>
      <c r="Q820" t="n">
        <v>-1</v>
      </c>
      <c r="R820" t="n">
        <v>-1</v>
      </c>
      <c r="S820" t="n">
        <v>-1</v>
      </c>
      <c r="T820" t="n">
        <v>-1</v>
      </c>
      <c r="U820" t="n">
        <v>-1</v>
      </c>
      <c r="V820" t="inlineStr">
        <is>
          <t>.</t>
        </is>
      </c>
      <c r="W820" t="inlineStr">
        <is>
          <t>.</t>
        </is>
      </c>
      <c r="X820" t="inlineStr">
        <is>
          <t>.</t>
        </is>
      </c>
      <c r="Y820" t="inlineStr">
        <is>
          <t>.</t>
        </is>
      </c>
      <c r="Z820" t="inlineStr">
        <is>
          <t>.</t>
        </is>
      </c>
      <c r="AA820" t="inlineStr">
        <is>
          <t>.</t>
        </is>
      </c>
      <c r="AB820" t="inlineStr">
        <is>
          <t>.</t>
        </is>
      </c>
      <c r="AC820" t="inlineStr">
        <is>
          <t>1/2</t>
        </is>
      </c>
      <c r="AD820" t="inlineStr">
        <is>
          <t>1</t>
        </is>
      </c>
      <c r="AE820" t="inlineStr">
        <is>
          <t>0.000223014124025285</t>
        </is>
      </c>
      <c r="AF820" t="inlineStr">
        <is>
          <t>dentin matrix acidic phosphoprotein 1</t>
        </is>
      </c>
      <c r="AG820" t="inlineStr">
        <is>
          <t xml:space="preserve">FUNCTION: May have a dual function during osteoblast differentiation. In the nucleus of undifferentiated osteoblasts, unphosphorylated form acts as a transcriptional component for activation of osteoblast-specific genes like osteocalcin. During the osteoblast to osteocyte transition phase it is phosphorylated and exported into the extracellular matrix, where it regulates nucleation of hydroxyapatite. {ECO:0000269|PubMed:12615915}.; </t>
        </is>
      </c>
      <c r="AH820" t="inlineStr">
        <is>
          <t xml:space="preserve">DISEASE: Hypophosphatemic rickets, autosomal recessive, 1 (ARHR1) [MIM:241520]: A hereditary form of hypophosphatemic rickets, a disorder of proximal renal tubule function that causes phosphate loss, hypophosphatemia and skeletal deformities, including rickets and osteomalacia unresponsive to vitamin D. Symptoms are bone pain, fractures and growth abnormalities. {ECO:0000269|PubMed:17033621, ECO:0000269|PubMed:17033625}. Note=The disease is caused by mutations affecting the gene represented in this entry.; </t>
        </is>
      </c>
      <c r="AI820" t="inlineStr">
        <is>
          <t>.</t>
        </is>
      </c>
      <c r="AJ820" t="inlineStr">
        <is>
          <t>.</t>
        </is>
      </c>
      <c r="AK820" t="inlineStr">
        <is>
          <t>.</t>
        </is>
      </c>
      <c r="AL820" t="inlineStr">
        <is>
          <t>.</t>
        </is>
      </c>
    </row>
    <row r="821">
      <c r="A821" t="inlineStr"/>
      <c r="B821">
        <f>HYPERLINK("https://genome.ucsc.edu/cgi-bin/hgTracks?db=hg19&amp;position=chr4%3A90646469%2D90646469", "chr4:90646469")</f>
        <v/>
      </c>
      <c r="C821" t="inlineStr">
        <is>
          <t>chr4</t>
        </is>
      </c>
      <c r="D821" t="n">
        <v>90646469</v>
      </c>
      <c r="E821" t="n">
        <v>90646469</v>
      </c>
      <c r="F821" t="inlineStr">
        <is>
          <t>-</t>
        </is>
      </c>
      <c r="G821" t="inlineStr">
        <is>
          <t>A</t>
        </is>
      </c>
      <c r="H821" t="inlineStr">
        <is>
          <t>801.02</t>
        </is>
      </c>
      <c r="I821" t="inlineStr">
        <is>
          <t>30</t>
        </is>
      </c>
      <c r="J821" t="inlineStr">
        <is>
          <t>0,5,13</t>
        </is>
      </c>
      <c r="K821" t="inlineStr">
        <is>
          <t>.</t>
        </is>
      </c>
      <c r="L821" t="inlineStr">
        <is>
          <t>.</t>
        </is>
      </c>
      <c r="M821">
        <f>HYPERLINK("https://www.genecards.org/Search/Keyword?queryString=%5Baliases%5D(%20SNCA%20)&amp;keywords=SNCA", "SNCA")</f>
        <v/>
      </c>
      <c r="N821" t="inlineStr">
        <is>
          <t>UTR3;ncRNA_intronic</t>
        </is>
      </c>
      <c r="O821" t="inlineStr">
        <is>
          <t>.</t>
        </is>
      </c>
      <c r="P821" t="inlineStr">
        <is>
          <t>NM_001375288:c.*1309_*1310insT;NM_001375287:c.*1309_*1310insT;NM_001375286:c.*1309_*1310insT;NM_001375285:c.*1309_*1310insT;NM_007308:c.*1309_*1310insT;NM_001375290:c.*1309_*1310insT;NM_000345:c.*1309_*1310insT;NM_001146055:c.*1309_*1310insT;NM_001146054:c.*1309_*1310insT;uc010ikt.4:c.*1309_*1310insT;uc003hsq.3:c.*1309_*1310insT;uc003hso.3:c.*1309_*1310insT;uc031sgd.1:c.*1309_*1310insT;uc003hsp.3:c.*1309_*1310insT;uc031sgg.1:c.*1309_*1310insT;uc031sgh.1:c.*1309_*1310insT;uc003hsr.3:c.*1309_*1310insT;uc031sgj.1:c.*1309_*1310insT</t>
        </is>
      </c>
      <c r="Q821" t="n">
        <v>3.84e-05</v>
      </c>
      <c r="R821" t="n">
        <v>-1</v>
      </c>
      <c r="S821" t="n">
        <v>-1</v>
      </c>
      <c r="T821" t="n">
        <v>-1</v>
      </c>
      <c r="U821" t="n">
        <v>-1</v>
      </c>
      <c r="V821" t="inlineStr">
        <is>
          <t>.</t>
        </is>
      </c>
      <c r="W821" t="inlineStr">
        <is>
          <t>.</t>
        </is>
      </c>
      <c r="X821" t="inlineStr">
        <is>
          <t>.</t>
        </is>
      </c>
      <c r="Y821" t="inlineStr">
        <is>
          <t>.</t>
        </is>
      </c>
      <c r="Z821" t="inlineStr">
        <is>
          <t>.</t>
        </is>
      </c>
      <c r="AA821" t="inlineStr">
        <is>
          <t>.</t>
        </is>
      </c>
      <c r="AB821" t="inlineStr">
        <is>
          <t>.</t>
        </is>
      </c>
      <c r="AC821" t="inlineStr">
        <is>
          <t>1/2</t>
        </is>
      </c>
      <c r="AD821" t="inlineStr">
        <is>
          <t>1</t>
        </is>
      </c>
      <c r="AE821" t="inlineStr">
        <is>
          <t>0.841962359247494</t>
        </is>
      </c>
      <c r="AF821" t="inlineStr">
        <is>
          <t>synuclein alpha</t>
        </is>
      </c>
      <c r="AG821" t="inlineStr">
        <is>
          <t xml:space="preserve">FUNCTION: May be involved in the regulation of dopamine release and transport. Induces fibrillization of microtubule-associated protein tau. Reduces neuronal responsiveness to various apoptotic stimuli, leading to a decreased caspase-3 activation.; </t>
        </is>
      </c>
      <c r="AH821" t="inlineStr">
        <is>
          <t xml:space="preserve">DISEASE: Note=Genetic alterations of SNCA resulting in aberrant polymerization into fibrils, are associated with several neurodegenerative diseases (synucleinopathies). SNCA fibrillar aggregates represent the major non A-beta component of Alzheimer disease amyloid plaque, and a major component of Lewy body inclusions. They are also found within Lewy body (LB)-like intraneuronal inclusions, glial inclusions and axonal spheroids in neurodegeneration with brain iron accumulation type 1.; DISEASE: Parkinson disease 1 (PARK1) [MIM:168601]: A complex neurodegenerative disorder characterized by bradykinesia, resting tremor, muscular rigidity and postural instability. Additional features are characteristic postural abnormalities, dysautonomia, dystonic cramps, and dementia. The pathology of Parkinson disease involves the loss of dopaminergic neurons in the substantia nigra and the presence of Lewy bodies (intraneuronal accumulations of aggregated proteins), in surviving neurons in various areas of the brain. The disease is progressive and usually manifests after the age of 50 years, although early-onset cases (before 50 years) are known. The majority of the cases are sporadic suggesting a multifactorial etiology based on environmental and genetic factors. However, some patients present with a positive family history for the disease. Familial forms of the disease usually begin at earlier ages and are associated with atypical clinical features. {ECO:0000269|PubMed:23427326, ECO:0000269|PubMed:23457019, ECO:0000269|PubMed:24936070, ECO:0000269|PubMed:25561023, ECO:0000269|PubMed:9197268, ECO:0000269|PubMed:9462735}. Note=The disease is caused by mutations affecting the gene represented in this entry.; DISEASE: Parkinson disease 4 (PARK4) [MIM:605543]: A complex neurodegenerative disorder with manifestations ranging from typical Parkinson disease to dementia with Lewy bodies. Clinical features include parkinsonian symptoms (resting tremor, rigidity, postural instability and bradykinesia), dementia, diffuse Lewy body pathology, autonomic dysfunction, hallucinations and paranoia. Note=The disease is caused by mutations affecting the gene represented in this entry.; DISEASE: Dementia Lewy body (DLB) [MIM:127750]: A neurodegenerative disorder characterized by mental impairment leading to dementia, parkinsonism, fluctuating cognitive function, visual hallucinations, falls, syncopal episodes, and sensitivity to neuroleptic medication. Brainstem or cortical intraneuronal accumulations of aggregated proteins (Lewy bodies) are the only essential pathologic features. Patients may also have hippocampal and neocortical senile plaques, sometimes in sufficient number to fulfill the diagnostic criteria for Alzheimer disease. {ECO:0000269|PubMed:14755719}. Note=The disease is caused by mutations affecting the gene represented in this entry.; </t>
        </is>
      </c>
      <c r="AI821" t="inlineStr">
        <is>
          <t>.</t>
        </is>
      </c>
      <c r="AJ821" t="inlineStr">
        <is>
          <t>.</t>
        </is>
      </c>
      <c r="AK821" t="inlineStr">
        <is>
          <t>.</t>
        </is>
      </c>
      <c r="AL821" t="inlineStr">
        <is>
          <t>.</t>
        </is>
      </c>
    </row>
    <row r="822">
      <c r="A822" t="inlineStr"/>
      <c r="B822">
        <f>HYPERLINK("https://genome.ucsc.edu/cgi-bin/hgTracks?db=hg19&amp;position=chr4%3A94159719%2D94159719", "chr4:94159719")</f>
        <v/>
      </c>
      <c r="C822" t="inlineStr">
        <is>
          <t>chr4</t>
        </is>
      </c>
      <c r="D822" t="n">
        <v>94159719</v>
      </c>
      <c r="E822" t="n">
        <v>94159719</v>
      </c>
      <c r="F822" t="inlineStr">
        <is>
          <t>A</t>
        </is>
      </c>
      <c r="G822" t="inlineStr">
        <is>
          <t>G</t>
        </is>
      </c>
      <c r="H822" t="inlineStr">
        <is>
          <t>137.64</t>
        </is>
      </c>
      <c r="I822" t="inlineStr">
        <is>
          <t>16</t>
        </is>
      </c>
      <c r="J822" t="inlineStr">
        <is>
          <t>10,6</t>
        </is>
      </c>
      <c r="K822" t="inlineStr">
        <is>
          <t>.</t>
        </is>
      </c>
      <c r="L822" t="inlineStr">
        <is>
          <t>.</t>
        </is>
      </c>
      <c r="M822">
        <f>HYPERLINK("https://www.genecards.org/Search/Keyword?queryString=%5Baliases%5D(%20GRID2%20)&amp;keywords=GRID2", "GRID2")</f>
        <v/>
      </c>
      <c r="N822" t="inlineStr">
        <is>
          <t>intronic</t>
        </is>
      </c>
      <c r="O822" t="inlineStr">
        <is>
          <t>.</t>
        </is>
      </c>
      <c r="P822" t="inlineStr">
        <is>
          <t>.</t>
        </is>
      </c>
      <c r="Q822" t="n">
        <v>-1</v>
      </c>
      <c r="R822" t="n">
        <v>-1</v>
      </c>
      <c r="S822" t="n">
        <v>-1</v>
      </c>
      <c r="T822" t="n">
        <v>-1</v>
      </c>
      <c r="U822" t="n">
        <v>-1</v>
      </c>
      <c r="V822" t="inlineStr">
        <is>
          <t>.</t>
        </is>
      </c>
      <c r="W822" t="inlineStr">
        <is>
          <t>.</t>
        </is>
      </c>
      <c r="X822" t="inlineStr">
        <is>
          <t>PD</t>
        </is>
      </c>
      <c r="Y822" t="inlineStr">
        <is>
          <t>off</t>
        </is>
      </c>
      <c r="Z822" t="inlineStr">
        <is>
          <t>.</t>
        </is>
      </c>
      <c r="AA822" t="inlineStr">
        <is>
          <t>.</t>
        </is>
      </c>
      <c r="AB822" t="inlineStr">
        <is>
          <t>.</t>
        </is>
      </c>
      <c r="AC822" t="inlineStr">
        <is>
          <t>0/1</t>
        </is>
      </c>
      <c r="AD822" t="inlineStr">
        <is>
          <t>1</t>
        </is>
      </c>
      <c r="AE822" t="inlineStr">
        <is>
          <t>0.999998446555818</t>
        </is>
      </c>
      <c r="AF822" t="inlineStr">
        <is>
          <t>glutamate ionotropic receptor delta type subunit 2</t>
        </is>
      </c>
      <c r="AG822" t="inlineStr">
        <is>
          <t xml:space="preserve">FUNCTION: Receptor for glutamate. L-glutamate acts as an excitatory neurotransmitter at many synapses in the central nervous system. The postsynaptic actions of Glu are mediated by a variety of receptors that are named according to their selective agonists.; </t>
        </is>
      </c>
      <c r="AH822" t="inlineStr">
        <is>
          <t xml:space="preserve">DISEASE: Spinocerebellar ataxia, autosomal recessive, 18 (SCAR18) [MIM:616204]: Spinocerebellar ataxia defines a clinically and genetically heterogeneous group of cerebellar disorders. Patients show progressive incoordination of gait and often poor coordination of hands, speech and eye movements, due to degeneration of the cerebellum with variable involvement of the brainstem and spinal cord. SCAR18 features include progressive cerebellar atrophy, delayed psychomotor development, severely impaired gait, ocular movement abnormalities, and intellectual disability. {ECO:0000269|PubMed:23611888, ECO:0000269|PubMed:24078737, ECO:0000269|PubMed:25841024}. Note=The disease is caused by mutations affecting the gene represented in this entry.; </t>
        </is>
      </c>
      <c r="AI822" t="inlineStr">
        <is>
          <t>.</t>
        </is>
      </c>
      <c r="AJ822" t="inlineStr">
        <is>
          <t>.</t>
        </is>
      </c>
      <c r="AK822" t="inlineStr">
        <is>
          <t>.</t>
        </is>
      </c>
      <c r="AL822" t="inlineStr">
        <is>
          <t>.</t>
        </is>
      </c>
    </row>
    <row r="823">
      <c r="A823" t="inlineStr"/>
      <c r="B823">
        <f>HYPERLINK("https://genome.ucsc.edu/cgi-bin/hgTracks?db=hg19&amp;position=chr4%3A100201295%2D100201295", "chr4:100201295")</f>
        <v/>
      </c>
      <c r="C823" t="inlineStr">
        <is>
          <t>chr4</t>
        </is>
      </c>
      <c r="D823" t="n">
        <v>100201295</v>
      </c>
      <c r="E823" t="n">
        <v>100201295</v>
      </c>
      <c r="F823" t="inlineStr">
        <is>
          <t>A</t>
        </is>
      </c>
      <c r="G823" t="inlineStr">
        <is>
          <t>G</t>
        </is>
      </c>
      <c r="H823" t="inlineStr">
        <is>
          <t>266.64</t>
        </is>
      </c>
      <c r="I823" t="inlineStr">
        <is>
          <t>66</t>
        </is>
      </c>
      <c r="J823" t="inlineStr">
        <is>
          <t>49,17</t>
        </is>
      </c>
      <c r="K823" t="inlineStr">
        <is>
          <t>.</t>
        </is>
      </c>
      <c r="L823">
        <f>HYPERLINK("https://www.ncbi.nlm.nih.gov/snp/rs28364331", "rs28364331")</f>
        <v/>
      </c>
      <c r="M823">
        <f>HYPERLINK("https://www.genecards.org/Search/Keyword?queryString=%5Baliases%5D(%20LOC100507053%20)&amp;keywords=LOC100507053", "LOC100507053")</f>
        <v/>
      </c>
      <c r="N823" t="inlineStr">
        <is>
          <t>ncRNA_intronic</t>
        </is>
      </c>
      <c r="O823" t="inlineStr">
        <is>
          <t>.</t>
        </is>
      </c>
      <c r="P823" t="inlineStr">
        <is>
          <t>.</t>
        </is>
      </c>
      <c r="Q823" t="n">
        <v>0.0145</v>
      </c>
      <c r="R823" t="n">
        <v>0.0136</v>
      </c>
      <c r="S823" t="n">
        <v>0.0142</v>
      </c>
      <c r="T823" t="n">
        <v>-1</v>
      </c>
      <c r="U823" t="n">
        <v>0.0098</v>
      </c>
      <c r="V823" t="inlineStr">
        <is>
          <t>.</t>
        </is>
      </c>
      <c r="W823" t="inlineStr">
        <is>
          <t>D</t>
        </is>
      </c>
      <c r="X823" t="inlineStr">
        <is>
          <t>PD</t>
        </is>
      </c>
      <c r="Y823" t="inlineStr">
        <is>
          <t>on</t>
        </is>
      </c>
      <c r="Z823" t="inlineStr">
        <is>
          <t>.</t>
        </is>
      </c>
      <c r="AA823" t="inlineStr">
        <is>
          <t>.</t>
        </is>
      </c>
      <c r="AB823" t="inlineStr">
        <is>
          <t>Benign</t>
        </is>
      </c>
      <c r="AC823" t="inlineStr">
        <is>
          <t>0/1</t>
        </is>
      </c>
      <c r="AD823" t="inlineStr">
        <is>
          <t>1</t>
        </is>
      </c>
      <c r="AE823" t="inlineStr">
        <is>
          <t>.</t>
        </is>
      </c>
      <c r="AF823" t="inlineStr">
        <is>
          <t>.</t>
        </is>
      </c>
      <c r="AG823" t="inlineStr">
        <is>
          <t>.</t>
        </is>
      </c>
      <c r="AH823" t="inlineStr">
        <is>
          <t>.</t>
        </is>
      </c>
      <c r="AI823" t="inlineStr">
        <is>
          <t>.</t>
        </is>
      </c>
      <c r="AJ823" t="inlineStr">
        <is>
          <t>.</t>
        </is>
      </c>
      <c r="AK823" t="inlineStr">
        <is>
          <t>.</t>
        </is>
      </c>
      <c r="AL823" t="inlineStr">
        <is>
          <t>NGS_LowStringency</t>
        </is>
      </c>
    </row>
    <row r="824">
      <c r="A824" t="inlineStr"/>
      <c r="B824">
        <f>HYPERLINK("https://genome.ucsc.edu/cgi-bin/hgTracks?db=hg19&amp;position=chr4%3A106180742%2D106180742", "chr4:106180742")</f>
        <v/>
      </c>
      <c r="C824" t="inlineStr">
        <is>
          <t>chr4</t>
        </is>
      </c>
      <c r="D824" t="n">
        <v>106180742</v>
      </c>
      <c r="E824" t="n">
        <v>106180742</v>
      </c>
      <c r="F824" t="inlineStr">
        <is>
          <t>C</t>
        </is>
      </c>
      <c r="G824" t="inlineStr">
        <is>
          <t>A</t>
        </is>
      </c>
      <c r="H824" t="inlineStr">
        <is>
          <t>1225.64</t>
        </is>
      </c>
      <c r="I824" t="inlineStr">
        <is>
          <t>67</t>
        </is>
      </c>
      <c r="J824" t="inlineStr">
        <is>
          <t>22,45</t>
        </is>
      </c>
      <c r="K824" t="inlineStr">
        <is>
          <t>.</t>
        </is>
      </c>
      <c r="L824">
        <f>HYPERLINK("https://www.ncbi.nlm.nih.gov/snp/rs185347520", "rs185347520")</f>
        <v/>
      </c>
      <c r="M824">
        <f>HYPERLINK("https://www.genecards.org/Search/Keyword?queryString=%5Baliases%5D(%20TET2%20)%20OR%20%5Baliases%5D(%20TET2-AS1%20)&amp;keywords=TET2,TET2-AS1", "TET2;TET2-AS1")</f>
        <v/>
      </c>
      <c r="N824" t="inlineStr">
        <is>
          <t>intronic;ncRNA_intronic</t>
        </is>
      </c>
      <c r="O824" t="inlineStr">
        <is>
          <t>.</t>
        </is>
      </c>
      <c r="P824" t="inlineStr">
        <is>
          <t>.</t>
        </is>
      </c>
      <c r="Q824" t="n">
        <v>0.0207</v>
      </c>
      <c r="R824" t="n">
        <v>0.0025</v>
      </c>
      <c r="S824" t="n">
        <v>0.0012</v>
      </c>
      <c r="T824" t="n">
        <v>-1</v>
      </c>
      <c r="U824" t="n">
        <v>0.0012</v>
      </c>
      <c r="V824" t="inlineStr">
        <is>
          <t>.</t>
        </is>
      </c>
      <c r="W824" t="inlineStr">
        <is>
          <t>.</t>
        </is>
      </c>
      <c r="X824" t="inlineStr">
        <is>
          <t>B</t>
        </is>
      </c>
      <c r="Y824" t="inlineStr">
        <is>
          <t>off</t>
        </is>
      </c>
      <c r="Z824" t="inlineStr">
        <is>
          <t>.</t>
        </is>
      </c>
      <c r="AA824" t="inlineStr">
        <is>
          <t>.</t>
        </is>
      </c>
      <c r="AB824" t="inlineStr">
        <is>
          <t>.</t>
        </is>
      </c>
      <c r="AC824" t="inlineStr">
        <is>
          <t>0/1</t>
        </is>
      </c>
      <c r="AD824" t="inlineStr">
        <is>
          <t>1;1</t>
        </is>
      </c>
      <c r="AE824" t="inlineStr">
        <is>
          <t>7.05368251291393e-26</t>
        </is>
      </c>
      <c r="AF824" t="inlineStr">
        <is>
          <t>TET2 antisense RNA 1;tet methylcytosine dioxygenase 2</t>
        </is>
      </c>
      <c r="AG824" t="inlineStr">
        <is>
          <t xml:space="preserve">FUNCTION: Dioxygenase that catalyzes the conversion of the modified genomic base 5-methylcytosine (5mC) into 5- hydroxymethylcytosine (5hmC) and plays a key role in active DNA demethylation. Has a preference for 5-hydroxymethylcytosine in CpG motifs. Also mediates subsequent conversion of 5hmC into 5- formylcytosine (5fC), and conversion of 5fC to 5-carboxylcytosine (5caC). Conversion of 5mC into 5hmC, 5fC and 5caC probably constitutes the first step in cytosine demethylation. Methylation at the C5 position of cytosine bases is an epigenetic modification of the mammalian genome which plays an important role in transcriptional regulation. In addition to its role in DNA demethylation, also involved in the recruitment of the O-GlcNAc transferase OGT to CpG-rich transcription start sites of active genes, thereby promoting histone H2B GlcNAcylation by OGT. {ECO:0000269|PubMed:19483684, ECO:0000269|PubMed:21057493, ECO:0000269|PubMed:21817016, ECO:0000269|PubMed:23222540, ECO:0000269|PubMed:23353889, ECO:0000269|PubMed:24315485}.; </t>
        </is>
      </c>
      <c r="AH824" t="inlineStr">
        <is>
          <t xml:space="preserve">DISEASE: Note=TET2 is frequently mutated in myeloproliferative disorders (MPD). These constitute a heterogeneous group of disorders, also known as myeloproliferative diseases or myeloproliferative neoplasms (MPN), characterized by cellular proliferation of one or more hematologic cell lines in the peripheral blood, distinct from acute leukemia. Included diseases are: essential thrombocythemia, polycythemia vera, primary myelofibrosis (chronic idiopathic myelofibrosis). Bone marrow samples from patients display uniformly low levels of hmC in genomic DNA compared to bone marrow samples from healthy controls as well as hypomethylation relative to controls at the majority of differentially methylated CpG sites.; DISEASE: Polycythemia vera (PV) [MIM:263300]: A myeloproliferative disorder characterized by abnormal proliferation of all hematopoietic bone marrow elements, erythroid hyperplasia, an absolute increase in total blood volume, but also by myeloid leukocytosis, thrombocytosis and splenomegaly. Note=The disease is caused by mutations affecting the gene represented in this entry.; DISEASE: Note=TET2 is frequently mutated in systemic mastocytosis; also known as systemic mast cell disease. A condition with features in common with myeloproliferative diseases. It is a clonal disorder of the mast cell and its precursor cells. The clinical symptoms and signs of systemic mastocytosis are due to accumulation of clonally derived mast cells in different tissues, including bone marrow, skin, the gastrointestinal tract, the liver, and the spleen.; DISEASE: Myelodysplastic syndrome (MDS) [MIM:614286]: A heterogeneous group of closely related clonal hematopoietic disorders. All are characterized by a hypercellular or hypocellular bone marrow with impaired morphology and maturation, dysplasia of the myeloid, megakaryocytic and/or erythroid lineages, and peripheral blood cytopenias resulting from ineffective blood cell production. Included diseases are: refractory anemia (RA), refractory anemia with ringed sideroblasts (RARS), refractory anemia with excess blasts (RAEB), refractory cytopenia with multilineage dysplasia and ringed sideroblasts (RCMD-RS); chronic myelomonocytic leukemia (CMML) is a myelodysplastic/myeloproliferative disease. MDS is considered a premalignant condition in a subgroup of patients that often progresses to acute myeloid leukemia (AML). {ECO:0000269|PubMed:19372255, ECO:0000269|PubMed:19483684, ECO:0000269|PubMed:21057493}. Note=The disease is caused by mutations affecting the gene represented in this entry. Bone marrow samples from patients display uniformly low levels of hmC in genomic DNA compared to bone marrow samples from healthy controls as well as hypomethylation relative to controls at the majority of differentially methylated CpG sites.; </t>
        </is>
      </c>
      <c r="AI824" t="inlineStr">
        <is>
          <t>.</t>
        </is>
      </c>
      <c r="AJ824" t="inlineStr">
        <is>
          <t>.</t>
        </is>
      </c>
      <c r="AK824" t="inlineStr">
        <is>
          <t>.</t>
        </is>
      </c>
      <c r="AL824" t="inlineStr">
        <is>
          <t>.</t>
        </is>
      </c>
    </row>
    <row r="825">
      <c r="A825" t="inlineStr"/>
      <c r="B825">
        <f>HYPERLINK("https://genome.ucsc.edu/cgi-bin/hgTracks?db=hg19&amp;position=chr4%3A108867193%2D108867223", "chr4:108867193")</f>
        <v/>
      </c>
      <c r="C825" t="inlineStr">
        <is>
          <t>chr4</t>
        </is>
      </c>
      <c r="D825" t="n">
        <v>108867193</v>
      </c>
      <c r="E825" t="n">
        <v>108867223</v>
      </c>
      <c r="F825" t="inlineStr">
        <is>
          <t>AGAGTAGAAGAATACAGGGAGGATGGTGTAT</t>
        </is>
      </c>
      <c r="G825" t="inlineStr">
        <is>
          <t>-</t>
        </is>
      </c>
      <c r="H825" t="inlineStr">
        <is>
          <t>50.60</t>
        </is>
      </c>
      <c r="I825" t="inlineStr">
        <is>
          <t>11</t>
        </is>
      </c>
      <c r="J825" t="inlineStr">
        <is>
          <t>9,2</t>
        </is>
      </c>
      <c r="K825" t="inlineStr">
        <is>
          <t>.</t>
        </is>
      </c>
      <c r="L825" t="inlineStr">
        <is>
          <t>.</t>
        </is>
      </c>
      <c r="M825">
        <f>HYPERLINK("https://www.genecards.org/Search/Keyword?queryString=%5Baliases%5D(%20CYP2U1%20)&amp;keywords=CYP2U1", "CYP2U1")</f>
        <v/>
      </c>
      <c r="N825" t="inlineStr">
        <is>
          <t>intronic;ncRNA_intronic</t>
        </is>
      </c>
      <c r="O825" t="inlineStr">
        <is>
          <t>.</t>
        </is>
      </c>
      <c r="P825" t="inlineStr">
        <is>
          <t>.</t>
        </is>
      </c>
      <c r="Q825" t="n">
        <v>-1</v>
      </c>
      <c r="R825" t="n">
        <v>-1</v>
      </c>
      <c r="S825" t="n">
        <v>-1</v>
      </c>
      <c r="T825" t="n">
        <v>-1</v>
      </c>
      <c r="U825" t="n">
        <v>-1</v>
      </c>
      <c r="V825" t="inlineStr">
        <is>
          <t>.</t>
        </is>
      </c>
      <c r="W825" t="inlineStr">
        <is>
          <t>.</t>
        </is>
      </c>
      <c r="X825" t="inlineStr">
        <is>
          <t>.</t>
        </is>
      </c>
      <c r="Y825" t="inlineStr">
        <is>
          <t>.</t>
        </is>
      </c>
      <c r="Z825" t="inlineStr">
        <is>
          <t>.</t>
        </is>
      </c>
      <c r="AA825" t="inlineStr">
        <is>
          <t>.</t>
        </is>
      </c>
      <c r="AB825" t="inlineStr">
        <is>
          <t>.</t>
        </is>
      </c>
      <c r="AC825" t="inlineStr">
        <is>
          <t>0/1</t>
        </is>
      </c>
      <c r="AD825" t="inlineStr">
        <is>
          <t>1</t>
        </is>
      </c>
      <c r="AE825" t="inlineStr">
        <is>
          <t>0.0817830150318557</t>
        </is>
      </c>
      <c r="AF825" t="inlineStr">
        <is>
          <t>cytochrome P450 family 2 subfamily U member 1</t>
        </is>
      </c>
      <c r="AG825" t="inlineStr">
        <is>
          <t xml:space="preserve">FUNCTION: Catalyzes the hydroxylation of arachidonic acid, docosahexaenoic acid and other long chain fatty acids. May modulate the arachidonic acid signaling pathway and play a role in other fatty acid signaling processes. {ECO:0000269|PubMed:14660610}.; </t>
        </is>
      </c>
      <c r="AH825" t="inlineStr">
        <is>
          <t xml:space="preserve">DISEASE: Spastic paraplegia 56, autosomal recessive (SPG56) [MIM:615030]: A form of spastic paraplegia, a neurodegenerative disorder characterized by a slow, gradual, progressive weakness and spasticity of the lower limbs. Rate of progression and the severity of symptoms are quite variable. Initial symptoms may include difficulty with balance, weakness and stiffness in the legs, muscle spasms, and dragging the toes when walking. Complicated forms are recognized by additional variable features including spastic quadriparesis, seizures, dementia, amyotrophy, extrapyramidal disturbance, cerebral or cerebellar atrophy, optic atrophy, and peripheral neuropathy, as well as by extra neurological manifestations. In SPG56, upper limbs are often also affected. Some SPG56 patients may have a subclinical axonal neuropathy. {ECO:0000269|PubMed:23176821}. Note=The disease is caused by mutations affecting the gene represented in this entry.; </t>
        </is>
      </c>
      <c r="AI825" t="inlineStr">
        <is>
          <t>.</t>
        </is>
      </c>
      <c r="AJ825" t="inlineStr">
        <is>
          <t>.</t>
        </is>
      </c>
      <c r="AK825" t="inlineStr">
        <is>
          <t>.</t>
        </is>
      </c>
      <c r="AL825" t="inlineStr">
        <is>
          <t>.</t>
        </is>
      </c>
    </row>
    <row r="826">
      <c r="A826" t="inlineStr"/>
      <c r="B826">
        <f>HYPERLINK("https://genome.ucsc.edu/cgi-bin/hgTracks?db=hg19&amp;position=chr4%3A110745153%2D110745153", "chr4:110745153")</f>
        <v/>
      </c>
      <c r="C826" t="inlineStr">
        <is>
          <t>chr4</t>
        </is>
      </c>
      <c r="D826" t="n">
        <v>110745153</v>
      </c>
      <c r="E826" t="n">
        <v>110745153</v>
      </c>
      <c r="F826" t="inlineStr">
        <is>
          <t>G</t>
        </is>
      </c>
      <c r="G826" t="inlineStr">
        <is>
          <t>A</t>
        </is>
      </c>
      <c r="H826" t="inlineStr">
        <is>
          <t>747.64</t>
        </is>
      </c>
      <c r="I826" t="inlineStr">
        <is>
          <t>138</t>
        </is>
      </c>
      <c r="J826" t="inlineStr">
        <is>
          <t>98,40</t>
        </is>
      </c>
      <c r="K826" t="inlineStr">
        <is>
          <t>.</t>
        </is>
      </c>
      <c r="L826">
        <f>HYPERLINK("https://www.ncbi.nlm.nih.gov/snp/rs148302097", "rs148302097")</f>
        <v/>
      </c>
      <c r="M826">
        <f>HYPERLINK("https://www.genecards.org/Search/Keyword?queryString=%5Baliases%5D(%20GAR1%20)&amp;keywords=GAR1", "GAR1")</f>
        <v/>
      </c>
      <c r="N826" t="inlineStr">
        <is>
          <t>exonic</t>
        </is>
      </c>
      <c r="O826" t="inlineStr">
        <is>
          <t>nonsynonymous SNV</t>
        </is>
      </c>
      <c r="P826" t="inlineStr">
        <is>
          <t>GAR1:NM_018983:exon6:c.G604A:p.G202R,GAR1:NM_032993:exon6:c.G604A:p.G202R;GAR1:uc010imi.3:exon5:c.G550A:p.G184R,GAR1:uc003hzt.3:exon6:c.G604A:p.G202R,GAR1:uc003hzu.3:exon6:c.G604A:p.G202R;GAR1:ENST00000226796.7_3:exon6:c.G604A:p.G202R,GAR1:ENST00000394631.7_1:exon6:c.G604A:p.G202R</t>
        </is>
      </c>
      <c r="Q826" t="n">
        <v>0.0005</v>
      </c>
      <c r="R826" t="n">
        <v>0.0003</v>
      </c>
      <c r="S826" t="n">
        <v>0.0005999999999999999</v>
      </c>
      <c r="T826" t="n">
        <v>-1</v>
      </c>
      <c r="U826" t="n">
        <v>0.0008</v>
      </c>
      <c r="V826" t="inlineStr">
        <is>
          <t>5/11</t>
        </is>
      </c>
      <c r="W826" t="inlineStr">
        <is>
          <t>.</t>
        </is>
      </c>
      <c r="X826" t="inlineStr">
        <is>
          <t>.</t>
        </is>
      </c>
      <c r="Y826" t="inlineStr">
        <is>
          <t>.</t>
        </is>
      </c>
      <c r="Z826" t="inlineStr">
        <is>
          <t>4/7</t>
        </is>
      </c>
      <c r="AA826" t="inlineStr">
        <is>
          <t>Uncertain significance</t>
        </is>
      </c>
      <c r="AB826" t="inlineStr">
        <is>
          <t>.</t>
        </is>
      </c>
      <c r="AC826" t="inlineStr">
        <is>
          <t>0/1</t>
        </is>
      </c>
      <c r="AD826" t="inlineStr">
        <is>
          <t>1</t>
        </is>
      </c>
      <c r="AE826" t="inlineStr">
        <is>
          <t>0.812564980288159</t>
        </is>
      </c>
      <c r="AF826" t="inlineStr">
        <is>
          <t>GAR1 ribonucleoprotein</t>
        </is>
      </c>
      <c r="AG826" t="inlineStr">
        <is>
          <t xml:space="preserve">FUNCTION: Required for ribosome biogenesis and telomere maintenance. Part of the H/ACA small nucleolar ribonucleoprotein (H/ACA snoRNP) complex, which catalyzes pseudouridylation of rRNA. This involves the isomerization of uridine such that the ribose is subsequently attached to C5, instead of the normal N1. Each rRNA can contain up to 100 pseudouridine ("psi") residues, which may serve to stabilize the conformation of rRNAs. May also be required for correct processing or intranuclear trafficking of TERC, the RNA component of the telomerase reverse transcriptase (TERT) holoenzyme. {ECO:0000269|PubMed:10757788, ECO:0000269|PubMed:15044956}.; </t>
        </is>
      </c>
      <c r="AH826" t="inlineStr">
        <is>
          <t>.</t>
        </is>
      </c>
      <c r="AI826" t="inlineStr">
        <is>
          <t>.</t>
        </is>
      </c>
      <c r="AJ826" t="inlineStr">
        <is>
          <t>.</t>
        </is>
      </c>
      <c r="AK826" t="inlineStr">
        <is>
          <t>.</t>
        </is>
      </c>
      <c r="AL826" t="inlineStr">
        <is>
          <t>.</t>
        </is>
      </c>
    </row>
    <row r="827">
      <c r="A827" t="inlineStr"/>
      <c r="B827">
        <f>HYPERLINK("https://genome.ucsc.edu/cgi-bin/hgTracks?db=hg19&amp;position=chr4%3A114381330%2D114381330", "chr4:114381330")</f>
        <v/>
      </c>
      <c r="C827" t="inlineStr">
        <is>
          <t>chr4</t>
        </is>
      </c>
      <c r="D827" t="n">
        <v>114381330</v>
      </c>
      <c r="E827" t="n">
        <v>114381330</v>
      </c>
      <c r="F827" t="inlineStr">
        <is>
          <t>C</t>
        </is>
      </c>
      <c r="G827" t="inlineStr">
        <is>
          <t>A</t>
        </is>
      </c>
      <c r="H827" t="inlineStr">
        <is>
          <t>570.64</t>
        </is>
      </c>
      <c r="I827" t="inlineStr">
        <is>
          <t>106</t>
        </is>
      </c>
      <c r="J827" t="inlineStr">
        <is>
          <t>77,29</t>
        </is>
      </c>
      <c r="K827" t="inlineStr">
        <is>
          <t>.</t>
        </is>
      </c>
      <c r="L827" t="inlineStr">
        <is>
          <t>.</t>
        </is>
      </c>
      <c r="M827">
        <f>HYPERLINK("https://www.genecards.org/Search/Keyword?queryString=%5Baliases%5D(%20CAMK2D%20)&amp;keywords=CAMK2D", "CAMK2D")</f>
        <v/>
      </c>
      <c r="N827" t="inlineStr">
        <is>
          <t>exonic</t>
        </is>
      </c>
      <c r="O827" t="inlineStr">
        <is>
          <t>nonsynonymous SNV</t>
        </is>
      </c>
      <c r="P827" t="inlineStr">
        <is>
          <t>CAMK2D:NM_001221:exon16:c.G1177T:p.D393Y,CAMK2D:NM_001321574:exon16:c.G1174T:p.D392Y,CAMK2D:NM_001321576:exon16:c.G1174T:p.D392Y,CAMK2D:NM_001321578:exon16:c.G631T:p.D211Y,CAMK2D:NM_172115:exon16:c.G1177T:p.D393Y,CAMK2D:NM_172127:exon16:c.G1177T:p.D393Y,CAMK2D:NM_172128:exon16:c.G1177T:p.D393Y,CAMK2D:NM_001321566:exon17:c.G1219T:p.D407Y,CAMK2D:NM_001321575:exon17:c.G1219T:p.D407Y,CAMK2D:NM_001321577:exon17:c.G1216T:p.D406Y,CAMK2D:NM_001321580:exon17:c.G1237T:p.D413Y,CAMK2D:NM_001321582:exon17:c.G1210T:p.D404Y,CAMK2D:NM_001321583:exon17:c.G1219T:p.D407Y,CAMK2D:NM_001321584:exon17:c.G1216T:p.D406Y,CAMK2D:NM_001321588:exon17:c.G1216T:p.D406Y,CAMK2D:NM_001321589:exon17:c.G1219T:p.D407Y,CAMK2D:NM_001321590:exon17:c.G1219T:p.D407Y,CAMK2D:NM_172114:exon17:c.G1219T:p.D407Y,CAMK2D:NM_172129:exon17:c.G1210T:p.D404Y,CAMK2D:NM_001321567:exon18:c.G1279T:p.D427Y,CAMK2D:NM_001321568:exon18:c.G1252T:p.D418Y,CAMK2D:NM_001321569:exon18:c.G1279T:p.D427Y,CAMK2D:NM_001321570:exon18:c.G1279T:p.D427Y,CAMK2D:NM_001321571:exon18:c.G1279T:p.D427Y,CAMK2D:NM_001321572:exon18:c.G1279T:p.D427Y,CAMK2D:NM_001321573:exon18:c.G1252T:p.D418Y,CAMK2D:NM_001321579:exon18:c.G1279T:p.D427Y,CAMK2D:NM_001321581:exon18:c.G1102T:p.D368Y,CAMK2D:NM_001321585:exon18:c.G631T:p.D211Y,CAMK2D:NM_001321586:exon18:c.G1276T:p.D426Y,CAMK2D:NM_001321587:exon18:c.G1252T:p.D418Y,CAMK2D:NM_001321591:exon18:c.G1252T:p.D418Y;CAMK2D:uc003ibi.3:exon16:c.G1177T:p.D393Y,CAMK2D:uc003ibj.3:exon16:c.G1177T:p.D393Y,CAMK2D:uc003ibk.3:exon16:c.G1177T:p.D393Y,CAMK2D:uc003ibl.2:exon16:c.G1177T:p.D393Y,CAMK2D:uc003ibm.2:exon17:c.G1219T:p.D407Y,CAMK2D:uc003ibn.2:exon17:c.G1210T:p.D404Y,CAMK2D:uc003ibo.4:exon18:c.G1279T:p.D427Y;CAMK2D:ENST00000296402.9_4:exon16:c.G1177T:p.D393Y,CAMK2D:ENST00000342666.9_5:exon16:c.G1177T:p.D393Y,CAMK2D:ENST00000379773.6_4:exon16:c.G1177T:p.D393Y,CAMK2D:ENST00000394524.7_4:exon16:c.G1177T:p.D393Y,CAMK2D:ENST00000514328.5_6:exon16:c.G1174T:p.D392Y,CAMK2D:ENST00000699378.1_1:exon16:c.G1174T:p.D392Y,CAMK2D:ENST00000699417.1_1:exon16:c.G1174T:p.D392Y,CAMK2D:ENST00000394522.7_8:exon17:c.G1219T:p.D407Y,CAMK2D:ENST00000508738.5_4:exon17:c.G1210T:p.D404Y,CAMK2D:ENST00000515496.5_5:exon17:c.G1210T:p.D404Y,CAMK2D:ENST00000699047.1_1:exon17:c.G1219T:p.D407Y,CAMK2D:ENST00000699373.1_1:exon17:c.G1216T:p.D406Y,CAMK2D:ENST00000699374.1_1:exon17:c.G1216T:p.D406Y,CAMK2D:ENST00000699379.1_1:exon17:c.G1216T:p.D406Y,CAMK2D:ENST00000699380.1_1:exon17:c.G1219T:p.D407Y,CAMK2D:ENST00000699381.1_1:exon17:c.G1219T:p.D407Y,CAMK2D:ENST00000699382.1_1:exon17:c.G1216T:p.D406Y,CAMK2D:ENST00000505990.5_8:exon18:c.G1279T:p.D427Y,CAMK2D:ENST00000511664.6_9:exon18:c.G1279T:p.D427Y,CAMK2D:ENST00000699048.1_1:exon18:c.G1252T:p.D418Y,CAMK2D:ENST00000699375.1_1:exon18:c.G1276T:p.D426Y,CAMK2D:ENST00000699376.1_1:exon18:c.G1279T:p.D427Y,CAMK2D:ENST00000699418.1_1:exon18:c.G1312T:p.D438Y</t>
        </is>
      </c>
      <c r="Q827" t="n">
        <v>-1</v>
      </c>
      <c r="R827" t="n">
        <v>-1</v>
      </c>
      <c r="S827" t="n">
        <v>-1</v>
      </c>
      <c r="T827" t="n">
        <v>-1</v>
      </c>
      <c r="U827" t="n">
        <v>-1</v>
      </c>
      <c r="V827" t="inlineStr">
        <is>
          <t>9/12</t>
        </is>
      </c>
      <c r="W827" t="inlineStr">
        <is>
          <t>.</t>
        </is>
      </c>
      <c r="X827" t="inlineStr">
        <is>
          <t>.</t>
        </is>
      </c>
      <c r="Y827" t="inlineStr">
        <is>
          <t>.</t>
        </is>
      </c>
      <c r="Z827" t="inlineStr">
        <is>
          <t>6/7</t>
        </is>
      </c>
      <c r="AA827" t="inlineStr">
        <is>
          <t>Uncertain significance</t>
        </is>
      </c>
      <c r="AB827" t="inlineStr">
        <is>
          <t>.</t>
        </is>
      </c>
      <c r="AC827" t="inlineStr">
        <is>
          <t>0/1</t>
        </is>
      </c>
      <c r="AD827" t="inlineStr">
        <is>
          <t>1</t>
        </is>
      </c>
      <c r="AE827" t="inlineStr">
        <is>
          <t>0.016661668817136</t>
        </is>
      </c>
      <c r="AF827" t="inlineStr">
        <is>
          <t>calcium/calmodulin-dependent protein kinase II delta</t>
        </is>
      </c>
      <c r="AG827" t="inlineStr">
        <is>
          <t xml:space="preserve">FUNCTION: Calcium/calmodulin-dependent protein kinase involved in the regulation of Ca(2+) homeostatis and excitation-contraction coupling (ECC) in heart by targeting ion channels, transporters and accessory proteins involved in Ca(2+) influx into the myocyte, Ca(2+) release from the sarcoplasmic reticulum (SR), SR Ca(2+) uptake and Na(+) and K(+) channel transport. Targets also transcription factors and signaling molecules to regulate heart function. In its activated form, is involved in the pathogenesis of dilated cardiomyopathy and heart failure. Contributes to cardiac decompensation and heart failure by regulating SR Ca(2+) release via direct phosphorylation of RYR2 Ca(2+) channel on 'Ser- 2808'. In the nucleus, phosphorylates the MEF2 repressor HDAC4, promoting its nuclear export and binding to 14-3-3 protein, and expression of MEF2 and genes involved in the hypertrophic program. Is essential for left ventricular remodeling responses to myocardial infarction. In pathological myocardial remodeling acts downstream of the beta adrenergic receptor signaling cascade to regulate key proteins involved in ECC. Regulates Ca(2+) influx to myocytes by binding and phosphorylating the L-type Ca(2+) channel subunit beta-2 CACNB2. In addition to Ca(2+) channels, can target and regulate the cardiac sarcolemmal Na(+) channel Nav1.5/SCN5A and the K+ channel Kv4.3/KCND3, which contribute to arrhythmogenesis in heart failure. Phosphorylates phospholamban (PLN/PLB), an endogenous inhibitor of SERCA2A/ATP2A2, contributing to the enhancement of SR Ca(2+) uptake that may be important in frequency-dependent acceleration of relaxation (FDAR) and maintenance of contractile function during acidosis. May participate in the modulation of skeletal muscle function in response to exercise, by regulating SR Ca(2+) transport through phosphorylation of PLN/PLB and triadin, a ryanodine receptor- coupling factor. {ECO:0000269|PubMed:16690701, ECO:0000269|PubMed:17179159}.; </t>
        </is>
      </c>
      <c r="AH827" t="inlineStr">
        <is>
          <t>.</t>
        </is>
      </c>
      <c r="AI827" t="inlineStr">
        <is>
          <t>.</t>
        </is>
      </c>
      <c r="AJ827" t="inlineStr">
        <is>
          <t>.</t>
        </is>
      </c>
      <c r="AK827" t="inlineStr">
        <is>
          <t>.</t>
        </is>
      </c>
      <c r="AL827" t="inlineStr">
        <is>
          <t>.</t>
        </is>
      </c>
    </row>
    <row r="828">
      <c r="A828" t="inlineStr"/>
      <c r="B828">
        <f>HYPERLINK("https://genome.ucsc.edu/cgi-bin/hgTracks?db=hg19&amp;position=chr4%3A123814206%2D123814206", "chr4:123814206")</f>
        <v/>
      </c>
      <c r="C828" t="inlineStr">
        <is>
          <t>chr4</t>
        </is>
      </c>
      <c r="D828" t="n">
        <v>123814206</v>
      </c>
      <c r="E828" t="n">
        <v>123814206</v>
      </c>
      <c r="F828" t="inlineStr">
        <is>
          <t>C</t>
        </is>
      </c>
      <c r="G828" t="inlineStr">
        <is>
          <t>A</t>
        </is>
      </c>
      <c r="H828" t="inlineStr">
        <is>
          <t>919.64</t>
        </is>
      </c>
      <c r="I828" t="inlineStr">
        <is>
          <t>129</t>
        </is>
      </c>
      <c r="J828" t="inlineStr">
        <is>
          <t>89,40</t>
        </is>
      </c>
      <c r="K828" t="inlineStr">
        <is>
          <t>.</t>
        </is>
      </c>
      <c r="L828" t="inlineStr">
        <is>
          <t>.</t>
        </is>
      </c>
      <c r="M828">
        <f>HYPERLINK("https://www.genecards.org/Search/Keyword?queryString=%5Baliases%5D(%20NUDT6%20)&amp;keywords=NUDT6", "NUDT6")</f>
        <v/>
      </c>
      <c r="N828" t="inlineStr">
        <is>
          <t>exonic</t>
        </is>
      </c>
      <c r="O828" t="inlineStr">
        <is>
          <t>nonsynonymous SNV</t>
        </is>
      </c>
      <c r="P828" t="inlineStr">
        <is>
          <t>NUDT6:NM_007083:exon5:c.G728T:p.C243F,NUDT6:NM_198041:exon5:c.G221T:p.C74F;NUDT6:uc003iew.3:exon5:c.G728T:p.C243F,NUDT6:uc003iex.3:exon5:c.G221T:p.C74F;NUDT6:ENST00000502270.5_3:exon4:c.G221T:p.C74F,NUDT6:ENST00000304430.10_5:exon5:c.G728T:p.C243F,NUDT6:ENST00000339154.6_3:exon5:c.G221T:p.C74F</t>
        </is>
      </c>
      <c r="Q828" t="n">
        <v>-1</v>
      </c>
      <c r="R828" t="n">
        <v>-1</v>
      </c>
      <c r="S828" t="n">
        <v>-1</v>
      </c>
      <c r="T828" t="n">
        <v>-1</v>
      </c>
      <c r="U828" t="n">
        <v>-1</v>
      </c>
      <c r="V828" t="inlineStr">
        <is>
          <t>7/12</t>
        </is>
      </c>
      <c r="W828" t="inlineStr">
        <is>
          <t>.</t>
        </is>
      </c>
      <c r="X828" t="inlineStr">
        <is>
          <t>.</t>
        </is>
      </c>
      <c r="Y828" t="inlineStr">
        <is>
          <t>.</t>
        </is>
      </c>
      <c r="Z828" t="inlineStr">
        <is>
          <t>3/7</t>
        </is>
      </c>
      <c r="AA828" t="inlineStr">
        <is>
          <t>Uncertain significance</t>
        </is>
      </c>
      <c r="AB828" t="inlineStr">
        <is>
          <t>.</t>
        </is>
      </c>
      <c r="AC828" t="inlineStr">
        <is>
          <t>0/1</t>
        </is>
      </c>
      <c r="AD828" t="inlineStr">
        <is>
          <t>1</t>
        </is>
      </c>
      <c r="AE828" t="inlineStr">
        <is>
          <t>0.000761661984062648</t>
        </is>
      </c>
      <c r="AF828" t="inlineStr">
        <is>
          <t>nudix hydrolase 6</t>
        </is>
      </c>
      <c r="AG828" t="inlineStr">
        <is>
          <t xml:space="preserve">FUNCTION: May contribute to the regulation of cell proliferation. {ECO:0000269|PubMed:11266510}.; </t>
        </is>
      </c>
      <c r="AH828" t="inlineStr">
        <is>
          <t>.</t>
        </is>
      </c>
      <c r="AI828" t="inlineStr">
        <is>
          <t>.</t>
        </is>
      </c>
      <c r="AJ828" t="inlineStr">
        <is>
          <t>.</t>
        </is>
      </c>
      <c r="AK828" t="inlineStr">
        <is>
          <t>.</t>
        </is>
      </c>
      <c r="AL828" t="inlineStr">
        <is>
          <t>.</t>
        </is>
      </c>
    </row>
    <row r="829">
      <c r="A829" t="inlineStr"/>
      <c r="B829">
        <f>HYPERLINK("https://genome.ucsc.edu/cgi-bin/hgTracks?db=hg19&amp;position=chr4%3A128814406%2D128814406", "chr4:128814406")</f>
        <v/>
      </c>
      <c r="C829" t="inlineStr">
        <is>
          <t>chr4</t>
        </is>
      </c>
      <c r="D829" t="n">
        <v>128814406</v>
      </c>
      <c r="E829" t="n">
        <v>128814406</v>
      </c>
      <c r="F829" t="inlineStr">
        <is>
          <t>A</t>
        </is>
      </c>
      <c r="G829" t="inlineStr">
        <is>
          <t>G</t>
        </is>
      </c>
      <c r="H829" t="inlineStr">
        <is>
          <t>631.64</t>
        </is>
      </c>
      <c r="I829" t="inlineStr">
        <is>
          <t>47</t>
        </is>
      </c>
      <c r="J829" t="inlineStr">
        <is>
          <t>20,27</t>
        </is>
      </c>
      <c r="K829" t="inlineStr">
        <is>
          <t>.</t>
        </is>
      </c>
      <c r="L829">
        <f>HYPERLINK("https://www.ncbi.nlm.nih.gov/snp/rs200302114", "rs200302114")</f>
        <v/>
      </c>
      <c r="M829">
        <f>HYPERLINK("https://www.genecards.org/Search/Keyword?queryString=%5Baliases%5D(%20PLK4%20)&amp;keywords=PLK4", "PLK4")</f>
        <v/>
      </c>
      <c r="N829" t="inlineStr">
        <is>
          <t>intronic</t>
        </is>
      </c>
      <c r="O829" t="inlineStr">
        <is>
          <t>.</t>
        </is>
      </c>
      <c r="P829" t="inlineStr">
        <is>
          <t>.</t>
        </is>
      </c>
      <c r="Q829" t="n">
        <v>0.0024</v>
      </c>
      <c r="R829" t="n">
        <v>0.0018</v>
      </c>
      <c r="S829" t="n">
        <v>0.0024</v>
      </c>
      <c r="T829" t="n">
        <v>-1</v>
      </c>
      <c r="U829" t="n">
        <v>0.0018</v>
      </c>
      <c r="V829" t="inlineStr">
        <is>
          <t>.</t>
        </is>
      </c>
      <c r="W829" t="inlineStr">
        <is>
          <t>.</t>
        </is>
      </c>
      <c r="X829" t="inlineStr">
        <is>
          <t>D</t>
        </is>
      </c>
      <c r="Y829" t="inlineStr">
        <is>
          <t>off</t>
        </is>
      </c>
      <c r="Z829" t="inlineStr">
        <is>
          <t>.</t>
        </is>
      </c>
      <c r="AA829" t="inlineStr">
        <is>
          <t>.</t>
        </is>
      </c>
      <c r="AB829" t="inlineStr">
        <is>
          <t>.</t>
        </is>
      </c>
      <c r="AC829" t="inlineStr">
        <is>
          <t>0/1</t>
        </is>
      </c>
      <c r="AD829" t="inlineStr">
        <is>
          <t>1</t>
        </is>
      </c>
      <c r="AE829" t="inlineStr">
        <is>
          <t>0.77798174923305</t>
        </is>
      </c>
      <c r="AF829" t="inlineStr">
        <is>
          <t>polo like kinase 4</t>
        </is>
      </c>
      <c r="AG829" t="inlineStr">
        <is>
          <t xml:space="preserve">FUNCTION: Serine/threonine-protein kinase that plays a central role in centriole duplication. Able to trigger procentriole formation on the surface of the parental centriole cylinder, leading to the recruitment of centriole biogenesis proteins such as SASS6, CENPJ/CPAP, CCP110, CEP135 and gamma-tubulin. When overexpressed, it is able to induce centrosome amplification through the simultaneous generation of multiple procentrioles adjoining each parental centriole during S phase. Phosphorylates 'Ser-151' of FBXW5 during the G1/S transition, leading to inhibit FBXW5 ability to ubiquitinate SASS6. Its central role in centriole replication suggests a possible role in tumorigenesis, centrosome aberrations being frequently observed in tumors. Also involved in deuterosome-mediated centriole amplification in multiciliated that can generate more than 100 centrioles. Also involved in trophoblast differentiation by phosphorylating HAND1, leading to disrupt the interaction between HAND1 and MDFIC and activate HAND1. Phosphorylates CDC25C and CHEK2. {ECO:0000269|PubMed:16244668, ECO:0000269|PubMed:16326102, ECO:0000269|PubMed:17681131, ECO:0000269|PubMed:18239451, ECO:0000269|PubMed:19164942, ECO:0000269|PubMed:21725316}.; </t>
        </is>
      </c>
      <c r="AH829" t="inlineStr">
        <is>
          <t xml:space="preserve">DISEASE: Microcephaly and chorioretinopathy, autosomal recessive, 2 (MCCRP2) [MIM:616171]: A severe disorder characterized by microcephaly, delayed psychomotor development, growth retardation with dwarfism, and ocular abnormalities. {ECO:0000269|PubMed:25344692}. Note=The disease is caused by mutations affecting the gene represented in this entry.; </t>
        </is>
      </c>
      <c r="AI829" t="inlineStr">
        <is>
          <t>.</t>
        </is>
      </c>
      <c r="AJ829" t="inlineStr">
        <is>
          <t>.</t>
        </is>
      </c>
      <c r="AK829" t="inlineStr">
        <is>
          <t>.</t>
        </is>
      </c>
      <c r="AL829" t="inlineStr">
        <is>
          <t>.</t>
        </is>
      </c>
    </row>
    <row r="830">
      <c r="A830" t="inlineStr"/>
      <c r="B830">
        <f>HYPERLINK("https://genome.ucsc.edu/cgi-bin/hgTracks?db=hg19&amp;position=chr4%3A145916716%2D145916716", "chr4:145916716")</f>
        <v/>
      </c>
      <c r="C830" t="inlineStr">
        <is>
          <t>chr4</t>
        </is>
      </c>
      <c r="D830" t="n">
        <v>145916716</v>
      </c>
      <c r="E830" t="n">
        <v>145916716</v>
      </c>
      <c r="F830" t="inlineStr">
        <is>
          <t>G</t>
        </is>
      </c>
      <c r="G830" t="inlineStr">
        <is>
          <t>C</t>
        </is>
      </c>
      <c r="H830" t="inlineStr">
        <is>
          <t>863.64</t>
        </is>
      </c>
      <c r="I830" t="inlineStr">
        <is>
          <t>108</t>
        </is>
      </c>
      <c r="J830" t="inlineStr">
        <is>
          <t>70,38</t>
        </is>
      </c>
      <c r="K830" t="inlineStr">
        <is>
          <t>.</t>
        </is>
      </c>
      <c r="L830">
        <f>HYPERLINK("https://www.ncbi.nlm.nih.gov/snp/rs190357898", "rs190357898")</f>
        <v/>
      </c>
      <c r="M830">
        <f>HYPERLINK("https://www.genecards.org/Search/Keyword?queryString=%5Baliases%5D(%20ANAPC10%20)&amp;keywords=ANAPC10", "ANAPC10")</f>
        <v/>
      </c>
      <c r="N830" t="inlineStr">
        <is>
          <t>exonic</t>
        </is>
      </c>
      <c r="O830" t="inlineStr">
        <is>
          <t>nonsynonymous SNV</t>
        </is>
      </c>
      <c r="P830" t="inlineStr">
        <is>
          <t>ANAPC10:NM_001256712:exon4:c.C246G:p.F82L,ANAPC10:NM_001256706:exon5:c.C367G:p.P123A,ANAPC10:NM_001256708:exon5:c.C367G:p.P123A,ANAPC10:NM_001318367:exon5:c.C469G:p.P157A,ANAPC10:NM_014885:exon5:c.C367G:p.P123A,ANAPC10:NM_001256707:exon6:c.C367G:p.P123A,ANAPC10:NM_001256709:exon7:c.C400G:p.P134A;ANAPC10:uc031sho.1:exon4:c.C246G:p.F82L,ANAPC10:uc003ijv.5:exon5:c.C367G:p.P123A,ANAPC10:uc003ijw.5:exon5:c.C367G:p.P123A,ANAPC10:uc031shp.1:exon5:c.C367G:p.P123A,ANAPC10:uc003iju.5:exon6:c.C367G:p.P123A,ANAPC10:uc031shk.1:exon7:c.C400G:p.P134A;ANAPC10:ENST00000309439.9_3:exon5:c.C367G:p.P123A,ANAPC10:ENST00000507656.6_5:exon5:c.C367G:p.P123A,ANAPC10:ENST00000613466.4_3:exon5:c.C367G:p.P123A,ANAPC10:ENST00000451299.6_3:exon6:c.C367G:p.P123A</t>
        </is>
      </c>
      <c r="Q830" t="n">
        <v>0.0034</v>
      </c>
      <c r="R830" t="n">
        <v>0.0014</v>
      </c>
      <c r="S830" t="n">
        <v>0.0021</v>
      </c>
      <c r="T830" t="n">
        <v>-1</v>
      </c>
      <c r="U830" t="n">
        <v>0.0009</v>
      </c>
      <c r="V830" t="inlineStr">
        <is>
          <t>6/10</t>
        </is>
      </c>
      <c r="W830" t="inlineStr">
        <is>
          <t>.</t>
        </is>
      </c>
      <c r="X830" t="inlineStr">
        <is>
          <t>.</t>
        </is>
      </c>
      <c r="Y830" t="inlineStr">
        <is>
          <t>.</t>
        </is>
      </c>
      <c r="Z830" t="inlineStr">
        <is>
          <t>6/7</t>
        </is>
      </c>
      <c r="AA830" t="inlineStr">
        <is>
          <t>Uncertain significance</t>
        </is>
      </c>
      <c r="AB830" t="inlineStr">
        <is>
          <t>.</t>
        </is>
      </c>
      <c r="AC830" t="inlineStr">
        <is>
          <t>0/1</t>
        </is>
      </c>
      <c r="AD830" t="inlineStr">
        <is>
          <t>1</t>
        </is>
      </c>
      <c r="AE830" t="inlineStr">
        <is>
          <t>0.0575682391681918</t>
        </is>
      </c>
      <c r="AF830" t="inlineStr">
        <is>
          <t>anaphase promoting complex subunit 10</t>
        </is>
      </c>
      <c r="AG830" t="inlineStr">
        <is>
          <t xml:space="preserve">FUNCTION: Component of the anaphase promoting complex/cyclosome (APC/C), a cell cycle-regulated E3 ubiquitin ligase that controls progression through mitosis and the G1 phase of the cell cycle. The APC/C complex acts by mediating ubiquitination and subsequent degradation of target proteins: it mainly mediates the formation of 'Lys-11'-linked polyubiquitin chains and, to a lower extent, the formation of 'Lys-48'- and 'Lys-63'-linked polyubiquitin chains. {ECO:0000269|PubMed:18485873}.; </t>
        </is>
      </c>
      <c r="AH830" t="inlineStr">
        <is>
          <t>.</t>
        </is>
      </c>
      <c r="AI830" t="inlineStr">
        <is>
          <t>.</t>
        </is>
      </c>
      <c r="AJ830" t="inlineStr">
        <is>
          <t>.</t>
        </is>
      </c>
      <c r="AK830" t="inlineStr">
        <is>
          <t>.</t>
        </is>
      </c>
      <c r="AL830" t="inlineStr">
        <is>
          <t>.</t>
        </is>
      </c>
    </row>
    <row r="831">
      <c r="A831" t="inlineStr"/>
      <c r="B831">
        <f>HYPERLINK("https://genome.ucsc.edu/cgi-bin/hgTracks?db=hg19&amp;position=chr4%3A156706445%2D156706445", "chr4:156706445")</f>
        <v/>
      </c>
      <c r="C831" t="inlineStr">
        <is>
          <t>chr4</t>
        </is>
      </c>
      <c r="D831" t="n">
        <v>156706445</v>
      </c>
      <c r="E831" t="n">
        <v>156706445</v>
      </c>
      <c r="F831" t="inlineStr">
        <is>
          <t>A</t>
        </is>
      </c>
      <c r="G831" t="inlineStr">
        <is>
          <t>T</t>
        </is>
      </c>
      <c r="H831" t="inlineStr">
        <is>
          <t>738.64</t>
        </is>
      </c>
      <c r="I831" t="inlineStr">
        <is>
          <t>130</t>
        </is>
      </c>
      <c r="J831" t="inlineStr">
        <is>
          <t>104,26</t>
        </is>
      </c>
      <c r="K831" t="inlineStr">
        <is>
          <t>.</t>
        </is>
      </c>
      <c r="L831" t="inlineStr">
        <is>
          <t>.</t>
        </is>
      </c>
      <c r="M831">
        <f>HYPERLINK("https://www.genecards.org/Search/Keyword?queryString=%5Baliases%5D(%20GUCY1B1%20)%20OR%20%5Baliases%5D(%20GUCY1B3%20)&amp;keywords=GUCY1B1,GUCY1B3", "GUCY1B1;GUCY1B3")</f>
        <v/>
      </c>
      <c r="N831" t="inlineStr">
        <is>
          <t>exonic</t>
        </is>
      </c>
      <c r="O831" t="inlineStr">
        <is>
          <t>nonsynonymous SNV</t>
        </is>
      </c>
      <c r="P831" t="inlineStr">
        <is>
          <t>GUCY1B1:NM_001291951:exon5:c.A327T:p.L109F;GUCY1B3:uc011cio.2:exon5:c.A327T:p.L109F;GUCY1B1:ENST00000502959.5_1:exon5:c.A327T:p.L109F</t>
        </is>
      </c>
      <c r="Q831" t="n">
        <v>-1</v>
      </c>
      <c r="R831" t="n">
        <v>-1</v>
      </c>
      <c r="S831" t="n">
        <v>-1</v>
      </c>
      <c r="T831" t="n">
        <v>-1</v>
      </c>
      <c r="U831" t="n">
        <v>-1</v>
      </c>
      <c r="V831" t="inlineStr">
        <is>
          <t>3/10</t>
        </is>
      </c>
      <c r="W831" t="inlineStr">
        <is>
          <t>.</t>
        </is>
      </c>
      <c r="X831" t="inlineStr">
        <is>
          <t>.</t>
        </is>
      </c>
      <c r="Y831" t="inlineStr">
        <is>
          <t>.</t>
        </is>
      </c>
      <c r="Z831" t="inlineStr">
        <is>
          <t>0/7</t>
        </is>
      </c>
      <c r="AA831" t="inlineStr">
        <is>
          <t>Uncertain significance</t>
        </is>
      </c>
      <c r="AB831" t="inlineStr">
        <is>
          <t>.</t>
        </is>
      </c>
      <c r="AC831" t="inlineStr">
        <is>
          <t>.</t>
        </is>
      </c>
      <c r="AD831" t="inlineStr">
        <is>
          <t>2;2</t>
        </is>
      </c>
      <c r="AE831" t="inlineStr">
        <is>
          <t>0.000916633852893547</t>
        </is>
      </c>
      <c r="AF831" t="inlineStr">
        <is>
          <t>guanylate cyclase 1, soluble, beta 3</t>
        </is>
      </c>
      <c r="AG831" t="inlineStr">
        <is>
          <t xml:space="preserve">FUNCTION: Mediates responses to nitric oxide (NO) by catalyzing the biosynthesis of the signaling molecule cGMP. {ECO:0000250|UniProtKB:P16068, ECO:0000269|PubMed:1352257}.; </t>
        </is>
      </c>
      <c r="AH831" t="inlineStr">
        <is>
          <t>.</t>
        </is>
      </c>
      <c r="AI831" t="inlineStr">
        <is>
          <t>.</t>
        </is>
      </c>
      <c r="AJ831" t="inlineStr">
        <is>
          <t>.</t>
        </is>
      </c>
      <c r="AK831" t="inlineStr">
        <is>
          <t>.</t>
        </is>
      </c>
      <c r="AL831" t="inlineStr">
        <is>
          <t>.</t>
        </is>
      </c>
    </row>
    <row r="832">
      <c r="A832" t="inlineStr"/>
      <c r="B832">
        <f>HYPERLINK("https://genome.ucsc.edu/cgi-bin/hgTracks?db=hg19&amp;position=chr4%3A156706446%2D156706446", "chr4:156706446")</f>
        <v/>
      </c>
      <c r="C832" t="inlineStr">
        <is>
          <t>chr4</t>
        </is>
      </c>
      <c r="D832" t="n">
        <v>156706446</v>
      </c>
      <c r="E832" t="n">
        <v>156706446</v>
      </c>
      <c r="F832" t="inlineStr">
        <is>
          <t>C</t>
        </is>
      </c>
      <c r="G832" t="inlineStr">
        <is>
          <t>A</t>
        </is>
      </c>
      <c r="H832" t="inlineStr">
        <is>
          <t>738.64</t>
        </is>
      </c>
      <c r="I832" t="inlineStr">
        <is>
          <t>130</t>
        </is>
      </c>
      <c r="J832" t="inlineStr">
        <is>
          <t>104,26</t>
        </is>
      </c>
      <c r="K832" t="inlineStr">
        <is>
          <t>.</t>
        </is>
      </c>
      <c r="L832" t="inlineStr">
        <is>
          <t>.</t>
        </is>
      </c>
      <c r="M832">
        <f>HYPERLINK("https://www.genecards.org/Search/Keyword?queryString=%5Baliases%5D(%20GUCY1B1%20)%20OR%20%5Baliases%5D(%20GUCY1B3%20)&amp;keywords=GUCY1B1,GUCY1B3", "GUCY1B1;GUCY1B3")</f>
        <v/>
      </c>
      <c r="N832" t="inlineStr">
        <is>
          <t>exonic</t>
        </is>
      </c>
      <c r="O832" t="inlineStr">
        <is>
          <t>nonsynonymous SNV</t>
        </is>
      </c>
      <c r="P832" t="inlineStr">
        <is>
          <t>GUCY1B1:NM_001291951:exon5:c.C328A:p.H110N;GUCY1B3:uc011cio.2:exon5:c.C328A:p.H110N;GUCY1B1:ENST00000502959.5_1:exon5:c.C328A:p.H110N</t>
        </is>
      </c>
      <c r="Q832" t="n">
        <v>-1</v>
      </c>
      <c r="R832" t="n">
        <v>-1</v>
      </c>
      <c r="S832" t="n">
        <v>-1</v>
      </c>
      <c r="T832" t="n">
        <v>-1</v>
      </c>
      <c r="U832" t="n">
        <v>-1</v>
      </c>
      <c r="V832" t="inlineStr">
        <is>
          <t>4/10</t>
        </is>
      </c>
      <c r="W832" t="inlineStr">
        <is>
          <t>.</t>
        </is>
      </c>
      <c r="X832" t="inlineStr">
        <is>
          <t>.</t>
        </is>
      </c>
      <c r="Y832" t="inlineStr">
        <is>
          <t>.</t>
        </is>
      </c>
      <c r="Z832" t="inlineStr">
        <is>
          <t>0/7</t>
        </is>
      </c>
      <c r="AA832" t="inlineStr">
        <is>
          <t>Uncertain significance</t>
        </is>
      </c>
      <c r="AB832" t="inlineStr">
        <is>
          <t>.</t>
        </is>
      </c>
      <c r="AC832" t="inlineStr">
        <is>
          <t>.</t>
        </is>
      </c>
      <c r="AD832" t="inlineStr">
        <is>
          <t>2;2</t>
        </is>
      </c>
      <c r="AE832" t="inlineStr">
        <is>
          <t>0.000916633852893547</t>
        </is>
      </c>
      <c r="AF832" t="inlineStr">
        <is>
          <t>guanylate cyclase 1, soluble, beta 3</t>
        </is>
      </c>
      <c r="AG832" t="inlineStr">
        <is>
          <t xml:space="preserve">FUNCTION: Mediates responses to nitric oxide (NO) by catalyzing the biosynthesis of the signaling molecule cGMP. {ECO:0000250|UniProtKB:P16068, ECO:0000269|PubMed:1352257}.; </t>
        </is>
      </c>
      <c r="AH832" t="inlineStr">
        <is>
          <t>.</t>
        </is>
      </c>
      <c r="AI832" t="inlineStr">
        <is>
          <t>.</t>
        </is>
      </c>
      <c r="AJ832" t="inlineStr">
        <is>
          <t>.</t>
        </is>
      </c>
      <c r="AK832" t="inlineStr">
        <is>
          <t>.</t>
        </is>
      </c>
      <c r="AL832" t="inlineStr">
        <is>
          <t>.</t>
        </is>
      </c>
    </row>
    <row r="833">
      <c r="A833" t="inlineStr"/>
      <c r="B833">
        <f>HYPERLINK("https://genome.ucsc.edu/cgi-bin/hgTracks?db=hg19&amp;position=chr4%3A156839346%2D156839346", "chr4:156839346")</f>
        <v/>
      </c>
      <c r="C833" t="inlineStr">
        <is>
          <t>chr4</t>
        </is>
      </c>
      <c r="D833" t="n">
        <v>156839346</v>
      </c>
      <c r="E833" t="n">
        <v>156839346</v>
      </c>
      <c r="F833" t="inlineStr">
        <is>
          <t>G</t>
        </is>
      </c>
      <c r="G833" t="inlineStr">
        <is>
          <t>T</t>
        </is>
      </c>
      <c r="H833" t="inlineStr">
        <is>
          <t>345.64</t>
        </is>
      </c>
      <c r="I833" t="inlineStr">
        <is>
          <t>49</t>
        </is>
      </c>
      <c r="J833" t="inlineStr">
        <is>
          <t>31,18</t>
        </is>
      </c>
      <c r="K833" t="inlineStr">
        <is>
          <t>.</t>
        </is>
      </c>
      <c r="L833" t="inlineStr">
        <is>
          <t>.</t>
        </is>
      </c>
      <c r="M833">
        <f>HYPERLINK("https://www.genecards.org/Search/Keyword?queryString=%5Baliases%5D(%20TDO2%20)&amp;keywords=TDO2", "TDO2")</f>
        <v/>
      </c>
      <c r="N833" t="inlineStr">
        <is>
          <t>exonic</t>
        </is>
      </c>
      <c r="O833" t="inlineStr">
        <is>
          <t>nonsynonymous SNV</t>
        </is>
      </c>
      <c r="P833" t="inlineStr">
        <is>
          <t>TDO2:NM_005651:exon11:c.G1022T:p.G341V;TDO2:uc003ipf.2:exon11:c.G1022T:p.G341V;TDO2:ENST00000536354.3_3:exon11:c.G1022T:p.G341V</t>
        </is>
      </c>
      <c r="Q833" t="n">
        <v>-1</v>
      </c>
      <c r="R833" t="n">
        <v>-1</v>
      </c>
      <c r="S833" t="n">
        <v>-1</v>
      </c>
      <c r="T833" t="n">
        <v>-1</v>
      </c>
      <c r="U833" t="n">
        <v>-1</v>
      </c>
      <c r="V833" t="inlineStr">
        <is>
          <t>10/11</t>
        </is>
      </c>
      <c r="W833" t="inlineStr">
        <is>
          <t>.</t>
        </is>
      </c>
      <c r="X833" t="inlineStr">
        <is>
          <t>.</t>
        </is>
      </c>
      <c r="Y833" t="inlineStr">
        <is>
          <t>.</t>
        </is>
      </c>
      <c r="Z833" t="inlineStr">
        <is>
          <t>4/7</t>
        </is>
      </c>
      <c r="AA833" t="inlineStr">
        <is>
          <t>Uncertain significance</t>
        </is>
      </c>
      <c r="AB833" t="inlineStr">
        <is>
          <t>.</t>
        </is>
      </c>
      <c r="AC833" t="inlineStr">
        <is>
          <t>0/1</t>
        </is>
      </c>
      <c r="AD833" t="inlineStr">
        <is>
          <t>1</t>
        </is>
      </c>
      <c r="AE833" t="inlineStr">
        <is>
          <t>1.52467035320059e-08</t>
        </is>
      </c>
      <c r="AF833" t="inlineStr">
        <is>
          <t>tryptophan 2,3-dioxygenase</t>
        </is>
      </c>
      <c r="AG833" t="inlineStr">
        <is>
          <t xml:space="preserve">FUNCTION: Incorporates oxygen into the indole moiety of tryptophan. Has a broad specificity towards tryptamine and derivatives including D- and L-tryptophan, 5-hydroxytryptophan and serotonin (By similarity). {ECO:0000250}.; </t>
        </is>
      </c>
      <c r="AH833" t="inlineStr">
        <is>
          <t>.</t>
        </is>
      </c>
      <c r="AI833" t="inlineStr">
        <is>
          <t>.</t>
        </is>
      </c>
      <c r="AJ833" t="inlineStr">
        <is>
          <t>.</t>
        </is>
      </c>
      <c r="AK833" t="inlineStr">
        <is>
          <t>.</t>
        </is>
      </c>
      <c r="AL833" t="inlineStr">
        <is>
          <t>.</t>
        </is>
      </c>
    </row>
    <row r="834">
      <c r="A834" t="inlineStr"/>
      <c r="B834">
        <f>HYPERLINK("https://genome.ucsc.edu/cgi-bin/hgTracks?db=hg19&amp;position=chr4%3A159559195%2D159559195", "chr4:159559195")</f>
        <v/>
      </c>
      <c r="C834" t="inlineStr">
        <is>
          <t>chr4</t>
        </is>
      </c>
      <c r="D834" t="n">
        <v>159559195</v>
      </c>
      <c r="E834" t="n">
        <v>159559195</v>
      </c>
      <c r="F834" t="inlineStr">
        <is>
          <t>C</t>
        </is>
      </c>
      <c r="G834" t="inlineStr">
        <is>
          <t>A</t>
        </is>
      </c>
      <c r="H834" t="inlineStr">
        <is>
          <t>1235.64</t>
        </is>
      </c>
      <c r="I834" t="inlineStr">
        <is>
          <t>164</t>
        </is>
      </c>
      <c r="J834" t="inlineStr">
        <is>
          <t>104,60</t>
        </is>
      </c>
      <c r="K834" t="inlineStr">
        <is>
          <t>.</t>
        </is>
      </c>
      <c r="L834" t="inlineStr">
        <is>
          <t>.</t>
        </is>
      </c>
      <c r="M834">
        <f>HYPERLINK("https://www.genecards.org/Search/Keyword?queryString=%5Baliases%5D(%20RXFP1%20)&amp;keywords=RXFP1", "RXFP1")</f>
        <v/>
      </c>
      <c r="N834" t="inlineStr">
        <is>
          <t>exonic</t>
        </is>
      </c>
      <c r="O834" t="inlineStr">
        <is>
          <t>nonsynonymous SNV</t>
        </is>
      </c>
      <c r="P834" t="inlineStr">
        <is>
          <t>RXFP1:NM_001253728:exon12:c.C908A:p.A303E,RXFP1:NM_001253730:exon12:c.C617A:p.A206E,RXFP1:NM_001253727:exon13:c.C1088A:p.A363E,RXFP1:NM_001253733:exon13:c.C539A:p.A180E,RXFP1:NM_021634:exon13:c.C1007A:p.A336E,RXFP1:NM_001253732:exon14:c.C611A:p.A204E,RXFP1:NM_001363776:exon14:c.C764A:p.A255E;RXFP1:uc010iqm.3:exon12:c.C908A:p.A303E,RXFP1:uc010iqn.3:exon12:c.C845A:p.A282E,RXFP1:uc011cjf.2:exon12:c.C617A:p.A206E,RXFP1:uc003ipz.3:exon13:c.C1007A:p.A336E,RXFP1:uc010iql.3:exon13:c.C539A:p.A180E,RXFP1:uc011cja.2:exon13:c.C692A:p.A231E,RXFP1:uc011cjc.2:exon13:c.C764A:p.A255E,RXFP1:uc011cjd.2:exon13:c.C764A:p.A255E,RXFP1:uc011cje.2:exon13:c.C1088A:p.A363E,RXFP1:uc010iqj.2:exon14:c.C494A:p.A165E,RXFP1:uc010iqk.3:exon14:c.C611A:p.A204E;RXFP1:ENST00000470033.2_1:exon12:c.C908A:p.A303E,RXFP1:ENST00000613319.4_1:exon12:c.C617A:p.A206E,RXFP1:ENST00000307765.10_4:exon13:c.C1007A:p.A336E,RXFP1:ENST00000423548.5_2:exon13:c.C1088A:p.A363E,RXFP1:ENST00000448688.6_1:exon13:c.C539A:p.A180E,RXFP1:ENST00000460056.6_2:exon15:c.C764A:p.A255E</t>
        </is>
      </c>
      <c r="Q834" t="n">
        <v>-1</v>
      </c>
      <c r="R834" t="n">
        <v>-1</v>
      </c>
      <c r="S834" t="n">
        <v>-1</v>
      </c>
      <c r="T834" t="n">
        <v>-1</v>
      </c>
      <c r="U834" t="n">
        <v>-1</v>
      </c>
      <c r="V834" t="inlineStr">
        <is>
          <t>3/12</t>
        </is>
      </c>
      <c r="W834" t="inlineStr">
        <is>
          <t>.</t>
        </is>
      </c>
      <c r="X834" t="inlineStr">
        <is>
          <t>.</t>
        </is>
      </c>
      <c r="Y834" t="inlineStr">
        <is>
          <t>.</t>
        </is>
      </c>
      <c r="Z834" t="inlineStr">
        <is>
          <t>0/7</t>
        </is>
      </c>
      <c r="AA834" t="inlineStr">
        <is>
          <t>Uncertain significance</t>
        </is>
      </c>
      <c r="AB834" t="inlineStr">
        <is>
          <t>.</t>
        </is>
      </c>
      <c r="AC834" t="inlineStr">
        <is>
          <t>0/1</t>
        </is>
      </c>
      <c r="AD834" t="inlineStr">
        <is>
          <t>1</t>
        </is>
      </c>
      <c r="AE834" t="inlineStr">
        <is>
          <t>3.06530424439522e-07</t>
        </is>
      </c>
      <c r="AF834" t="inlineStr">
        <is>
          <t>relaxin/insulin-like family peptide receptor 1</t>
        </is>
      </c>
      <c r="AG834" t="inlineStr">
        <is>
          <t xml:space="preserve">FUNCTION: Receptor for relaxins. The activity of this receptor is mediated by G proteins leading to stimulation of adenylate cyclase and an increase of cAMP. Binding of the ligand may also activate a tyrosine kinase pathway that inhibits the activity of a phosphodiesterase that degrades cAMP.; </t>
        </is>
      </c>
      <c r="AH834" t="inlineStr">
        <is>
          <t>.</t>
        </is>
      </c>
      <c r="AI834" t="inlineStr">
        <is>
          <t>.</t>
        </is>
      </c>
      <c r="AJ834" t="inlineStr">
        <is>
          <t>.</t>
        </is>
      </c>
      <c r="AK834" t="inlineStr">
        <is>
          <t>.</t>
        </is>
      </c>
      <c r="AL834" t="inlineStr">
        <is>
          <t>.</t>
        </is>
      </c>
    </row>
    <row r="835">
      <c r="A835" t="inlineStr"/>
      <c r="B835">
        <f>HYPERLINK("https://genome.ucsc.edu/cgi-bin/hgTracks?db=hg19&amp;position=chr4%3A162697058%2D162697058", "chr4:162697058")</f>
        <v/>
      </c>
      <c r="C835" t="inlineStr">
        <is>
          <t>chr4</t>
        </is>
      </c>
      <c r="D835" t="n">
        <v>162697058</v>
      </c>
      <c r="E835" t="n">
        <v>162697058</v>
      </c>
      <c r="F835" t="inlineStr">
        <is>
          <t>C</t>
        </is>
      </c>
      <c r="G835" t="inlineStr">
        <is>
          <t>T</t>
        </is>
      </c>
      <c r="H835" t="inlineStr">
        <is>
          <t>609.03</t>
        </is>
      </c>
      <c r="I835" t="inlineStr">
        <is>
          <t>21</t>
        </is>
      </c>
      <c r="J835" t="inlineStr">
        <is>
          <t>1,20</t>
        </is>
      </c>
      <c r="K835" t="inlineStr">
        <is>
          <t>.</t>
        </is>
      </c>
      <c r="L835">
        <f>HYPERLINK("https://www.ncbi.nlm.nih.gov/snp/rs72689202", "rs72689202")</f>
        <v/>
      </c>
      <c r="M835">
        <f>HYPERLINK("https://www.genecards.org/Search/Keyword?queryString=%5Baliases%5D(%20FSTL5%20)&amp;keywords=FSTL5", "FSTL5")</f>
        <v/>
      </c>
      <c r="N835" t="inlineStr">
        <is>
          <t>exonic</t>
        </is>
      </c>
      <c r="O835" t="inlineStr">
        <is>
          <t>nonsynonymous SNV</t>
        </is>
      </c>
      <c r="P835" t="inlineStr">
        <is>
          <t>FSTL5:NM_001128427:exon5:c.G575A:p.G192E,FSTL5:NM_001128428:exon5:c.G575A:p.G192E,FSTL5:NM_020116:exon5:c.G578A:p.G193E;FSTL5:uc003iqh.4:exon5:c.G578A:p.G193E,FSTL5:uc003iqi.4:exon5:c.G575A:p.G192E,FSTL5:uc010iqv.4:exon5:c.G575A:p.G192E;FSTL5:ENST00000306100.10_9:exon5:c.G578A:p.G193E,FSTL5:ENST00000379164.8_5:exon5:c.G575A:p.G192E,FSTL5:ENST00000427802.2_5:exon5:c.G575A:p.G192E</t>
        </is>
      </c>
      <c r="Q835" t="n">
        <v>0.0229</v>
      </c>
      <c r="R835" t="n">
        <v>0.0197</v>
      </c>
      <c r="S835" t="n">
        <v>0.0222</v>
      </c>
      <c r="T835" t="n">
        <v>-1</v>
      </c>
      <c r="U835" t="n">
        <v>0.0144</v>
      </c>
      <c r="V835" t="inlineStr">
        <is>
          <t>6/10</t>
        </is>
      </c>
      <c r="W835" t="inlineStr">
        <is>
          <t>.</t>
        </is>
      </c>
      <c r="X835" t="inlineStr">
        <is>
          <t>.</t>
        </is>
      </c>
      <c r="Y835" t="inlineStr">
        <is>
          <t>.</t>
        </is>
      </c>
      <c r="Z835" t="inlineStr">
        <is>
          <t>5/7</t>
        </is>
      </c>
      <c r="AA835" t="inlineStr">
        <is>
          <t>Uncertain significance</t>
        </is>
      </c>
      <c r="AB835" t="inlineStr">
        <is>
          <t>.</t>
        </is>
      </c>
      <c r="AC835" t="inlineStr">
        <is>
          <t>HOMO</t>
        </is>
      </c>
      <c r="AD835" t="inlineStr">
        <is>
          <t>1</t>
        </is>
      </c>
      <c r="AE835" t="inlineStr">
        <is>
          <t>0.0025626068189185</t>
        </is>
      </c>
      <c r="AF835" t="inlineStr">
        <is>
          <t>follistatin like 5</t>
        </is>
      </c>
      <c r="AG835" t="inlineStr">
        <is>
          <t>.</t>
        </is>
      </c>
      <c r="AH835" t="inlineStr">
        <is>
          <t>.</t>
        </is>
      </c>
      <c r="AI835" t="inlineStr">
        <is>
          <t>.</t>
        </is>
      </c>
      <c r="AJ835" t="inlineStr">
        <is>
          <t>.</t>
        </is>
      </c>
      <c r="AK835" t="inlineStr">
        <is>
          <t>.</t>
        </is>
      </c>
      <c r="AL835" t="inlineStr">
        <is>
          <t>.</t>
        </is>
      </c>
    </row>
    <row r="836">
      <c r="A836" t="inlineStr"/>
      <c r="B836">
        <f>HYPERLINK("https://genome.ucsc.edu/cgi-bin/hgTracks?db=hg19&amp;position=chr4%3A173150876%2D173150876", "chr4:173150876")</f>
        <v/>
      </c>
      <c r="C836" t="inlineStr">
        <is>
          <t>chr4</t>
        </is>
      </c>
      <c r="D836" t="n">
        <v>173150876</v>
      </c>
      <c r="E836" t="n">
        <v>173150876</v>
      </c>
      <c r="F836" t="inlineStr">
        <is>
          <t>C</t>
        </is>
      </c>
      <c r="G836" t="inlineStr">
        <is>
          <t>A</t>
        </is>
      </c>
      <c r="H836" t="inlineStr">
        <is>
          <t>368.64</t>
        </is>
      </c>
      <c r="I836" t="inlineStr">
        <is>
          <t>89</t>
        </is>
      </c>
      <c r="J836" t="inlineStr">
        <is>
          <t>68,21</t>
        </is>
      </c>
      <c r="K836" t="inlineStr">
        <is>
          <t>.</t>
        </is>
      </c>
      <c r="L836" t="inlineStr">
        <is>
          <t>.</t>
        </is>
      </c>
      <c r="M836">
        <f>HYPERLINK("https://www.genecards.org/Search/Keyword?queryString=%5Baliases%5D(%20GALNTL6%20)&amp;keywords=GALNTL6", "GALNTL6")</f>
        <v/>
      </c>
      <c r="N836" t="inlineStr">
        <is>
          <t>exonic</t>
        </is>
      </c>
      <c r="O836" t="inlineStr">
        <is>
          <t>nonsynonymous SNV</t>
        </is>
      </c>
      <c r="P836" t="inlineStr">
        <is>
          <t>GALNTL6:NM_001034845:exon3:c.C208A:p.H70N;GALNTL6:uc003isv.3:exon3:c.C208A:p.H70N;GALNTL6:ENST00000508122.5_1:exon2:c.C157A:p.H53N,GALNTL6:ENST00000506823.6_3:exon3:c.C208A:p.H70N</t>
        </is>
      </c>
      <c r="Q836" t="n">
        <v>-1</v>
      </c>
      <c r="R836" t="n">
        <v>-1</v>
      </c>
      <c r="S836" t="n">
        <v>-1</v>
      </c>
      <c r="T836" t="n">
        <v>-1</v>
      </c>
      <c r="U836" t="n">
        <v>-1</v>
      </c>
      <c r="V836" t="inlineStr">
        <is>
          <t>6/12</t>
        </is>
      </c>
      <c r="W836" t="inlineStr">
        <is>
          <t>.</t>
        </is>
      </c>
      <c r="X836" t="inlineStr">
        <is>
          <t>.</t>
        </is>
      </c>
      <c r="Y836" t="inlineStr">
        <is>
          <t>.</t>
        </is>
      </c>
      <c r="Z836" t="inlineStr">
        <is>
          <t>5/7</t>
        </is>
      </c>
      <c r="AA836" t="inlineStr">
        <is>
          <t>Uncertain significance</t>
        </is>
      </c>
      <c r="AB836" t="inlineStr">
        <is>
          <t>.</t>
        </is>
      </c>
      <c r="AC836" t="inlineStr">
        <is>
          <t>0/1</t>
        </is>
      </c>
      <c r="AD836" t="inlineStr">
        <is>
          <t>1</t>
        </is>
      </c>
      <c r="AE836" t="inlineStr">
        <is>
          <t>0.00165568126276253</t>
        </is>
      </c>
      <c r="AF836" t="inlineStr">
        <is>
          <t>polypeptide N-acetylgalactosaminyltransferase-like 6</t>
        </is>
      </c>
      <c r="AG836" t="inlineStr">
        <is>
          <t xml:space="preserve">FUNCTION: Catalyzes the initial reaction in O-linked oligosaccharide biosynthesis, the transfer of an N-acetyl-D- galactosamine residue to a serine or threonine residue on the protein receptor. {ECO:0000250}.; </t>
        </is>
      </c>
      <c r="AH836" t="inlineStr">
        <is>
          <t>.</t>
        </is>
      </c>
      <c r="AI836" t="inlineStr">
        <is>
          <t>.</t>
        </is>
      </c>
      <c r="AJ836" t="inlineStr">
        <is>
          <t>.</t>
        </is>
      </c>
      <c r="AK836" t="inlineStr">
        <is>
          <t>.</t>
        </is>
      </c>
      <c r="AL836" t="inlineStr">
        <is>
          <t>.</t>
        </is>
      </c>
    </row>
    <row r="837">
      <c r="A837" t="inlineStr"/>
      <c r="B837">
        <f>HYPERLINK("https://genome.ucsc.edu/cgi-bin/hgTracks?db=hg19&amp;position=chr4%3A184570723%2D184570723", "chr4:184570723")</f>
        <v/>
      </c>
      <c r="C837" t="inlineStr">
        <is>
          <t>chr4</t>
        </is>
      </c>
      <c r="D837" t="n">
        <v>184570723</v>
      </c>
      <c r="E837" t="n">
        <v>184570723</v>
      </c>
      <c r="F837" t="inlineStr">
        <is>
          <t>-</t>
        </is>
      </c>
      <c r="G837" t="inlineStr">
        <is>
          <t>A</t>
        </is>
      </c>
      <c r="H837" t="inlineStr">
        <is>
          <t>43.60</t>
        </is>
      </c>
      <c r="I837" t="inlineStr">
        <is>
          <t>50</t>
        </is>
      </c>
      <c r="J837" t="inlineStr">
        <is>
          <t>39,8</t>
        </is>
      </c>
      <c r="K837" t="inlineStr">
        <is>
          <t>.</t>
        </is>
      </c>
      <c r="L837">
        <f>HYPERLINK("https://www.ncbi.nlm.nih.gov/snp/rs541299900", "rs541299900")</f>
        <v/>
      </c>
      <c r="M837">
        <f>HYPERLINK("https://www.genecards.org/Search/Keyword?queryString=%5Baliases%5D(%20RWDD4%20)&amp;keywords=RWDD4", "RWDD4")</f>
        <v/>
      </c>
      <c r="N837" t="inlineStr">
        <is>
          <t>splicing</t>
        </is>
      </c>
      <c r="O837" t="inlineStr">
        <is>
          <t>.</t>
        </is>
      </c>
      <c r="P837" t="inlineStr">
        <is>
          <t>NM_001307922:exon5:c.175-2-&gt;T;NM_152682:exon5:c.364-2-&gt;T;uc003ivt.1:exon5:c.364-2-&gt;T;uc021xvb.1:exon5:c.364-2-&gt;T;ENST00000326397.10_8:exon5:c.364-2-&gt;T;ENST00000327570.13_3:exon5:c.364-2-&gt;T;ENST00000510968.5_3:exon3:c.79-2-&gt;T;ENST00000512740.1_3:exon4:c.175-2-&gt;T</t>
        </is>
      </c>
      <c r="Q837" t="n">
        <v>0.007900000000000001</v>
      </c>
      <c r="R837" t="n">
        <v>0.0033</v>
      </c>
      <c r="S837" t="n">
        <v>0.0021</v>
      </c>
      <c r="T837" t="n">
        <v>-1</v>
      </c>
      <c r="U837" t="n">
        <v>0.006</v>
      </c>
      <c r="V837" t="inlineStr">
        <is>
          <t>.</t>
        </is>
      </c>
      <c r="W837" t="inlineStr">
        <is>
          <t>.</t>
        </is>
      </c>
      <c r="X837" t="inlineStr">
        <is>
          <t>.</t>
        </is>
      </c>
      <c r="Y837" t="inlineStr">
        <is>
          <t>.</t>
        </is>
      </c>
      <c r="Z837" t="inlineStr">
        <is>
          <t>.</t>
        </is>
      </c>
      <c r="AA837" t="inlineStr">
        <is>
          <t>.</t>
        </is>
      </c>
      <c r="AB837" t="inlineStr">
        <is>
          <t>.</t>
        </is>
      </c>
      <c r="AC837" t="inlineStr">
        <is>
          <t>0/1</t>
        </is>
      </c>
      <c r="AD837" t="inlineStr">
        <is>
          <t>1</t>
        </is>
      </c>
      <c r="AE837" t="inlineStr">
        <is>
          <t>0.482983522176144</t>
        </is>
      </c>
      <c r="AF837" t="inlineStr">
        <is>
          <t>RWD domain containing 4</t>
        </is>
      </c>
      <c r="AG837" t="inlineStr">
        <is>
          <t>.</t>
        </is>
      </c>
      <c r="AH837" t="inlineStr">
        <is>
          <t>.</t>
        </is>
      </c>
      <c r="AI837" t="inlineStr">
        <is>
          <t>.</t>
        </is>
      </c>
      <c r="AJ837" t="inlineStr">
        <is>
          <t>.</t>
        </is>
      </c>
      <c r="AK837" t="inlineStr">
        <is>
          <t>.</t>
        </is>
      </c>
      <c r="AL837" t="inlineStr">
        <is>
          <t>.</t>
        </is>
      </c>
    </row>
    <row r="838">
      <c r="A838" t="inlineStr"/>
      <c r="B838">
        <f>HYPERLINK("https://genome.ucsc.edu/cgi-bin/hgTracks?db=hg19&amp;position=chr4%3A184614406%2D184614406", "chr4:184614406")</f>
        <v/>
      </c>
      <c r="C838" t="inlineStr">
        <is>
          <t>chr4</t>
        </is>
      </c>
      <c r="D838" t="n">
        <v>184614406</v>
      </c>
      <c r="E838" t="n">
        <v>184614406</v>
      </c>
      <c r="F838" t="inlineStr">
        <is>
          <t>G</t>
        </is>
      </c>
      <c r="G838" t="inlineStr">
        <is>
          <t>A</t>
        </is>
      </c>
      <c r="H838" t="inlineStr">
        <is>
          <t>43.64</t>
        </is>
      </c>
      <c r="I838" t="inlineStr">
        <is>
          <t>13</t>
        </is>
      </c>
      <c r="J838" t="inlineStr">
        <is>
          <t>11,2</t>
        </is>
      </c>
      <c r="K838" t="inlineStr">
        <is>
          <t>.</t>
        </is>
      </c>
      <c r="L838" t="inlineStr">
        <is>
          <t>.</t>
        </is>
      </c>
      <c r="M838">
        <f>HYPERLINK("https://www.genecards.org/Search/Keyword?queryString=%5Baliases%5D(%20TRAPPC11%20)&amp;keywords=TRAPPC11", "TRAPPC11")</f>
        <v/>
      </c>
      <c r="N838" t="inlineStr">
        <is>
          <t>intronic</t>
        </is>
      </c>
      <c r="O838" t="inlineStr">
        <is>
          <t>.</t>
        </is>
      </c>
      <c r="P838" t="inlineStr">
        <is>
          <t>.</t>
        </is>
      </c>
      <c r="Q838" t="n">
        <v>-1</v>
      </c>
      <c r="R838" t="n">
        <v>-1</v>
      </c>
      <c r="S838" t="n">
        <v>-1</v>
      </c>
      <c r="T838" t="n">
        <v>-1</v>
      </c>
      <c r="U838" t="n">
        <v>-1</v>
      </c>
      <c r="V838" t="inlineStr">
        <is>
          <t>.</t>
        </is>
      </c>
      <c r="W838" t="inlineStr">
        <is>
          <t>.</t>
        </is>
      </c>
      <c r="X838" t="inlineStr">
        <is>
          <t>D</t>
        </is>
      </c>
      <c r="Y838" t="inlineStr">
        <is>
          <t>off</t>
        </is>
      </c>
      <c r="Z838" t="inlineStr">
        <is>
          <t>.</t>
        </is>
      </c>
      <c r="AA838" t="inlineStr">
        <is>
          <t>.</t>
        </is>
      </c>
      <c r="AB838" t="inlineStr">
        <is>
          <t>.</t>
        </is>
      </c>
      <c r="AC838" t="inlineStr">
        <is>
          <t>.</t>
        </is>
      </c>
      <c r="AD838" t="inlineStr">
        <is>
          <t>1</t>
        </is>
      </c>
      <c r="AE838" t="inlineStr">
        <is>
          <t>0.000208772147312059</t>
        </is>
      </c>
      <c r="AF838" t="inlineStr">
        <is>
          <t>trafficking protein particle complex 11</t>
        </is>
      </c>
      <c r="AG838" t="inlineStr">
        <is>
          <t xml:space="preserve">FUNCTION: Involved in endoplasmic reticulum to Golgi apparatus trafficking at a very early stage. {ECO:0000269|PubMed:21525244}.; </t>
        </is>
      </c>
      <c r="AH838" t="inlineStr">
        <is>
          <t xml:space="preserve">DISEASE: Limb-girdle muscular dystrophy 2S (LGMD2S) [MIM:615356]: A form of limb-girdle muscular dystrophy characterized by proximal muscle weakness with childhood onset, resulting in gait abnormalities and scapular winging. Serum creatine kinase is increased. A subset of patients may show a hyperkinetic movement disorder with chorea, ataxia, or dystonia and global developmental delay. {ECO:0000269|PubMed:23830518}. Note=The disease is caused by mutations affecting the gene represented in this entry.; </t>
        </is>
      </c>
      <c r="AI838" t="inlineStr">
        <is>
          <t>.</t>
        </is>
      </c>
      <c r="AJ838" t="inlineStr">
        <is>
          <t>.</t>
        </is>
      </c>
      <c r="AK838" t="inlineStr">
        <is>
          <t>.</t>
        </is>
      </c>
      <c r="AL838" t="inlineStr">
        <is>
          <t>.</t>
        </is>
      </c>
    </row>
    <row r="839">
      <c r="A839" t="inlineStr"/>
      <c r="B839">
        <f>HYPERLINK("https://genome.ucsc.edu/cgi-bin/hgTracks?db=hg19&amp;position=chr4%3A186587318%2D186587318", "chr4:186587318")</f>
        <v/>
      </c>
      <c r="C839" t="inlineStr">
        <is>
          <t>chr4</t>
        </is>
      </c>
      <c r="D839" t="n">
        <v>186587318</v>
      </c>
      <c r="E839" t="n">
        <v>186587318</v>
      </c>
      <c r="F839" t="inlineStr">
        <is>
          <t>C</t>
        </is>
      </c>
      <c r="G839" t="inlineStr">
        <is>
          <t>A</t>
        </is>
      </c>
      <c r="H839" t="inlineStr">
        <is>
          <t>470.64</t>
        </is>
      </c>
      <c r="I839" t="inlineStr">
        <is>
          <t>99</t>
        </is>
      </c>
      <c r="J839" t="inlineStr">
        <is>
          <t>76,23</t>
        </is>
      </c>
      <c r="K839" t="inlineStr">
        <is>
          <t>.</t>
        </is>
      </c>
      <c r="L839" t="inlineStr">
        <is>
          <t>.</t>
        </is>
      </c>
      <c r="M839">
        <f>HYPERLINK("https://www.genecards.org/Search/Keyword?queryString=%5Baliases%5D(%20SORBS2%20)&amp;keywords=SORBS2", "SORBS2")</f>
        <v/>
      </c>
      <c r="N839" t="inlineStr">
        <is>
          <t>exonic;intronic</t>
        </is>
      </c>
      <c r="O839" t="inlineStr">
        <is>
          <t>nonsynonymous SNV</t>
        </is>
      </c>
      <c r="P839" t="inlineStr">
        <is>
          <t>SORBS2:ENST00000698842.1_1:exon6:c.G940T:p.A314S,SORBS2:ENST00000698843.1_1:exon6:c.G256T:p.A86S</t>
        </is>
      </c>
      <c r="Q839" t="n">
        <v>-1</v>
      </c>
      <c r="R839" t="n">
        <v>-1</v>
      </c>
      <c r="S839" t="n">
        <v>-1</v>
      </c>
      <c r="T839" t="n">
        <v>-1</v>
      </c>
      <c r="U839" t="n">
        <v>-1</v>
      </c>
      <c r="V839" t="inlineStr">
        <is>
          <t>4/9</t>
        </is>
      </c>
      <c r="W839" t="inlineStr">
        <is>
          <t>.</t>
        </is>
      </c>
      <c r="X839" t="inlineStr">
        <is>
          <t>.</t>
        </is>
      </c>
      <c r="Y839" t="inlineStr">
        <is>
          <t>.</t>
        </is>
      </c>
      <c r="Z839" t="inlineStr">
        <is>
          <t>1/7</t>
        </is>
      </c>
      <c r="AA839" t="inlineStr">
        <is>
          <t>.</t>
        </is>
      </c>
      <c r="AB839" t="inlineStr">
        <is>
          <t>.</t>
        </is>
      </c>
      <c r="AC839" t="inlineStr">
        <is>
          <t>0/1</t>
        </is>
      </c>
      <c r="AD839" t="inlineStr">
        <is>
          <t>1</t>
        </is>
      </c>
      <c r="AE839" t="inlineStr">
        <is>
          <t>0.0888062839921232</t>
        </is>
      </c>
      <c r="AF839" t="inlineStr">
        <is>
          <t>sorbin and SH3 domain containing 2</t>
        </is>
      </c>
      <c r="AG839" t="inlineStr">
        <is>
          <t xml:space="preserve">FUNCTION: Adapter protein that plays a role in the assembling of signaling complexes, being a link between ABL kinases and actin cytoskeleton. Can form complex with ABL1 and CBL, thus promoting ubiquitination and degradation of ABL1 or with AKT1 and PAK1, thus mediating AKT1-mediated activation of PAK1. May play a role in the regulation of pancreatic cell adhesion, possibly by acting on WASF1 phosphorylation, enhancing phosphorylation by ABL1, as well as dephosphorylation by PTPN12 (PubMed:18559503). Isoform 6 increases water and sodium absorption in the intestine and gall- bladder. {ECO:0000269|PubMed:12475393, ECO:0000269|PubMed:18559503, ECO:0000269|PubMed:9211900}.; </t>
        </is>
      </c>
      <c r="AH839" t="inlineStr">
        <is>
          <t>.</t>
        </is>
      </c>
      <c r="AI839" t="inlineStr">
        <is>
          <t>.</t>
        </is>
      </c>
      <c r="AJ839" t="inlineStr">
        <is>
          <t>.</t>
        </is>
      </c>
      <c r="AK839" t="inlineStr">
        <is>
          <t>.</t>
        </is>
      </c>
      <c r="AL839" t="inlineStr">
        <is>
          <t>.</t>
        </is>
      </c>
    </row>
    <row r="840">
      <c r="A840" t="inlineStr"/>
      <c r="B840">
        <f>HYPERLINK("https://genome.ucsc.edu/cgi-bin/hgTracks?db=hg19&amp;position=chr5%3A5209273%2D5209273", "chr5:5209273")</f>
        <v/>
      </c>
      <c r="C840" t="inlineStr">
        <is>
          <t>chr5</t>
        </is>
      </c>
      <c r="D840" t="n">
        <v>5209273</v>
      </c>
      <c r="E840" t="n">
        <v>5209273</v>
      </c>
      <c r="F840" t="inlineStr">
        <is>
          <t>-</t>
        </is>
      </c>
      <c r="G840" t="inlineStr">
        <is>
          <t>A</t>
        </is>
      </c>
      <c r="H840" t="inlineStr">
        <is>
          <t>1131.60</t>
        </is>
      </c>
      <c r="I840" t="inlineStr">
        <is>
          <t>179</t>
        </is>
      </c>
      <c r="J840" t="inlineStr">
        <is>
          <t>137,42</t>
        </is>
      </c>
      <c r="K840" t="inlineStr">
        <is>
          <t>.</t>
        </is>
      </c>
      <c r="L840" t="inlineStr">
        <is>
          <t>.</t>
        </is>
      </c>
      <c r="M840">
        <f>HYPERLINK("https://www.genecards.org/Search/Keyword?queryString=%5Baliases%5D(%20ADAMTS16%20)&amp;keywords=ADAMTS16", "ADAMTS16")</f>
        <v/>
      </c>
      <c r="N840" t="inlineStr">
        <is>
          <t>exonic</t>
        </is>
      </c>
      <c r="O840" t="inlineStr">
        <is>
          <t>frameshift insertion</t>
        </is>
      </c>
      <c r="P840" t="inlineStr">
        <is>
          <t>ADAMTS16:NM_139056:exon10:c.1519_1520insA:p.L507Yfs*7;ADAMTS16:uc003jdj.1:exon10:c.1519_1520insA:p.L507Yfs*7,ADAMTS16:uc003jdk.1:exon10:c.1519_1520insA:p.L507Yfs*7,ADAMTS16:uc003jdl.3:exon10:c.1519_1520insA:p.L507Yfs*7;ADAMTS16:ENST00000274181.7_3:exon10:c.1519_1520insA:p.L507Yfs*7,ADAMTS16:ENST00000511368.5_1:exon10:c.1519_1520insA:p.L507Yfs*7</t>
        </is>
      </c>
      <c r="Q840" t="n">
        <v>-1</v>
      </c>
      <c r="R840" t="n">
        <v>-1</v>
      </c>
      <c r="S840" t="n">
        <v>-1</v>
      </c>
      <c r="T840" t="n">
        <v>-1</v>
      </c>
      <c r="U840" t="n">
        <v>-1</v>
      </c>
      <c r="V840" t="inlineStr">
        <is>
          <t>.</t>
        </is>
      </c>
      <c r="W840" t="inlineStr">
        <is>
          <t>.</t>
        </is>
      </c>
      <c r="X840" t="inlineStr">
        <is>
          <t>.</t>
        </is>
      </c>
      <c r="Y840" t="inlineStr">
        <is>
          <t>.</t>
        </is>
      </c>
      <c r="Z840" t="inlineStr">
        <is>
          <t>.</t>
        </is>
      </c>
      <c r="AA840" t="inlineStr">
        <is>
          <t>.</t>
        </is>
      </c>
      <c r="AB840" t="inlineStr">
        <is>
          <t>.</t>
        </is>
      </c>
      <c r="AC840" t="inlineStr">
        <is>
          <t>0/1</t>
        </is>
      </c>
      <c r="AD840" t="inlineStr">
        <is>
          <t>1</t>
        </is>
      </c>
      <c r="AE840" t="inlineStr">
        <is>
          <t>0.00108650288416212</t>
        </is>
      </c>
      <c r="AF840" t="inlineStr">
        <is>
          <t>ADAM metallopeptidase with thrombospondin type 1 motif 16</t>
        </is>
      </c>
      <c r="AG840" t="inlineStr">
        <is>
          <t>.</t>
        </is>
      </c>
      <c r="AH840" t="inlineStr">
        <is>
          <t>.</t>
        </is>
      </c>
      <c r="AI840" t="inlineStr">
        <is>
          <t>.</t>
        </is>
      </c>
      <c r="AJ840" t="inlineStr">
        <is>
          <t>.</t>
        </is>
      </c>
      <c r="AK840" t="inlineStr">
        <is>
          <t>.</t>
        </is>
      </c>
      <c r="AL840" t="inlineStr">
        <is>
          <t>.</t>
        </is>
      </c>
    </row>
    <row r="841">
      <c r="A841" t="inlineStr"/>
      <c r="B841">
        <f>HYPERLINK("https://genome.ucsc.edu/cgi-bin/hgTracks?db=hg19&amp;position=chr5%3A6623447%2D6623447", "chr5:6623447")</f>
        <v/>
      </c>
      <c r="C841" t="inlineStr">
        <is>
          <t>chr5</t>
        </is>
      </c>
      <c r="D841" t="n">
        <v>6623447</v>
      </c>
      <c r="E841" t="n">
        <v>6623447</v>
      </c>
      <c r="F841" t="inlineStr">
        <is>
          <t>C</t>
        </is>
      </c>
      <c r="G841" t="inlineStr">
        <is>
          <t>T</t>
        </is>
      </c>
      <c r="H841" t="inlineStr">
        <is>
          <t>374.64</t>
        </is>
      </c>
      <c r="I841" t="inlineStr">
        <is>
          <t>64</t>
        </is>
      </c>
      <c r="J841" t="inlineStr">
        <is>
          <t>46,18</t>
        </is>
      </c>
      <c r="K841" t="inlineStr">
        <is>
          <t>.</t>
        </is>
      </c>
      <c r="L841">
        <f>HYPERLINK("https://www.ncbi.nlm.nih.gov/snp/rs78257966", "rs78257966")</f>
        <v/>
      </c>
      <c r="M841">
        <f>HYPERLINK("https://www.genecards.org/Search/Keyword?queryString=%5Baliases%5D(%20NSUN2%20)&amp;keywords=NSUN2", "NSUN2")</f>
        <v/>
      </c>
      <c r="N841" t="inlineStr">
        <is>
          <t>intronic</t>
        </is>
      </c>
      <c r="O841" t="inlineStr">
        <is>
          <t>.</t>
        </is>
      </c>
      <c r="P841" t="inlineStr">
        <is>
          <t>.</t>
        </is>
      </c>
      <c r="Q841" t="n">
        <v>0.0279899</v>
      </c>
      <c r="R841" t="n">
        <v>0.0249</v>
      </c>
      <c r="S841" t="n">
        <v>0.0256</v>
      </c>
      <c r="T841" t="n">
        <v>-1</v>
      </c>
      <c r="U841" t="n">
        <v>0.0221</v>
      </c>
      <c r="V841" t="inlineStr">
        <is>
          <t>.</t>
        </is>
      </c>
      <c r="W841" t="inlineStr">
        <is>
          <t>.</t>
        </is>
      </c>
      <c r="X841" t="inlineStr">
        <is>
          <t>D</t>
        </is>
      </c>
      <c r="Y841" t="inlineStr">
        <is>
          <t>off</t>
        </is>
      </c>
      <c r="Z841" t="inlineStr">
        <is>
          <t>.</t>
        </is>
      </c>
      <c r="AA841" t="inlineStr">
        <is>
          <t>.</t>
        </is>
      </c>
      <c r="AB841" t="inlineStr">
        <is>
          <t>.</t>
        </is>
      </c>
      <c r="AC841" t="inlineStr">
        <is>
          <t>0/1</t>
        </is>
      </c>
      <c r="AD841" t="inlineStr">
        <is>
          <t>1</t>
        </is>
      </c>
      <c r="AE841" t="inlineStr">
        <is>
          <t>0.961845836118256</t>
        </is>
      </c>
      <c r="AF841" t="inlineStr">
        <is>
          <t>NOP2/Sun RNA methyltransferase family member 2</t>
        </is>
      </c>
      <c r="AG841" t="inlineStr">
        <is>
          <t xml:space="preserve">FUNCTION: RNA methyltransferase that methylates tRNAs, and possibly RNA polymerase III transcripts. Methylates cytosine to 5- methylcytosine (m5C) at positions 34 and 48 of intron-containing tRNA(Leu)(CAA) precursors, and at positions 48, 49 and 50 of tRNA(Gly)(GCC) precursors. May act downstream of Myc to regulate epidermal cell growth and proliferation. Required for proper spindle assembly and chromosome segregation, independently of its methyltransferase activity. {ECO:0000269|PubMed:17071714, ECO:0000269|PubMed:19596847, ECO:0000269|PubMed:22995836}.; </t>
        </is>
      </c>
      <c r="AH841" t="inlineStr">
        <is>
          <t xml:space="preserve">DISEASE: Mental retardation, autosomal recessive 5 (MRT5) [MIM:611091]: A disorder characterized by significantly below average general intellectual functioning associated with impairments in adaptive behavior and manifested during the developmental period. {ECO:0000269|PubMed:22541559, ECO:0000269|PubMed:22541562}. Note=The disease is caused by mutations affecting the gene represented in this entry.; </t>
        </is>
      </c>
      <c r="AI841" t="inlineStr">
        <is>
          <t>.</t>
        </is>
      </c>
      <c r="AJ841" t="inlineStr">
        <is>
          <t>.</t>
        </is>
      </c>
      <c r="AK841" t="inlineStr">
        <is>
          <t>.</t>
        </is>
      </c>
      <c r="AL841" t="inlineStr">
        <is>
          <t>.</t>
        </is>
      </c>
    </row>
    <row r="842">
      <c r="A842" t="inlineStr"/>
      <c r="B842">
        <f>HYPERLINK("https://genome.ucsc.edu/cgi-bin/hgTracks?db=hg19&amp;position=chr5%3A10430248%2D10430248", "chr5:10430248")</f>
        <v/>
      </c>
      <c r="C842" t="inlineStr">
        <is>
          <t>chr5</t>
        </is>
      </c>
      <c r="D842" t="n">
        <v>10430248</v>
      </c>
      <c r="E842" t="n">
        <v>10430248</v>
      </c>
      <c r="F842" t="inlineStr">
        <is>
          <t>C</t>
        </is>
      </c>
      <c r="G842" t="inlineStr">
        <is>
          <t>G</t>
        </is>
      </c>
      <c r="H842" t="inlineStr">
        <is>
          <t>187.64</t>
        </is>
      </c>
      <c r="I842" t="inlineStr">
        <is>
          <t>17</t>
        </is>
      </c>
      <c r="J842" t="inlineStr">
        <is>
          <t>11,6</t>
        </is>
      </c>
      <c r="K842" t="inlineStr">
        <is>
          <t>.</t>
        </is>
      </c>
      <c r="L842">
        <f>HYPERLINK("https://www.ncbi.nlm.nih.gov/snp/rs142231808", "rs142231808")</f>
        <v/>
      </c>
      <c r="M842">
        <f>HYPERLINK("https://www.genecards.org/Search/Keyword?queryString=%5Baliases%5D(%20MARCH6%20)%20OR%20%5Baliases%5D(%20MARCHF6%20)&amp;keywords=MARCH6,MARCHF6", "MARCH6;MARCHF6")</f>
        <v/>
      </c>
      <c r="N842" t="inlineStr">
        <is>
          <t>intronic</t>
        </is>
      </c>
      <c r="O842" t="inlineStr">
        <is>
          <t>.</t>
        </is>
      </c>
      <c r="P842" t="inlineStr">
        <is>
          <t>.</t>
        </is>
      </c>
      <c r="Q842" t="n">
        <v>0.0043</v>
      </c>
      <c r="R842" t="n">
        <v>0.0037</v>
      </c>
      <c r="S842" t="n">
        <v>0.0036</v>
      </c>
      <c r="T842" t="n">
        <v>-1</v>
      </c>
      <c r="U842" t="n">
        <v>0.0081</v>
      </c>
      <c r="V842" t="inlineStr">
        <is>
          <t>.</t>
        </is>
      </c>
      <c r="W842" t="inlineStr">
        <is>
          <t>.</t>
        </is>
      </c>
      <c r="X842" t="inlineStr">
        <is>
          <t>D</t>
        </is>
      </c>
      <c r="Y842" t="inlineStr">
        <is>
          <t>off</t>
        </is>
      </c>
      <c r="Z842" t="inlineStr">
        <is>
          <t>.</t>
        </is>
      </c>
      <c r="AA842" t="inlineStr">
        <is>
          <t>.</t>
        </is>
      </c>
      <c r="AB842" t="inlineStr">
        <is>
          <t>.</t>
        </is>
      </c>
      <c r="AC842" t="inlineStr">
        <is>
          <t>0/1</t>
        </is>
      </c>
      <c r="AD842" t="inlineStr">
        <is>
          <t>1;1</t>
        </is>
      </c>
      <c r="AE842" t="inlineStr">
        <is>
          <t>0.999995976388274</t>
        </is>
      </c>
      <c r="AF842" t="inlineStr">
        <is>
          <t>membrane associated ring-CH-type finger 6</t>
        </is>
      </c>
      <c r="AG842" t="inlineStr">
        <is>
          <t xml:space="preserve">FUNCTION: E3 ubiquitin-protein ligase that promotes ubiquitination of DIO2, leading to its degradation. E3 ubiquitin ligases accept ubiquitin from an E2 ubiquitin-conjugating enzyme in the form of a thioester and then directly transfer the ubiquitin to targeted substrates. May cooperate with UBE2G1. {ECO:0000269|PubMed:15673284, ECO:0000269|PubMed:19651899}.; </t>
        </is>
      </c>
      <c r="AH842" t="inlineStr">
        <is>
          <t>.</t>
        </is>
      </c>
      <c r="AI842" t="inlineStr">
        <is>
          <t>.</t>
        </is>
      </c>
      <c r="AJ842" t="inlineStr">
        <is>
          <t>.</t>
        </is>
      </c>
      <c r="AK842" t="inlineStr">
        <is>
          <t>.</t>
        </is>
      </c>
      <c r="AL842" t="inlineStr">
        <is>
          <t>.</t>
        </is>
      </c>
    </row>
    <row r="843">
      <c r="A843" t="inlineStr"/>
      <c r="B843">
        <f>HYPERLINK("https://genome.ucsc.edu/cgi-bin/hgTracks?db=hg19&amp;position=chr5%3A13794109%2D13794109", "chr5:13794109")</f>
        <v/>
      </c>
      <c r="C843" t="inlineStr">
        <is>
          <t>chr5</t>
        </is>
      </c>
      <c r="D843" t="n">
        <v>13794109</v>
      </c>
      <c r="E843" t="n">
        <v>13794109</v>
      </c>
      <c r="F843" t="inlineStr">
        <is>
          <t>C</t>
        </is>
      </c>
      <c r="G843" t="inlineStr">
        <is>
          <t>A</t>
        </is>
      </c>
      <c r="H843" t="inlineStr">
        <is>
          <t>1353.64</t>
        </is>
      </c>
      <c r="I843" t="inlineStr">
        <is>
          <t>151</t>
        </is>
      </c>
      <c r="J843" t="inlineStr">
        <is>
          <t>86,65</t>
        </is>
      </c>
      <c r="K843" t="inlineStr">
        <is>
          <t>.</t>
        </is>
      </c>
      <c r="L843" t="inlineStr">
        <is>
          <t>.</t>
        </is>
      </c>
      <c r="M843">
        <f>HYPERLINK("https://www.genecards.org/Search/Keyword?queryString=%5Baliases%5D(%20DNAH5%20)&amp;keywords=DNAH5", "DNAH5")</f>
        <v/>
      </c>
      <c r="N843" t="inlineStr">
        <is>
          <t>exonic</t>
        </is>
      </c>
      <c r="O843" t="inlineStr">
        <is>
          <t>nonsynonymous SNV</t>
        </is>
      </c>
      <c r="P843" t="inlineStr">
        <is>
          <t>DNAH5:NM_001369:exon48:c.G7946T:p.G2649V;DNAH5:uc003jfd.2:exon48:c.G7946T:p.G2649V;DNAH5:ENST00000265104.5_6:exon48:c.G7946T:p.G2649V,DNAH5:ENST00000681290.1_4:exon48:c.G7901T:p.G2634V</t>
        </is>
      </c>
      <c r="Q843" t="n">
        <v>-1</v>
      </c>
      <c r="R843" t="n">
        <v>-1</v>
      </c>
      <c r="S843" t="n">
        <v>-1</v>
      </c>
      <c r="T843" t="n">
        <v>-1</v>
      </c>
      <c r="U843" t="n">
        <v>-1</v>
      </c>
      <c r="V843" t="inlineStr">
        <is>
          <t>9/12</t>
        </is>
      </c>
      <c r="W843" t="inlineStr">
        <is>
          <t>.</t>
        </is>
      </c>
      <c r="X843" t="inlineStr">
        <is>
          <t>.</t>
        </is>
      </c>
      <c r="Y843" t="inlineStr">
        <is>
          <t>.</t>
        </is>
      </c>
      <c r="Z843" t="inlineStr">
        <is>
          <t>4/7</t>
        </is>
      </c>
      <c r="AA843" t="inlineStr">
        <is>
          <t>Uncertain significance</t>
        </is>
      </c>
      <c r="AB843" t="inlineStr">
        <is>
          <t>.</t>
        </is>
      </c>
      <c r="AC843" t="inlineStr">
        <is>
          <t>0/1</t>
        </is>
      </c>
      <c r="AD843" t="inlineStr">
        <is>
          <t>1</t>
        </is>
      </c>
      <c r="AE843" t="inlineStr">
        <is>
          <t>5.78867795702671e-37</t>
        </is>
      </c>
      <c r="AF843" t="inlineStr">
        <is>
          <t>dynein axonemal heavy chain 5</t>
        </is>
      </c>
      <c r="AG843" t="inlineStr">
        <is>
          <t xml:space="preserve">FUNCTION: Force generating protein of respiratory cilia. Produces force towards the minus ends of microtubules. Dynein has ATPase activity; the force-producing power stroke is thought to occur on release of ADP. Required for structural and functional integrity of the cilia of ependymal cells lining the brain ventricles.; </t>
        </is>
      </c>
      <c r="AH843" t="inlineStr">
        <is>
          <t xml:space="preserve">DISEASE: Ciliary dyskinesia, primary, 3 (CILD3) [MIM:608644]: A disorder characterized by abnormalities of motile cilia. Respiratory infections leading to chronic inflammation and bronchiectasis are recurrent, due to defects in the respiratory cilia; reduced fertility is often observed in male patients due to abnormalities of sperm tails. Half of the patients exhibit randomization of left-right body asymmetry and situs inversus, due to dysfunction of monocilia at the embryonic node. Primary ciliary dyskinesia associated with situs inversus is referred to as Kartagener syndrome. {ECO:0000269|PubMed:11062149, ECO:0000269|PubMed:16627867, ECO:0000269|PubMed:25186273}. Note=The disease is caused by mutations affecting the gene represented in this entry.; DISEASE: Kartagener syndrome (KTGS) [MIM:244400]: An autosomal recessive disorder characterized by the association of primary ciliary dyskinesia with situs inversus. Clinical features include recurrent respiratory infections, bronchiectasis, infertility, and lateral transposition of the viscera of the thorax and abdomen. The situs inversus is most often total, although it can be partial in some cases (isolated dextrocardia or isolated transposition of abdominal viscera). {ECO:0000269|PubMed:11788826}. Note=The disease is caused by mutations affecting the gene represented in this entry.; </t>
        </is>
      </c>
      <c r="AI843" t="inlineStr">
        <is>
          <t>.</t>
        </is>
      </c>
      <c r="AJ843" t="inlineStr">
        <is>
          <t>.</t>
        </is>
      </c>
      <c r="AK843" t="inlineStr">
        <is>
          <t>.</t>
        </is>
      </c>
      <c r="AL843" t="inlineStr">
        <is>
          <t>.</t>
        </is>
      </c>
    </row>
    <row r="844">
      <c r="A844" t="inlineStr"/>
      <c r="B844">
        <f>HYPERLINK("https://genome.ucsc.edu/cgi-bin/hgTracks?db=hg19&amp;position=chr5%3A32239166%2D32239166", "chr5:32239166")</f>
        <v/>
      </c>
      <c r="C844" t="inlineStr">
        <is>
          <t>chr5</t>
        </is>
      </c>
      <c r="D844" t="n">
        <v>32239166</v>
      </c>
      <c r="E844" t="n">
        <v>32239166</v>
      </c>
      <c r="F844" t="inlineStr">
        <is>
          <t>T</t>
        </is>
      </c>
      <c r="G844" t="inlineStr">
        <is>
          <t>C</t>
        </is>
      </c>
      <c r="H844" t="inlineStr">
        <is>
          <t>1896.64</t>
        </is>
      </c>
      <c r="I844" t="inlineStr">
        <is>
          <t>166</t>
        </is>
      </c>
      <c r="J844" t="inlineStr">
        <is>
          <t>82,84</t>
        </is>
      </c>
      <c r="K844" t="inlineStr">
        <is>
          <t>.</t>
        </is>
      </c>
      <c r="L844">
        <f>HYPERLINK("https://www.ncbi.nlm.nih.gov/snp/rs145308792", "rs145308792")</f>
        <v/>
      </c>
      <c r="M844">
        <f>HYPERLINK("https://www.genecards.org/Search/Keyword?queryString=%5Baliases%5D(%20MTMR12%20)&amp;keywords=MTMR12", "MTMR12")</f>
        <v/>
      </c>
      <c r="N844" t="inlineStr">
        <is>
          <t>exonic</t>
        </is>
      </c>
      <c r="O844" t="inlineStr">
        <is>
          <t>nonsynonymous SNV</t>
        </is>
      </c>
      <c r="P844" t="inlineStr">
        <is>
          <t>MTMR12:NM_001040446:exon13:c.A1285G:p.M429V,MTMR12:NM_001294343:exon13:c.A1285G:p.M429V,MTMR12:NM_001294344:exon13:c.A1285G:p.M429V;MTMR12:uc003jhq.3:exon13:c.A1285G:p.M429V,MTMR12:uc010iuk.3:exon13:c.A1285G:p.M429V,MTMR12:uc010iul.3:exon13:c.A1285G:p.M429V;MTMR12:ENST00000264934.5_3:exon13:c.A1285G:p.M429V,MTMR12:ENST00000280285.9_3:exon13:c.A1285G:p.M429V,MTMR12:ENST00000382142.8_8:exon13:c.A1285G:p.M429V</t>
        </is>
      </c>
      <c r="Q844" t="n">
        <v>0.0115</v>
      </c>
      <c r="R844" t="n">
        <v>0.0062</v>
      </c>
      <c r="S844" t="n">
        <v>0.008999999999999999</v>
      </c>
      <c r="T844" t="n">
        <v>-1</v>
      </c>
      <c r="U844" t="n">
        <v>0.0041</v>
      </c>
      <c r="V844" t="inlineStr">
        <is>
          <t>3/10</t>
        </is>
      </c>
      <c r="W844" t="inlineStr">
        <is>
          <t>.</t>
        </is>
      </c>
      <c r="X844" t="inlineStr">
        <is>
          <t>.</t>
        </is>
      </c>
      <c r="Y844" t="inlineStr">
        <is>
          <t>.</t>
        </is>
      </c>
      <c r="Z844" t="inlineStr">
        <is>
          <t>4/7</t>
        </is>
      </c>
      <c r="AA844" t="inlineStr">
        <is>
          <t>Likely benign</t>
        </is>
      </c>
      <c r="AB844" t="inlineStr">
        <is>
          <t>.</t>
        </is>
      </c>
      <c r="AC844" t="inlineStr">
        <is>
          <t>0/1</t>
        </is>
      </c>
      <c r="AD844" t="inlineStr">
        <is>
          <t>1</t>
        </is>
      </c>
      <c r="AE844" t="inlineStr">
        <is>
          <t>0.997884435033356</t>
        </is>
      </c>
      <c r="AF844" t="inlineStr">
        <is>
          <t>myotubularin related protein 12</t>
        </is>
      </c>
      <c r="AG844" t="inlineStr">
        <is>
          <t xml:space="preserve">FUNCTION: Catalytically inactive phosphatase that plays a role as an adapter for the phosphatase myotubularin to regulate myotubularin intracellular location. {ECO:0000269|PubMed:11504939, ECO:0000269|PubMed:12847286}.; </t>
        </is>
      </c>
      <c r="AH844" t="inlineStr">
        <is>
          <t>.</t>
        </is>
      </c>
      <c r="AI844" t="inlineStr">
        <is>
          <t>.</t>
        </is>
      </c>
      <c r="AJ844" t="inlineStr">
        <is>
          <t>.</t>
        </is>
      </c>
      <c r="AK844" t="inlineStr">
        <is>
          <t>.</t>
        </is>
      </c>
      <c r="AL844" t="inlineStr">
        <is>
          <t>.</t>
        </is>
      </c>
    </row>
    <row r="845">
      <c r="A845" t="inlineStr"/>
      <c r="B845">
        <f>HYPERLINK("https://genome.ucsc.edu/cgi-bin/hgTracks?db=hg19&amp;position=chr5%3A34998892%2D34998892", "chr5:34998892")</f>
        <v/>
      </c>
      <c r="C845" t="inlineStr">
        <is>
          <t>chr5</t>
        </is>
      </c>
      <c r="D845" t="n">
        <v>34998892</v>
      </c>
      <c r="E845" t="n">
        <v>34998892</v>
      </c>
      <c r="F845" t="inlineStr">
        <is>
          <t>C</t>
        </is>
      </c>
      <c r="G845" t="inlineStr">
        <is>
          <t>A</t>
        </is>
      </c>
      <c r="H845" t="inlineStr">
        <is>
          <t>112.64</t>
        </is>
      </c>
      <c r="I845" t="inlineStr">
        <is>
          <t>107</t>
        </is>
      </c>
      <c r="J845" t="inlineStr">
        <is>
          <t>92,15</t>
        </is>
      </c>
      <c r="K845" t="inlineStr">
        <is>
          <t>.</t>
        </is>
      </c>
      <c r="L845" t="inlineStr">
        <is>
          <t>.</t>
        </is>
      </c>
      <c r="M845">
        <f>HYPERLINK("https://www.genecards.org/Search/Keyword?queryString=%5Baliases%5D(%20AGXT2%20)&amp;keywords=AGXT2", "AGXT2")</f>
        <v/>
      </c>
      <c r="N845" t="inlineStr">
        <is>
          <t>exonic</t>
        </is>
      </c>
      <c r="O845" t="inlineStr">
        <is>
          <t>stopgain</t>
        </is>
      </c>
      <c r="P845" t="inlineStr">
        <is>
          <t>AGXT2:NM_001306173:exon12:c.G1252T:p.E418X,AGXT2:NM_031900:exon14:c.G1477T:p.E493X;AGXT2:uc003jje.1:exon6:c.G436T:p.E146X,AGXT2:uc011com.2:exon12:c.G1252T:p.E418X,AGXT2:uc003jjf.3:exon14:c.G1477T:p.E493X;AGXT2:ENST00000510428.1_3:exon12:c.G1252T:p.E418X,AGXT2:ENST00000618015.4_3:exon12:c.G1252T:p.E418X,AGXT2:ENST00000231420.11_5:exon14:c.G1477T:p.E493X</t>
        </is>
      </c>
      <c r="Q845" t="n">
        <v>-1</v>
      </c>
      <c r="R845" t="n">
        <v>-1</v>
      </c>
      <c r="S845" t="n">
        <v>-1</v>
      </c>
      <c r="T845" t="n">
        <v>-1</v>
      </c>
      <c r="U845" t="n">
        <v>-1</v>
      </c>
      <c r="V845" t="inlineStr">
        <is>
          <t>3/3</t>
        </is>
      </c>
      <c r="W845" t="inlineStr">
        <is>
          <t>.</t>
        </is>
      </c>
      <c r="X845" t="inlineStr">
        <is>
          <t>.</t>
        </is>
      </c>
      <c r="Y845" t="inlineStr">
        <is>
          <t>.</t>
        </is>
      </c>
      <c r="Z845" t="inlineStr">
        <is>
          <t>3/7</t>
        </is>
      </c>
      <c r="AA845" t="inlineStr">
        <is>
          <t>Uncertain significance</t>
        </is>
      </c>
      <c r="AB845" t="inlineStr">
        <is>
          <t>.</t>
        </is>
      </c>
      <c r="AC845" t="inlineStr">
        <is>
          <t>0/1</t>
        </is>
      </c>
      <c r="AD845" t="inlineStr">
        <is>
          <t>1</t>
        </is>
      </c>
      <c r="AE845" t="inlineStr">
        <is>
          <t>4.66554613813699e-15</t>
        </is>
      </c>
      <c r="AF845" t="inlineStr">
        <is>
          <t>alanine--glyoxylate aminotransferase 2</t>
        </is>
      </c>
      <c r="AG845" t="inlineStr">
        <is>
          <t xml:space="preserve">FUNCTION: Can metabolize asymmetric dimethylarginine (ADMA) via transamination to alpha-keto-delta-(NN-dimethylguanidino) valeric acid (DMGV). ADMA is a potent inhibitor of nitric-oxide (NO) synthase, and this activity provides mechanism through which the kidney regulates blood pressure. {ECO:0000269|PubMed:20018850, ECO:0000269|PubMed:23023372, ECO:0000269|PubMed:24586340}.; </t>
        </is>
      </c>
      <c r="AH845" t="inlineStr">
        <is>
          <t>.</t>
        </is>
      </c>
      <c r="AI845" t="inlineStr">
        <is>
          <t>.</t>
        </is>
      </c>
      <c r="AJ845" t="inlineStr">
        <is>
          <t>.</t>
        </is>
      </c>
      <c r="AK845" t="inlineStr">
        <is>
          <t>.</t>
        </is>
      </c>
      <c r="AL845" t="inlineStr">
        <is>
          <t>.</t>
        </is>
      </c>
    </row>
    <row r="846">
      <c r="A846" t="inlineStr"/>
      <c r="B846">
        <f>HYPERLINK("https://genome.ucsc.edu/cgi-bin/hgTracks?db=hg19&amp;position=chr5%3A37815941%2D37815941", "chr5:37815941")</f>
        <v/>
      </c>
      <c r="C846" t="inlineStr">
        <is>
          <t>chr5</t>
        </is>
      </c>
      <c r="D846" t="n">
        <v>37815941</v>
      </c>
      <c r="E846" t="n">
        <v>37815941</v>
      </c>
      <c r="F846" t="inlineStr">
        <is>
          <t>C</t>
        </is>
      </c>
      <c r="G846" t="inlineStr">
        <is>
          <t>T</t>
        </is>
      </c>
      <c r="H846" t="inlineStr">
        <is>
          <t>2581.64</t>
        </is>
      </c>
      <c r="I846" t="inlineStr">
        <is>
          <t>204</t>
        </is>
      </c>
      <c r="J846" t="inlineStr">
        <is>
          <t>101,103</t>
        </is>
      </c>
      <c r="K846" t="inlineStr">
        <is>
          <t>CM960733</t>
        </is>
      </c>
      <c r="L846">
        <f>HYPERLINK("https://www.ncbi.nlm.nih.gov/snp/rs76466003", "rs76466003")</f>
        <v/>
      </c>
      <c r="M846">
        <f>HYPERLINK("https://www.genecards.org/Search/Keyword?queryString=%5Baliases%5D(%20GDNF%20)&amp;keywords=GDNF", "GDNF")</f>
        <v/>
      </c>
      <c r="N846" t="inlineStr">
        <is>
          <t>exonic</t>
        </is>
      </c>
      <c r="O846" t="inlineStr">
        <is>
          <t>nonsynonymous SNV</t>
        </is>
      </c>
      <c r="P846" t="inlineStr">
        <is>
          <t>GDNF:NM_000514:exon3:c.G448A:p.D150N,GDNF:NM_001190468:exon3:c.G499A:p.D167N,GDNF:NM_001190469:exon3:c.G421A:p.D141N,GDNF:NM_001278098:exon3:c.G292A:p.D98N,GDNF:NM_199231:exon3:c.G370A:p.D124N;GDNF:uc011cpe.2:exon2:c.G370A:p.D124N,GDNF:uc011cpd.2:exon3:c.G292A:p.D98N,GDNF:uc011cpf.2:exon3:c.G370A:p.D124N,GDNF:uc011cpg.2:exon3:c.G499A:p.D167N,GDNF:uc011cph.2:exon3:c.G421A:p.D141N,GDNF:uc011cpi.2:exon3:c.G448A:p.D150N;GDNF:ENST00000326524.7_9:exon3:c.G448A:p.D150N,GDNF:ENST00000344622.8_7:exon3:c.G370A:p.D124N,GDNF:ENST00000381826.8_4:exon3:c.G421A:p.D141N,GDNF:ENST00000427982.5_4:exon3:c.G499A:p.D167N,GDNF:ENST00000515058.5_7:exon3:c.G370A:p.D124N,GDNF:ENST00000620847.1_3:exon3:c.G292A:p.D98N</t>
        </is>
      </c>
      <c r="Q846" t="n">
        <v>0.0161</v>
      </c>
      <c r="R846" t="n">
        <v>0.0023</v>
      </c>
      <c r="S846" t="n">
        <v>0.002</v>
      </c>
      <c r="T846" t="n">
        <v>-1</v>
      </c>
      <c r="U846" t="n">
        <v>0.0025</v>
      </c>
      <c r="V846" t="inlineStr">
        <is>
          <t>4/10</t>
        </is>
      </c>
      <c r="W846" t="inlineStr">
        <is>
          <t>.</t>
        </is>
      </c>
      <c r="X846" t="inlineStr">
        <is>
          <t>.</t>
        </is>
      </c>
      <c r="Y846" t="inlineStr">
        <is>
          <t>.</t>
        </is>
      </c>
      <c r="Z846" t="inlineStr">
        <is>
          <t>1/7</t>
        </is>
      </c>
      <c r="AA846" t="inlineStr">
        <is>
          <t>Benign</t>
        </is>
      </c>
      <c r="AB846" t="inlineStr">
        <is>
          <t>Benign/Likely_benign</t>
        </is>
      </c>
      <c r="AC846" t="inlineStr">
        <is>
          <t>0/1</t>
        </is>
      </c>
      <c r="AD846" t="inlineStr">
        <is>
          <t>1</t>
        </is>
      </c>
      <c r="AE846" t="inlineStr">
        <is>
          <t>0.698672292120293</t>
        </is>
      </c>
      <c r="AF846" t="inlineStr">
        <is>
          <t>glial cell derived neurotrophic factor</t>
        </is>
      </c>
      <c r="AG846" t="inlineStr">
        <is>
          <t xml:space="preserve">FUNCTION: Neurotrophic factor that enhances survival and morphological differentiation of dopaminergic neurons and increases their high-affinity dopamine uptake. {ECO:0000269|PubMed:8493557}.; </t>
        </is>
      </c>
      <c r="AH846" t="inlineStr">
        <is>
          <t xml:space="preserve">DISEASE: Hirschsprung disease 3 (HSCR3) [MIM:613711]: A disorder of neural crest development characterized by absence of enteric ganglia along a variable length of the intestine. It is the most common cause of congenital intestinal obstruction. Early symptoms range from complete acute neonatal obstruction, characterized by vomiting, abdominal distention and failure to pass stool, to chronic constipation in the older child. {ECO:0000269|PubMed:10917288, ECO:0000269|PubMed:8896568, ECO:0000269|PubMed:8896569, ECO:0000269|PubMed:8968758}. Note=The disease may be caused by mutations affecting the gene represented in this entry.; DISEASE: Congenital central hypoventilation syndrome (CCHS) [MIM:209880]: Rare disorder characterized by abnormal control of respiration in the absence of neuromuscular or lung disease, or an identifiable brain stem lesion. A deficiency in autonomic control of respiration results in inadequate or negligible ventilatory and arousal responses to hypercapnia and hypoxemia. {ECO:0000269|PubMed:9497256}. Note=The disease is caused by mutations affecting the gene represented in this entry.; </t>
        </is>
      </c>
      <c r="AI846" t="inlineStr">
        <is>
          <t>.</t>
        </is>
      </c>
      <c r="AJ846" t="inlineStr">
        <is>
          <t>.</t>
        </is>
      </c>
      <c r="AK846" t="inlineStr">
        <is>
          <t>.</t>
        </is>
      </c>
      <c r="AL846" t="inlineStr">
        <is>
          <t>.</t>
        </is>
      </c>
    </row>
    <row r="847">
      <c r="A847" t="inlineStr"/>
      <c r="B847">
        <f>HYPERLINK("https://genome.ucsc.edu/cgi-bin/hgTracks?db=hg19&amp;position=chr5%3A50680451%2D50680451", "chr5:50680451")</f>
        <v/>
      </c>
      <c r="C847" t="inlineStr">
        <is>
          <t>chr5</t>
        </is>
      </c>
      <c r="D847" t="n">
        <v>50680451</v>
      </c>
      <c r="E847" t="n">
        <v>50680451</v>
      </c>
      <c r="F847" t="inlineStr">
        <is>
          <t>T</t>
        </is>
      </c>
      <c r="G847" t="inlineStr">
        <is>
          <t>A</t>
        </is>
      </c>
      <c r="H847" t="inlineStr">
        <is>
          <t>1072.64</t>
        </is>
      </c>
      <c r="I847" t="inlineStr">
        <is>
          <t>183</t>
        </is>
      </c>
      <c r="J847" t="inlineStr">
        <is>
          <t>133,50</t>
        </is>
      </c>
      <c r="K847" t="inlineStr">
        <is>
          <t>.</t>
        </is>
      </c>
      <c r="L847" t="inlineStr">
        <is>
          <t>.</t>
        </is>
      </c>
      <c r="M847">
        <f>HYPERLINK("https://www.genecards.org/Search/Keyword?queryString=%5Baliases%5D(%20ISL1%20)&amp;keywords=ISL1", "ISL1")</f>
        <v/>
      </c>
      <c r="N847" t="inlineStr">
        <is>
          <t>exonic</t>
        </is>
      </c>
      <c r="O847" t="inlineStr">
        <is>
          <t>nonsynonymous SNV</t>
        </is>
      </c>
      <c r="P847" t="inlineStr">
        <is>
          <t>ISL1:NM_002202:exon2:c.T105A:p.D35E;ISL1:uc003jor.3:exon2:c.T105A:p.D35E;ISL1:ENST00000230658.12_3:exon2:c.T105A:p.D35E,ISL1:ENST00000511384.1_1:exon2:c.T105A:p.D35E</t>
        </is>
      </c>
      <c r="Q847" t="n">
        <v>-1</v>
      </c>
      <c r="R847" t="n">
        <v>-1</v>
      </c>
      <c r="S847" t="n">
        <v>-1</v>
      </c>
      <c r="T847" t="n">
        <v>-1</v>
      </c>
      <c r="U847" t="n">
        <v>-1</v>
      </c>
      <c r="V847" t="inlineStr">
        <is>
          <t>9/12</t>
        </is>
      </c>
      <c r="W847" t="inlineStr">
        <is>
          <t>.</t>
        </is>
      </c>
      <c r="X847" t="inlineStr">
        <is>
          <t>.</t>
        </is>
      </c>
      <c r="Y847" t="inlineStr">
        <is>
          <t>.</t>
        </is>
      </c>
      <c r="Z847" t="inlineStr">
        <is>
          <t>4/7</t>
        </is>
      </c>
      <c r="AA847" t="inlineStr">
        <is>
          <t>Likely pathogenic</t>
        </is>
      </c>
      <c r="AB847" t="inlineStr">
        <is>
          <t>.</t>
        </is>
      </c>
      <c r="AC847" t="inlineStr">
        <is>
          <t>0/1</t>
        </is>
      </c>
      <c r="AD847" t="inlineStr">
        <is>
          <t>2</t>
        </is>
      </c>
      <c r="AE847" t="inlineStr">
        <is>
          <t>0.606135790074323</t>
        </is>
      </c>
      <c r="AF847" t="inlineStr">
        <is>
          <t>ISL LIM homeobox 1</t>
        </is>
      </c>
      <c r="AG847" t="inlineStr">
        <is>
          <t xml:space="preserve">FUNCTION: Binds and regulates the promoters of the insulin, glucagon and somatostatin genes. Involved in the specificarion of motor neurons in cooperation with LHX3 and LDB1 (By similarity). {ECO:0000250}.; </t>
        </is>
      </c>
      <c r="AH847" t="inlineStr">
        <is>
          <t>.</t>
        </is>
      </c>
      <c r="AI847" t="inlineStr">
        <is>
          <t>.</t>
        </is>
      </c>
      <c r="AJ847" t="inlineStr">
        <is>
          <t>.</t>
        </is>
      </c>
      <c r="AK847" t="inlineStr">
        <is>
          <t>.</t>
        </is>
      </c>
      <c r="AL847" t="inlineStr">
        <is>
          <t>.</t>
        </is>
      </c>
    </row>
    <row r="848">
      <c r="A848" t="inlineStr"/>
      <c r="B848">
        <f>HYPERLINK("https://genome.ucsc.edu/cgi-bin/hgTracks?db=hg19&amp;position=chr5%3A50680563%2D50680563", "chr5:50680563")</f>
        <v/>
      </c>
      <c r="C848" t="inlineStr">
        <is>
          <t>chr5</t>
        </is>
      </c>
      <c r="D848" t="n">
        <v>50680563</v>
      </c>
      <c r="E848" t="n">
        <v>50680563</v>
      </c>
      <c r="F848" t="inlineStr">
        <is>
          <t>A</t>
        </is>
      </c>
      <c r="G848" t="inlineStr">
        <is>
          <t>T</t>
        </is>
      </c>
      <c r="H848" t="inlineStr">
        <is>
          <t>441.64</t>
        </is>
      </c>
      <c r="I848" t="inlineStr">
        <is>
          <t>100</t>
        </is>
      </c>
      <c r="J848" t="inlineStr">
        <is>
          <t>77,23</t>
        </is>
      </c>
      <c r="K848" t="inlineStr">
        <is>
          <t>.</t>
        </is>
      </c>
      <c r="L848" t="inlineStr">
        <is>
          <t>.</t>
        </is>
      </c>
      <c r="M848">
        <f>HYPERLINK("https://www.genecards.org/Search/Keyword?queryString=%5Baliases%5D(%20ISL1%20)&amp;keywords=ISL1", "ISL1")</f>
        <v/>
      </c>
      <c r="N848" t="inlineStr">
        <is>
          <t>exonic</t>
        </is>
      </c>
      <c r="O848" t="inlineStr">
        <is>
          <t>nonsynonymous SNV</t>
        </is>
      </c>
      <c r="P848" t="inlineStr">
        <is>
          <t>ISL1:NM_002202:exon2:c.A217T:p.R73W;ISL1:uc003jor.3:exon2:c.A217T:p.R73W;ISL1:ENST00000230658.12_3:exon2:c.A217T:p.R73W,ISL1:ENST00000511384.1_1:exon2:c.A217T:p.R73W</t>
        </is>
      </c>
      <c r="Q848" t="n">
        <v>-1</v>
      </c>
      <c r="R848" t="n">
        <v>-1</v>
      </c>
      <c r="S848" t="n">
        <v>-1</v>
      </c>
      <c r="T848" t="n">
        <v>-1</v>
      </c>
      <c r="U848" t="n">
        <v>-1</v>
      </c>
      <c r="V848" t="inlineStr">
        <is>
          <t>10/12</t>
        </is>
      </c>
      <c r="W848" t="inlineStr">
        <is>
          <t>D</t>
        </is>
      </c>
      <c r="X848" t="inlineStr">
        <is>
          <t>.</t>
        </is>
      </c>
      <c r="Y848" t="inlineStr">
        <is>
          <t>.</t>
        </is>
      </c>
      <c r="Z848" t="inlineStr">
        <is>
          <t>6/7</t>
        </is>
      </c>
      <c r="AA848" t="inlineStr">
        <is>
          <t>Likely pathogenic</t>
        </is>
      </c>
      <c r="AB848" t="inlineStr">
        <is>
          <t>.</t>
        </is>
      </c>
      <c r="AC848" t="inlineStr">
        <is>
          <t>0/1</t>
        </is>
      </c>
      <c r="AD848" t="inlineStr">
        <is>
          <t>2</t>
        </is>
      </c>
      <c r="AE848" t="inlineStr">
        <is>
          <t>0.606135790074323</t>
        </is>
      </c>
      <c r="AF848" t="inlineStr">
        <is>
          <t>ISL LIM homeobox 1</t>
        </is>
      </c>
      <c r="AG848" t="inlineStr">
        <is>
          <t xml:space="preserve">FUNCTION: Binds and regulates the promoters of the insulin, glucagon and somatostatin genes. Involved in the specificarion of motor neurons in cooperation with LHX3 and LDB1 (By similarity). {ECO:0000250}.; </t>
        </is>
      </c>
      <c r="AH848" t="inlineStr">
        <is>
          <t>.</t>
        </is>
      </c>
      <c r="AI848" t="inlineStr">
        <is>
          <t>.</t>
        </is>
      </c>
      <c r="AJ848" t="inlineStr">
        <is>
          <t>.</t>
        </is>
      </c>
      <c r="AK848" t="inlineStr">
        <is>
          <t>.</t>
        </is>
      </c>
      <c r="AL848" t="inlineStr">
        <is>
          <t>.</t>
        </is>
      </c>
    </row>
    <row r="849">
      <c r="A849" t="inlineStr"/>
      <c r="B849">
        <f>HYPERLINK("https://genome.ucsc.edu/cgi-bin/hgTracks?db=hg19&amp;position=chr5%3A52344487%2D52344487", "chr5:52344487")</f>
        <v/>
      </c>
      <c r="C849" t="inlineStr">
        <is>
          <t>chr5</t>
        </is>
      </c>
      <c r="D849" t="n">
        <v>52344487</v>
      </c>
      <c r="E849" t="n">
        <v>52344487</v>
      </c>
      <c r="F849" t="inlineStr">
        <is>
          <t>A</t>
        </is>
      </c>
      <c r="G849" t="inlineStr">
        <is>
          <t>G</t>
        </is>
      </c>
      <c r="H849" t="inlineStr">
        <is>
          <t>1429.64</t>
        </is>
      </c>
      <c r="I849" t="inlineStr">
        <is>
          <t>120</t>
        </is>
      </c>
      <c r="J849" t="inlineStr">
        <is>
          <t>55,65</t>
        </is>
      </c>
      <c r="K849" t="inlineStr">
        <is>
          <t>.</t>
        </is>
      </c>
      <c r="L849">
        <f>HYPERLINK("https://www.ncbi.nlm.nih.gov/snp/rs55973669", "rs55973669")</f>
        <v/>
      </c>
      <c r="M849">
        <f>HYPERLINK("https://www.genecards.org/Search/Keyword?queryString=%5Baliases%5D(%20ITGA2%20)&amp;keywords=ITGA2", "ITGA2")</f>
        <v/>
      </c>
      <c r="N849" t="inlineStr">
        <is>
          <t>exonic</t>
        </is>
      </c>
      <c r="O849" t="inlineStr">
        <is>
          <t>nonsynonymous SNV</t>
        </is>
      </c>
      <c r="P849" t="inlineStr">
        <is>
          <t>ITGA2:NM_002203:exon6:c.A517G:p.I173V;ITGA2:uc011cqc.2:exon5:c.A289G:p.I97V,ITGA2:uc003joy.3:exon6:c.A517G:p.I173V;ITGA2:ENST00000296585.10_3:exon6:c.A517G:p.I173V</t>
        </is>
      </c>
      <c r="Q849" t="n">
        <v>0.018293</v>
      </c>
      <c r="R849" t="n">
        <v>0.0016</v>
      </c>
      <c r="S849" t="n">
        <v>0.0018</v>
      </c>
      <c r="T849" t="n">
        <v>-1</v>
      </c>
      <c r="U849" t="n">
        <v>0.0012</v>
      </c>
      <c r="V849" t="inlineStr">
        <is>
          <t>3/11</t>
        </is>
      </c>
      <c r="W849" t="inlineStr">
        <is>
          <t>.</t>
        </is>
      </c>
      <c r="X849" t="inlineStr">
        <is>
          <t>.</t>
        </is>
      </c>
      <c r="Y849" t="inlineStr">
        <is>
          <t>.</t>
        </is>
      </c>
      <c r="Z849" t="inlineStr">
        <is>
          <t>1/7</t>
        </is>
      </c>
      <c r="AA849" t="inlineStr">
        <is>
          <t>Benign</t>
        </is>
      </c>
      <c r="AB849" t="inlineStr">
        <is>
          <t>Likely_benign</t>
        </is>
      </c>
      <c r="AC849" t="inlineStr">
        <is>
          <t>0/1</t>
        </is>
      </c>
      <c r="AD849" t="inlineStr">
        <is>
          <t>1</t>
        </is>
      </c>
      <c r="AE849" t="inlineStr">
        <is>
          <t>9.23087390177119e-09</t>
        </is>
      </c>
      <c r="AF849" t="inlineStr">
        <is>
          <t>integrin subunit alpha 2</t>
        </is>
      </c>
      <c r="AG849" t="inlineStr">
        <is>
          <t xml:space="preserve">FUNCTION: Integrin alpha-2/beta-1 is a receptor for laminin, collagen, collagen C-propeptides, fibronectin and E-cadherin. It recognizes the proline-hydroxylated sequence G-F-P-G-E-R in collagen. It is responsible for adhesion of platelets and other cells to collagens, modulation of collagen and collagenase gene expression, force generation and organization of newly synthesized extracellular matrix.; </t>
        </is>
      </c>
      <c r="AH849" t="inlineStr">
        <is>
          <t>.</t>
        </is>
      </c>
      <c r="AI849" t="inlineStr">
        <is>
          <t>.</t>
        </is>
      </c>
      <c r="AJ849" t="inlineStr">
        <is>
          <t>.</t>
        </is>
      </c>
      <c r="AK849" t="inlineStr">
        <is>
          <t>.</t>
        </is>
      </c>
      <c r="AL849" t="inlineStr">
        <is>
          <t>.</t>
        </is>
      </c>
    </row>
    <row r="850">
      <c r="A850" t="inlineStr"/>
      <c r="B850">
        <f>HYPERLINK("https://genome.ucsc.edu/cgi-bin/hgTracks?db=hg19&amp;position=chr5%3A68716081%2D68716081", "chr5:68716081")</f>
        <v/>
      </c>
      <c r="C850" t="inlineStr">
        <is>
          <t>chr5</t>
        </is>
      </c>
      <c r="D850" t="n">
        <v>68716081</v>
      </c>
      <c r="E850" t="n">
        <v>68716081</v>
      </c>
      <c r="F850" t="inlineStr">
        <is>
          <t>C</t>
        </is>
      </c>
      <c r="G850" t="inlineStr">
        <is>
          <t>T</t>
        </is>
      </c>
      <c r="H850" t="inlineStr">
        <is>
          <t>2216.64</t>
        </is>
      </c>
      <c r="I850" t="inlineStr">
        <is>
          <t>117</t>
        </is>
      </c>
      <c r="J850" t="inlineStr">
        <is>
          <t>37,80</t>
        </is>
      </c>
      <c r="K850" t="inlineStr">
        <is>
          <t>.</t>
        </is>
      </c>
      <c r="L850" t="inlineStr">
        <is>
          <t>.</t>
        </is>
      </c>
      <c r="M850">
        <f>HYPERLINK("https://www.genecards.org/Search/Keyword?queryString=%5Baliases%5D(%20MARVELD2%20)&amp;keywords=MARVELD2", "MARVELD2")</f>
        <v/>
      </c>
      <c r="N850" t="inlineStr">
        <is>
          <t>exonic</t>
        </is>
      </c>
      <c r="O850" t="inlineStr">
        <is>
          <t>nonsynonymous SNV</t>
        </is>
      </c>
      <c r="P850" t="inlineStr">
        <is>
          <t>MARVELD2:NM_001038603:exon2:c.C869T:p.P290L,MARVELD2:NM_001244734:exon2:c.C869T:p.P290L;MARVELD2:uc003jwq.3:exon2:c.C869T:p.P290L,MARVELD2:uc010ixf.3:exon2:c.C869T:p.P290L;MARVELD2:ENST00000325631.10_6:exon2:c.C869T:p.P290L,MARVELD2:ENST00000454295.6_3:exon2:c.C869T:p.P290L,MARVELD2:ENST00000645446.1_4:exon2:c.C869T:p.P290L,MARVELD2:ENST00000647531.1_3:exon2:c.C869T:p.P290L</t>
        </is>
      </c>
      <c r="Q850" t="n">
        <v>-1</v>
      </c>
      <c r="R850" t="n">
        <v>-1</v>
      </c>
      <c r="S850" t="n">
        <v>-1</v>
      </c>
      <c r="T850" t="n">
        <v>-1</v>
      </c>
      <c r="U850" t="n">
        <v>-1</v>
      </c>
      <c r="V850" t="inlineStr">
        <is>
          <t>7/12</t>
        </is>
      </c>
      <c r="W850" t="inlineStr">
        <is>
          <t>.</t>
        </is>
      </c>
      <c r="X850" t="inlineStr">
        <is>
          <t>.</t>
        </is>
      </c>
      <c r="Y850" t="inlineStr">
        <is>
          <t>.</t>
        </is>
      </c>
      <c r="Z850" t="inlineStr">
        <is>
          <t>5/7</t>
        </is>
      </c>
      <c r="AA850" t="inlineStr">
        <is>
          <t>Uncertain significance</t>
        </is>
      </c>
      <c r="AB850" t="inlineStr">
        <is>
          <t>.</t>
        </is>
      </c>
      <c r="AC850" t="inlineStr">
        <is>
          <t>0/1</t>
        </is>
      </c>
      <c r="AD850" t="inlineStr">
        <is>
          <t>1</t>
        </is>
      </c>
      <c r="AE850" t="inlineStr">
        <is>
          <t>4.23034393772305e-11</t>
        </is>
      </c>
      <c r="AF850" t="inlineStr">
        <is>
          <t>MARVEL domain containing 2</t>
        </is>
      </c>
      <c r="AG850" t="inlineStr">
        <is>
          <t xml:space="preserve">FUNCTION: Plays a role in the formation of the epithelial barriers. The separation of the endolymphatic and perilymphatic spaces of the organ of Corti from one another by epithelial barriers is required for normal hearing. {ECO:0000269|PubMed:17186462}.; </t>
        </is>
      </c>
      <c r="AH850" t="inlineStr">
        <is>
          <t xml:space="preserve">DISEASE: Deafness, autosomal recessive, 49 (DFNB49) [MIM:610153]: A form of non-syndromic sensorineural hearing loss. Sensorineural deafness results from damage to the neural receptors of the inner ear, the nerve pathways to the brain, or the area of the brain that receives sound information. {ECO:0000269|PubMed:17186462}. Note=The disease is caused by mutations affecting the gene represented in this entry.; </t>
        </is>
      </c>
      <c r="AI850" t="inlineStr">
        <is>
          <t>.</t>
        </is>
      </c>
      <c r="AJ850" t="inlineStr">
        <is>
          <t>.</t>
        </is>
      </c>
      <c r="AK850" t="inlineStr">
        <is>
          <t>.</t>
        </is>
      </c>
      <c r="AL850" t="inlineStr">
        <is>
          <t>.</t>
        </is>
      </c>
    </row>
    <row r="851">
      <c r="A851" t="inlineStr"/>
      <c r="B851">
        <f>HYPERLINK("https://genome.ucsc.edu/cgi-bin/hgTracks?db=hg19&amp;position=chr5%3A73188029%2D73188029", "chr5:73188029")</f>
        <v/>
      </c>
      <c r="C851" t="inlineStr">
        <is>
          <t>chr5</t>
        </is>
      </c>
      <c r="D851" t="n">
        <v>73188029</v>
      </c>
      <c r="E851" t="n">
        <v>73188029</v>
      </c>
      <c r="F851" t="inlineStr">
        <is>
          <t>G</t>
        </is>
      </c>
      <c r="G851" t="inlineStr">
        <is>
          <t>A</t>
        </is>
      </c>
      <c r="H851" t="inlineStr">
        <is>
          <t>949.64</t>
        </is>
      </c>
      <c r="I851" t="inlineStr">
        <is>
          <t>130</t>
        </is>
      </c>
      <c r="J851" t="inlineStr">
        <is>
          <t>89,41</t>
        </is>
      </c>
      <c r="K851" t="inlineStr">
        <is>
          <t>.</t>
        </is>
      </c>
      <c r="L851" t="inlineStr">
        <is>
          <t>.</t>
        </is>
      </c>
      <c r="M851">
        <f>HYPERLINK("https://www.genecards.org/Search/Keyword?queryString=%5Baliases%5D(%20ARHGEF28%20)&amp;keywords=ARHGEF28", "ARHGEF28")</f>
        <v/>
      </c>
      <c r="N851" t="inlineStr">
        <is>
          <t>exonic</t>
        </is>
      </c>
      <c r="O851" t="inlineStr">
        <is>
          <t>nonsynonymous SNV</t>
        </is>
      </c>
      <c r="P851" t="inlineStr">
        <is>
          <t>ARHGEF28:NM_001244364:exon19:c.G2601A:p.M867I,ARHGEF28:NM_001080479:exon27:c.G3540A:p.M1180I,ARHGEF28:NM_001177693:exon27:c.G3540A:p.M1180I;ARHGEF28:uc003kda.4:exon3:c.G432A:p.M144I,ARHGEF28:uc003kcz.4:exon4:c.G432A:p.M144I,ARHGEF28:uc011csr.2:exon19:c.G2601A:p.M867I,ARHGEF28:uc021yam.1:exon26:c.G3540A:p.M1180I,ARHGEF28:uc010izf.3:exon27:c.G3540A:p.M1180I,ARHGEF28:uc011csq.2:exon27:c.G3540A:p.M1180I;ARHGEF28:ENST00000512883.1_1:exon3:c.G432A:p.M144I,ARHGEF28:ENST00000296799.8_4:exon19:c.G2601A:p.M867I,ARHGEF28:ENST00000426542.6_5:exon26:c.G3540A:p.M1180I,ARHGEF28:ENST00000437974.5_5:exon26:c.G3540A:p.M1180I,ARHGEF28:ENST00000296794.10_6:exon27:c.G3540A:p.M1180I,ARHGEF28:ENST00000513042.7_6:exon27:c.G3540A:p.M1180I,ARHGEF28:ENST00000545377.5_5:exon27:c.G3540A:p.M1180I</t>
        </is>
      </c>
      <c r="Q851" t="n">
        <v>-1</v>
      </c>
      <c r="R851" t="n">
        <v>-1</v>
      </c>
      <c r="S851" t="n">
        <v>-1</v>
      </c>
      <c r="T851" t="n">
        <v>-1</v>
      </c>
      <c r="U851" t="n">
        <v>-1</v>
      </c>
      <c r="V851" t="inlineStr">
        <is>
          <t>4/11</t>
        </is>
      </c>
      <c r="W851" t="inlineStr">
        <is>
          <t>.</t>
        </is>
      </c>
      <c r="X851" t="inlineStr">
        <is>
          <t>.</t>
        </is>
      </c>
      <c r="Y851" t="inlineStr">
        <is>
          <t>.</t>
        </is>
      </c>
      <c r="Z851" t="inlineStr">
        <is>
          <t>6/7</t>
        </is>
      </c>
      <c r="AA851" t="inlineStr">
        <is>
          <t>Uncertain significance</t>
        </is>
      </c>
      <c r="AB851" t="inlineStr">
        <is>
          <t>.</t>
        </is>
      </c>
      <c r="AC851" t="inlineStr">
        <is>
          <t>0/1</t>
        </is>
      </c>
      <c r="AD851" t="inlineStr">
        <is>
          <t>1</t>
        </is>
      </c>
      <c r="AE851" t="inlineStr">
        <is>
          <t>1.82695073178584e-10</t>
        </is>
      </c>
      <c r="AF851" t="inlineStr">
        <is>
          <t>Rho guanine nucleotide exchange factor 28</t>
        </is>
      </c>
      <c r="AG851" t="inlineStr">
        <is>
          <t xml:space="preserve">FUNCTION: Functions as a RHOA-specific guanine nucleotide exchange factor regulating signaling pathways downstream of integrins and growth factor receptors. Functions in axonal branching, synapse formation and dendritic morphogenesis. Functions also in focal adhesion formation, cell motility and B-lymphocytes activation. May regulate NEFL expression and aggregation and play a role in apoptosis (By similarity). {ECO:0000250}.; </t>
        </is>
      </c>
      <c r="AH851" t="inlineStr">
        <is>
          <t>.</t>
        </is>
      </c>
      <c r="AI851" t="inlineStr">
        <is>
          <t>.</t>
        </is>
      </c>
      <c r="AJ851" t="inlineStr">
        <is>
          <t>.</t>
        </is>
      </c>
      <c r="AK851" t="inlineStr">
        <is>
          <t>.</t>
        </is>
      </c>
      <c r="AL851" t="inlineStr">
        <is>
          <t>.</t>
        </is>
      </c>
    </row>
    <row r="852">
      <c r="A852" t="inlineStr"/>
      <c r="B852">
        <f>HYPERLINK("https://genome.ucsc.edu/cgi-bin/hgTracks?db=hg19&amp;position=chr5%3A74412489%2D74412489", "chr5:74412489")</f>
        <v/>
      </c>
      <c r="C852" t="inlineStr">
        <is>
          <t>chr5</t>
        </is>
      </c>
      <c r="D852" t="n">
        <v>74412489</v>
      </c>
      <c r="E852" t="n">
        <v>74412489</v>
      </c>
      <c r="F852" t="inlineStr">
        <is>
          <t>G</t>
        </is>
      </c>
      <c r="G852" t="inlineStr">
        <is>
          <t>A</t>
        </is>
      </c>
      <c r="H852" t="inlineStr">
        <is>
          <t>803.64</t>
        </is>
      </c>
      <c r="I852" t="inlineStr">
        <is>
          <t>100</t>
        </is>
      </c>
      <c r="J852" t="inlineStr">
        <is>
          <t>64,36</t>
        </is>
      </c>
      <c r="K852" t="inlineStr">
        <is>
          <t>.</t>
        </is>
      </c>
      <c r="L852">
        <f>HYPERLINK("https://www.ncbi.nlm.nih.gov/snp/rs766084000", "rs766084000")</f>
        <v/>
      </c>
      <c r="M852">
        <f>HYPERLINK("https://www.genecards.org/Search/Keyword?queryString=%5Baliases%5D(%20ANKRD31%20)&amp;keywords=ANKRD31", "ANKRD31")</f>
        <v/>
      </c>
      <c r="N852" t="inlineStr">
        <is>
          <t>exonic</t>
        </is>
      </c>
      <c r="O852" t="inlineStr">
        <is>
          <t>nonsynonymous SNV</t>
        </is>
      </c>
      <c r="P852" t="inlineStr">
        <is>
          <t>ANKRD31:NM_001164443:exon18:c.C3886T:p.R1296W,ANKRD31:NM_001372053:exon19:c.C4057T:p.R1353W;ANKRD31:uc003kdo.2:exon18:c.C3886T:p.R1296W;ANKRD31:ENST00000274361.3_6:exon18:c.C3886T:p.R1296W,ANKRD31:ENST00000506364.6_7:exon19:c.C4057T:p.R1353W</t>
        </is>
      </c>
      <c r="Q852" t="n">
        <v>0.000951</v>
      </c>
      <c r="R852" t="n">
        <v>-1</v>
      </c>
      <c r="S852" t="n">
        <v>7.368999999999999e-05</v>
      </c>
      <c r="T852" t="n">
        <v>-1</v>
      </c>
      <c r="U852" t="n">
        <v>-1</v>
      </c>
      <c r="V852" t="inlineStr">
        <is>
          <t>3/11</t>
        </is>
      </c>
      <c r="W852" t="inlineStr">
        <is>
          <t>.</t>
        </is>
      </c>
      <c r="X852" t="inlineStr">
        <is>
          <t>.</t>
        </is>
      </c>
      <c r="Y852" t="inlineStr">
        <is>
          <t>.</t>
        </is>
      </c>
      <c r="Z852" t="inlineStr">
        <is>
          <t>1/7</t>
        </is>
      </c>
      <c r="AA852" t="inlineStr">
        <is>
          <t>Uncertain significance</t>
        </is>
      </c>
      <c r="AB852" t="inlineStr">
        <is>
          <t>.</t>
        </is>
      </c>
      <c r="AC852" t="inlineStr">
        <is>
          <t>0/1</t>
        </is>
      </c>
      <c r="AD852" t="inlineStr">
        <is>
          <t>1</t>
        </is>
      </c>
      <c r="AE852" t="inlineStr">
        <is>
          <t>.</t>
        </is>
      </c>
      <c r="AF852" t="inlineStr">
        <is>
          <t>ankyrin repeat domain 31</t>
        </is>
      </c>
      <c r="AG852" t="inlineStr">
        <is>
          <t>.</t>
        </is>
      </c>
      <c r="AH852" t="inlineStr">
        <is>
          <t>.</t>
        </is>
      </c>
      <c r="AI852" t="inlineStr">
        <is>
          <t>.</t>
        </is>
      </c>
      <c r="AJ852" t="inlineStr">
        <is>
          <t>.</t>
        </is>
      </c>
      <c r="AK852" t="inlineStr">
        <is>
          <t>.</t>
        </is>
      </c>
      <c r="AL852" t="inlineStr">
        <is>
          <t>.</t>
        </is>
      </c>
    </row>
    <row r="853">
      <c r="A853" t="inlineStr"/>
      <c r="B853">
        <f>HYPERLINK("https://genome.ucsc.edu/cgi-bin/hgTracks?db=hg19&amp;position=chr5%3A78533315%2D78533315", "chr5:78533315")</f>
        <v/>
      </c>
      <c r="C853" t="inlineStr">
        <is>
          <t>chr5</t>
        </is>
      </c>
      <c r="D853" t="n">
        <v>78533315</v>
      </c>
      <c r="E853" t="n">
        <v>78533315</v>
      </c>
      <c r="F853" t="inlineStr">
        <is>
          <t>A</t>
        </is>
      </c>
      <c r="G853" t="inlineStr">
        <is>
          <t>T</t>
        </is>
      </c>
      <c r="H853" t="inlineStr">
        <is>
          <t>252.64</t>
        </is>
      </c>
      <c r="I853" t="inlineStr">
        <is>
          <t>57</t>
        </is>
      </c>
      <c r="J853" t="inlineStr">
        <is>
          <t>43,14</t>
        </is>
      </c>
      <c r="K853" t="inlineStr">
        <is>
          <t>.</t>
        </is>
      </c>
      <c r="L853" t="inlineStr">
        <is>
          <t>.</t>
        </is>
      </c>
      <c r="M853">
        <f>HYPERLINK("https://www.genecards.org/Search/Keyword?queryString=%5Baliases%5D(%20JMY%20)&amp;keywords=JMY", "JMY")</f>
        <v/>
      </c>
      <c r="N853" t="inlineStr">
        <is>
          <t>exonic</t>
        </is>
      </c>
      <c r="O853" t="inlineStr">
        <is>
          <t>nonsynonymous SNV</t>
        </is>
      </c>
      <c r="P853" t="inlineStr">
        <is>
          <t>JMY:NM_152405:exon1:c.A842T:p.E281V;JMY:uc003kfx.4:exon1:c.A842T:p.E281V;JMY:ENST00000396137.5_3:exon1:c.A842T:p.E281V</t>
        </is>
      </c>
      <c r="Q853" t="n">
        <v>-1</v>
      </c>
      <c r="R853" t="n">
        <v>-1</v>
      </c>
      <c r="S853" t="n">
        <v>-1</v>
      </c>
      <c r="T853" t="n">
        <v>-1</v>
      </c>
      <c r="U853" t="n">
        <v>-1</v>
      </c>
      <c r="V853" t="inlineStr">
        <is>
          <t>6/11</t>
        </is>
      </c>
      <c r="W853" t="inlineStr">
        <is>
          <t>.</t>
        </is>
      </c>
      <c r="X853" t="inlineStr">
        <is>
          <t>.</t>
        </is>
      </c>
      <c r="Y853" t="inlineStr">
        <is>
          <t>.</t>
        </is>
      </c>
      <c r="Z853" t="inlineStr">
        <is>
          <t>5/7</t>
        </is>
      </c>
      <c r="AA853" t="inlineStr">
        <is>
          <t>Uncertain significance</t>
        </is>
      </c>
      <c r="AB853" t="inlineStr">
        <is>
          <t>.</t>
        </is>
      </c>
      <c r="AC853" t="inlineStr">
        <is>
          <t>0/1</t>
        </is>
      </c>
      <c r="AD853" t="inlineStr">
        <is>
          <t>1</t>
        </is>
      </c>
      <c r="AE853" t="inlineStr">
        <is>
          <t>0.999722637107555</t>
        </is>
      </c>
      <c r="AF853" t="inlineStr">
        <is>
          <t>junction mediating and regulatory protein, p53 cofactor</t>
        </is>
      </c>
      <c r="AG853" t="inlineStr">
        <is>
          <t xml:space="preserve">FUNCTION: Acts both as a nuclear p53/TP53-cofactor and a cytoplasmic regulator of actin dynamics depending on conditions. In nucleus, acts as a cofactor that increases p53/TP53 response via its interaction with p300/EP300. Increases p53/TP53-dependent transcription and apoptosis, suggesting an important role in p53/TP53 stress response such as DNA damage. In cytoplasm, acts as a nucleation-promoting factor for both branched and unbranched actin filaments. Activates the Arp2/3 complex to induce branched actin filament networks. Also catalyzes actin polymerization in the absence of Arp2/3, creating unbranched filaments. Contributes to cell motility by controlling actin dynamics. May promote the rapid formation of a branched actin network by first nucleating new mother filaments and then activating Arp2/3 to branch off these filaments. The p53/TP53-cofactor and actin activator activities are regulated via its subcellular location (By similarity). {ECO:0000250}.; </t>
        </is>
      </c>
      <c r="AH853" t="inlineStr">
        <is>
          <t>.</t>
        </is>
      </c>
      <c r="AI853" t="inlineStr">
        <is>
          <t>.</t>
        </is>
      </c>
      <c r="AJ853" t="inlineStr">
        <is>
          <t>.</t>
        </is>
      </c>
      <c r="AK853" t="inlineStr">
        <is>
          <t>.</t>
        </is>
      </c>
      <c r="AL853" t="inlineStr">
        <is>
          <t>.</t>
        </is>
      </c>
    </row>
    <row r="854">
      <c r="A854" t="inlineStr"/>
      <c r="B854">
        <f>HYPERLINK("https://genome.ucsc.edu/cgi-bin/hgTracks?db=hg19&amp;position=chr5%3A88014838%2D88014838", "chr5:88014838")</f>
        <v/>
      </c>
      <c r="C854" t="inlineStr">
        <is>
          <t>chr5</t>
        </is>
      </c>
      <c r="D854" t="n">
        <v>88014838</v>
      </c>
      <c r="E854" t="n">
        <v>88014838</v>
      </c>
      <c r="F854" t="inlineStr">
        <is>
          <t>T</t>
        </is>
      </c>
      <c r="G854" t="inlineStr">
        <is>
          <t>G</t>
        </is>
      </c>
      <c r="H854" t="inlineStr">
        <is>
          <t>922.64</t>
        </is>
      </c>
      <c r="I854" t="inlineStr">
        <is>
          <t>130</t>
        </is>
      </c>
      <c r="J854" t="inlineStr">
        <is>
          <t>89,41</t>
        </is>
      </c>
      <c r="K854" t="inlineStr">
        <is>
          <t>.</t>
        </is>
      </c>
      <c r="L854">
        <f>HYPERLINK("https://www.ncbi.nlm.nih.gov/snp/rs150173081", "rs150173081")</f>
        <v/>
      </c>
      <c r="M854">
        <f>HYPERLINK("https://www.genecards.org/Search/Keyword?queryString=%5Baliases%5D(%20MEF2C%20)%20OR%20%5Baliases%5D(%20MEF2C-AS2%20)&amp;keywords=MEF2C,MEF2C-AS2", "MEF2C;MEF2C-AS2")</f>
        <v/>
      </c>
      <c r="N854" t="inlineStr">
        <is>
          <t>UTR3;ncRNA_intronic</t>
        </is>
      </c>
      <c r="O854" t="inlineStr">
        <is>
          <t>.</t>
        </is>
      </c>
      <c r="P854" t="inlineStr">
        <is>
          <t>uc021ybg.1:c.*3583A&gt;C;uc021ybh.1:c.*3583A&gt;C;uc003kji.2:c.*3583A&gt;C;uc003kjj.3:c.*3583A&gt;C;uc003kjk.3:c.*3583A&gt;C;uc003kjl.3:c.*3583A&gt;C;uc003kjm.3:c.*3583A&gt;C</t>
        </is>
      </c>
      <c r="Q854" t="n">
        <v>0.0106858</v>
      </c>
      <c r="R854" t="n">
        <v>0.008399999999999999</v>
      </c>
      <c r="S854" t="n">
        <v>0.009299999999999999</v>
      </c>
      <c r="T854" t="n">
        <v>-1</v>
      </c>
      <c r="U854" t="n">
        <v>0.0063</v>
      </c>
      <c r="V854" t="inlineStr">
        <is>
          <t>.</t>
        </is>
      </c>
      <c r="W854" t="inlineStr">
        <is>
          <t>.</t>
        </is>
      </c>
      <c r="X854" t="inlineStr">
        <is>
          <t>.</t>
        </is>
      </c>
      <c r="Y854" t="inlineStr">
        <is>
          <t>.</t>
        </is>
      </c>
      <c r="Z854" t="inlineStr">
        <is>
          <t>.</t>
        </is>
      </c>
      <c r="AA854" t="inlineStr">
        <is>
          <t>.</t>
        </is>
      </c>
      <c r="AB854" t="inlineStr">
        <is>
          <t>Likely_benign</t>
        </is>
      </c>
      <c r="AC854" t="inlineStr">
        <is>
          <t>0/1</t>
        </is>
      </c>
      <c r="AD854" t="inlineStr">
        <is>
          <t>3;1</t>
        </is>
      </c>
      <c r="AE854" t="inlineStr">
        <is>
          <t>0.00424617418418377</t>
        </is>
      </c>
      <c r="AF854" t="inlineStr">
        <is>
          <t>myocyte enhancer factor 2C</t>
        </is>
      </c>
      <c r="AG854" t="inlineStr">
        <is>
          <t xml:space="preserve">FUNCTION: Transcription activator which binds specifically to the MEF2 element present in the regulatory regions of many muscle- specific genes. Controls cardiac morphogenesis and myogenesis, and is also involved in vascular development. Plays an essential role in hippocampal-dependent learning and memory by suppressing the number of excitatory synapses and thus regulating basal and evoked synaptic transmission. Crucial for normal neuronal development, distribution, and electrical activity in the neocortex. Necessary for proper development of megakaryocytes and platelets and for bone marrow B-lymphopoiesis. Required for B-cell survival and proliferation in response to BCR stimulation, efficient IgG1 antibody responses to T-cell-dependent antigens and for normal induction of germinal center B-cells. May also be involved in neurogenesis and in the development of cortical architecture (By similarity). Isoform 3 and isoform 4, which lack the repressor domain, are more active than isoform 1 and isoform 2. {ECO:0000250, ECO:0000269|PubMed:11904443, ECO:0000269|PubMed:15340086, ECO:0000269|PubMed:15831463, ECO:0000269|PubMed:15834131, ECO:0000269|PubMed:9069290, ECO:0000269|PubMed:9384584}.; </t>
        </is>
      </c>
      <c r="AH854" t="inlineStr">
        <is>
          <t xml:space="preserve">DISEASE: Mental retardation, autosomal dominant 20 (MRD20) [MIM:613443]: A disorder characterized by severe mental retardation, absent speech, hypotonia, poor eye contact and stereotypic movements. Dysmorphic features include high broad forehead with variable small chin, short nose with anteverted nares, large open mouth, upslanted palpebral fissures and prominent eyebrows. Some patients have seizures. {ECO:0000269|PubMed:19592390}. Note=The disease is caused by mutations affecting the gene represented in this entry.; </t>
        </is>
      </c>
      <c r="AI854" t="inlineStr">
        <is>
          <t>.</t>
        </is>
      </c>
      <c r="AJ854" t="inlineStr">
        <is>
          <t>.</t>
        </is>
      </c>
      <c r="AK854" t="inlineStr">
        <is>
          <t>.</t>
        </is>
      </c>
      <c r="AL854" t="inlineStr">
        <is>
          <t>.</t>
        </is>
      </c>
    </row>
    <row r="855">
      <c r="A855" t="inlineStr"/>
      <c r="B855">
        <f>HYPERLINK("https://genome.ucsc.edu/cgi-bin/hgTracks?db=hg19&amp;position=chr5%3A88026179%2D88026179", "chr5:88026179")</f>
        <v/>
      </c>
      <c r="C855" t="inlineStr">
        <is>
          <t>chr5</t>
        </is>
      </c>
      <c r="D855" t="n">
        <v>88026179</v>
      </c>
      <c r="E855" t="n">
        <v>88026179</v>
      </c>
      <c r="F855" t="inlineStr">
        <is>
          <t>A</t>
        </is>
      </c>
      <c r="G855" t="inlineStr">
        <is>
          <t>G</t>
        </is>
      </c>
      <c r="H855" t="inlineStr">
        <is>
          <t>254.64</t>
        </is>
      </c>
      <c r="I855" t="inlineStr">
        <is>
          <t>27</t>
        </is>
      </c>
      <c r="J855" t="inlineStr">
        <is>
          <t>18,9</t>
        </is>
      </c>
      <c r="K855" t="inlineStr">
        <is>
          <t>.</t>
        </is>
      </c>
      <c r="L855">
        <f>HYPERLINK("https://www.ncbi.nlm.nih.gov/snp/rs148472701", "rs148472701")</f>
        <v/>
      </c>
      <c r="M855">
        <f>HYPERLINK("https://www.genecards.org/Search/Keyword?queryString=%5Baliases%5D(%20MEF2C%20)&amp;keywords=MEF2C", "MEF2C")</f>
        <v/>
      </c>
      <c r="N855" t="inlineStr">
        <is>
          <t>intronic;ncRNA_intronic</t>
        </is>
      </c>
      <c r="O855" t="inlineStr">
        <is>
          <t>.</t>
        </is>
      </c>
      <c r="P855" t="inlineStr">
        <is>
          <t>.</t>
        </is>
      </c>
      <c r="Q855" t="n">
        <v>0.0072</v>
      </c>
      <c r="R855" t="n">
        <v>0.0049</v>
      </c>
      <c r="S855" t="n">
        <v>0.0051</v>
      </c>
      <c r="T855" t="n">
        <v>-1</v>
      </c>
      <c r="U855" t="n">
        <v>0.0033</v>
      </c>
      <c r="V855" t="inlineStr">
        <is>
          <t>.</t>
        </is>
      </c>
      <c r="W855" t="inlineStr">
        <is>
          <t>.</t>
        </is>
      </c>
      <c r="X855" t="inlineStr">
        <is>
          <t>B</t>
        </is>
      </c>
      <c r="Y855" t="inlineStr">
        <is>
          <t>off</t>
        </is>
      </c>
      <c r="Z855" t="inlineStr">
        <is>
          <t>.</t>
        </is>
      </c>
      <c r="AA855" t="inlineStr">
        <is>
          <t>.</t>
        </is>
      </c>
      <c r="AB855" t="inlineStr">
        <is>
          <t>.</t>
        </is>
      </c>
      <c r="AC855" t="inlineStr">
        <is>
          <t>0/1</t>
        </is>
      </c>
      <c r="AD855" t="inlineStr">
        <is>
          <t>3</t>
        </is>
      </c>
      <c r="AE855" t="inlineStr">
        <is>
          <t>0.00424617418418377</t>
        </is>
      </c>
      <c r="AF855" t="inlineStr">
        <is>
          <t>myocyte enhancer factor 2C</t>
        </is>
      </c>
      <c r="AG855" t="inlineStr">
        <is>
          <t xml:space="preserve">FUNCTION: Transcription activator which binds specifically to the MEF2 element present in the regulatory regions of many muscle- specific genes. Controls cardiac morphogenesis and myogenesis, and is also involved in vascular development. Plays an essential role in hippocampal-dependent learning and memory by suppressing the number of excitatory synapses and thus regulating basal and evoked synaptic transmission. Crucial for normal neuronal development, distribution, and electrical activity in the neocortex. Necessary for proper development of megakaryocytes and platelets and for bone marrow B-lymphopoiesis. Required for B-cell survival and proliferation in response to BCR stimulation, efficient IgG1 antibody responses to T-cell-dependent antigens and for normal induction of germinal center B-cells. May also be involved in neurogenesis and in the development of cortical architecture (By similarity). Isoform 3 and isoform 4, which lack the repressor domain, are more active than isoform 1 and isoform 2. {ECO:0000250, ECO:0000269|PubMed:11904443, ECO:0000269|PubMed:15340086, ECO:0000269|PubMed:15831463, ECO:0000269|PubMed:15834131, ECO:0000269|PubMed:9069290, ECO:0000269|PubMed:9384584}.; </t>
        </is>
      </c>
      <c r="AH855" t="inlineStr">
        <is>
          <t xml:space="preserve">DISEASE: Mental retardation, autosomal dominant 20 (MRD20) [MIM:613443]: A disorder characterized by severe mental retardation, absent speech, hypotonia, poor eye contact and stereotypic movements. Dysmorphic features include high broad forehead with variable small chin, short nose with anteverted nares, large open mouth, upslanted palpebral fissures and prominent eyebrows. Some patients have seizures. {ECO:0000269|PubMed:19592390}. Note=The disease is caused by mutations affecting the gene represented in this entry.; </t>
        </is>
      </c>
      <c r="AI855" t="inlineStr">
        <is>
          <t>.</t>
        </is>
      </c>
      <c r="AJ855" t="inlineStr">
        <is>
          <t>.</t>
        </is>
      </c>
      <c r="AK855" t="inlineStr">
        <is>
          <t>.</t>
        </is>
      </c>
      <c r="AL855" t="inlineStr">
        <is>
          <t>.</t>
        </is>
      </c>
    </row>
    <row r="856">
      <c r="A856" t="inlineStr"/>
      <c r="B856">
        <f>HYPERLINK("https://genome.ucsc.edu/cgi-bin/hgTracks?db=hg19&amp;position=chr5%3A88179155%2D88179157", "chr5:88179155")</f>
        <v/>
      </c>
      <c r="C856" t="inlineStr">
        <is>
          <t>chr5</t>
        </is>
      </c>
      <c r="D856" t="n">
        <v>88179155</v>
      </c>
      <c r="E856" t="n">
        <v>88179157</v>
      </c>
      <c r="F856" t="inlineStr">
        <is>
          <t>AGG</t>
        </is>
      </c>
      <c r="G856" t="inlineStr">
        <is>
          <t>-</t>
        </is>
      </c>
      <c r="H856" t="inlineStr">
        <is>
          <t>40.60</t>
        </is>
      </c>
      <c r="I856" t="inlineStr">
        <is>
          <t>29</t>
        </is>
      </c>
      <c r="J856" t="inlineStr">
        <is>
          <t>26,3</t>
        </is>
      </c>
      <c r="K856" t="inlineStr">
        <is>
          <t>.</t>
        </is>
      </c>
      <c r="L856">
        <f>HYPERLINK("https://www.ncbi.nlm.nih.gov/snp/rs886060872", "rs886060872")</f>
        <v/>
      </c>
      <c r="M856">
        <f>HYPERLINK("https://www.genecards.org/Search/Keyword?queryString=%5Baliases%5D(%20MEF2C%20)%20OR%20%5Baliases%5D(%20MEF2C-AS1%20)&amp;keywords=MEF2C,MEF2C-AS1", "MEF2C;MEF2C-AS1")</f>
        <v/>
      </c>
      <c r="N856" t="inlineStr">
        <is>
          <t>UTR5;ncRNA_exonic</t>
        </is>
      </c>
      <c r="O856" t="inlineStr">
        <is>
          <t>.</t>
        </is>
      </c>
      <c r="P856" t="inlineStr">
        <is>
          <t>uc003kjj.3:c.-59550_-59552delCCT;uc003kjk.3:c.-59550_-59552delCCT;ENST00000437473.6_6:c.-59550_-59552delCCT</t>
        </is>
      </c>
      <c r="Q856" t="n">
        <v>0.0177</v>
      </c>
      <c r="R856" t="n">
        <v>0.0033</v>
      </c>
      <c r="S856" t="n">
        <v>0.0028</v>
      </c>
      <c r="T856" t="n">
        <v>-1</v>
      </c>
      <c r="U856" t="n">
        <v>0.0033</v>
      </c>
      <c r="V856" t="inlineStr">
        <is>
          <t>.</t>
        </is>
      </c>
      <c r="W856" t="inlineStr">
        <is>
          <t>.</t>
        </is>
      </c>
      <c r="X856" t="inlineStr">
        <is>
          <t>.</t>
        </is>
      </c>
      <c r="Y856" t="inlineStr">
        <is>
          <t>.</t>
        </is>
      </c>
      <c r="Z856" t="inlineStr">
        <is>
          <t>.</t>
        </is>
      </c>
      <c r="AA856" t="inlineStr">
        <is>
          <t>.</t>
        </is>
      </c>
      <c r="AB856" t="inlineStr">
        <is>
          <t>Uncertain_significance</t>
        </is>
      </c>
      <c r="AC856" t="inlineStr">
        <is>
          <t>0/1</t>
        </is>
      </c>
      <c r="AD856" t="inlineStr">
        <is>
          <t>3;1</t>
        </is>
      </c>
      <c r="AE856" t="inlineStr">
        <is>
          <t>0.00424617418418377</t>
        </is>
      </c>
      <c r="AF856" t="inlineStr">
        <is>
          <t>MEF2C antisense RNA 1;myocyte enhancer factor 2C</t>
        </is>
      </c>
      <c r="AG856" t="inlineStr">
        <is>
          <t xml:space="preserve">FUNCTION: Transcription activator which binds specifically to the MEF2 element present in the regulatory regions of many muscle- specific genes. Controls cardiac morphogenesis and myogenesis, and is also involved in vascular development. Plays an essential role in hippocampal-dependent learning and memory by suppressing the number of excitatory synapses and thus regulating basal and evoked synaptic transmission. Crucial for normal neuronal development, distribution, and electrical activity in the neocortex. Necessary for proper development of megakaryocytes and platelets and for bone marrow B-lymphopoiesis. Required for B-cell survival and proliferation in response to BCR stimulation, efficient IgG1 antibody responses to T-cell-dependent antigens and for normal induction of germinal center B-cells. May also be involved in neurogenesis and in the development of cortical architecture (By similarity). Isoform 3 and isoform 4, which lack the repressor domain, are more active than isoform 1 and isoform 2. {ECO:0000250, ECO:0000269|PubMed:11904443, ECO:0000269|PubMed:15340086, ECO:0000269|PubMed:15831463, ECO:0000269|PubMed:15834131, ECO:0000269|PubMed:9069290, ECO:0000269|PubMed:9384584}.; </t>
        </is>
      </c>
      <c r="AH856" t="inlineStr">
        <is>
          <t xml:space="preserve">DISEASE: Mental retardation, autosomal dominant 20 (MRD20) [MIM:613443]: A disorder characterized by severe mental retardation, absent speech, hypotonia, poor eye contact and stereotypic movements. Dysmorphic features include high broad forehead with variable small chin, short nose with anteverted nares, large open mouth, upslanted palpebral fissures and prominent eyebrows. Some patients have seizures. {ECO:0000269|PubMed:19592390}. Note=The disease is caused by mutations affecting the gene represented in this entry.; </t>
        </is>
      </c>
      <c r="AI856" t="inlineStr">
        <is>
          <t>.</t>
        </is>
      </c>
      <c r="AJ856" t="inlineStr">
        <is>
          <t>.</t>
        </is>
      </c>
      <c r="AK856" t="inlineStr">
        <is>
          <t>.</t>
        </is>
      </c>
      <c r="AL856" t="inlineStr">
        <is>
          <t>.</t>
        </is>
      </c>
    </row>
    <row r="857">
      <c r="A857" t="inlineStr"/>
      <c r="B857">
        <f>HYPERLINK("https://genome.ucsc.edu/cgi-bin/hgTracks?db=hg19&amp;position=chr5%3A89821245%2D89821245", "chr5:89821245")</f>
        <v/>
      </c>
      <c r="C857" t="inlineStr">
        <is>
          <t>chr5</t>
        </is>
      </c>
      <c r="D857" t="n">
        <v>89821245</v>
      </c>
      <c r="E857" t="n">
        <v>89821245</v>
      </c>
      <c r="F857" t="inlineStr">
        <is>
          <t>A</t>
        </is>
      </c>
      <c r="G857" t="inlineStr">
        <is>
          <t>C</t>
        </is>
      </c>
      <c r="H857" t="inlineStr">
        <is>
          <t>37.64</t>
        </is>
      </c>
      <c r="I857" t="inlineStr">
        <is>
          <t>8</t>
        </is>
      </c>
      <c r="J857" t="inlineStr">
        <is>
          <t>6,2</t>
        </is>
      </c>
      <c r="K857" t="inlineStr">
        <is>
          <t>.</t>
        </is>
      </c>
      <c r="L857" t="inlineStr">
        <is>
          <t>.</t>
        </is>
      </c>
      <c r="M857">
        <f>HYPERLINK("https://www.genecards.org/Search/Keyword?queryString=%5Baliases%5D(%20LYSMD3%20)&amp;keywords=LYSMD3", "LYSMD3")</f>
        <v/>
      </c>
      <c r="N857" t="inlineStr">
        <is>
          <t>intronic</t>
        </is>
      </c>
      <c r="O857" t="inlineStr">
        <is>
          <t>.</t>
        </is>
      </c>
      <c r="P857" t="inlineStr">
        <is>
          <t>.</t>
        </is>
      </c>
      <c r="Q857" t="n">
        <v>-1</v>
      </c>
      <c r="R857" t="n">
        <v>-1</v>
      </c>
      <c r="S857" t="n">
        <v>-1</v>
      </c>
      <c r="T857" t="n">
        <v>-1</v>
      </c>
      <c r="U857" t="n">
        <v>-1</v>
      </c>
      <c r="V857" t="inlineStr">
        <is>
          <t>.</t>
        </is>
      </c>
      <c r="W857" t="inlineStr">
        <is>
          <t>.</t>
        </is>
      </c>
      <c r="X857" t="inlineStr">
        <is>
          <t>PD</t>
        </is>
      </c>
      <c r="Y857" t="inlineStr">
        <is>
          <t>off</t>
        </is>
      </c>
      <c r="Z857" t="inlineStr">
        <is>
          <t>.</t>
        </is>
      </c>
      <c r="AA857" t="inlineStr">
        <is>
          <t>.</t>
        </is>
      </c>
      <c r="AB857" t="inlineStr">
        <is>
          <t>.</t>
        </is>
      </c>
      <c r="AC857" t="inlineStr">
        <is>
          <t>0/1</t>
        </is>
      </c>
      <c r="AD857" t="inlineStr">
        <is>
          <t>1</t>
        </is>
      </c>
      <c r="AE857" t="inlineStr">
        <is>
          <t>0.771815089892096</t>
        </is>
      </c>
      <c r="AF857" t="inlineStr">
        <is>
          <t>LysM domain containing 3</t>
        </is>
      </c>
      <c r="AG857" t="inlineStr">
        <is>
          <t>.</t>
        </is>
      </c>
      <c r="AH857" t="inlineStr">
        <is>
          <t>.</t>
        </is>
      </c>
      <c r="AI857" t="inlineStr">
        <is>
          <t>.</t>
        </is>
      </c>
      <c r="AJ857" t="inlineStr">
        <is>
          <t>.</t>
        </is>
      </c>
      <c r="AK857" t="inlineStr">
        <is>
          <t>.</t>
        </is>
      </c>
      <c r="AL857" t="inlineStr">
        <is>
          <t>.</t>
        </is>
      </c>
    </row>
    <row r="858">
      <c r="A858" t="inlineStr"/>
      <c r="B858">
        <f>HYPERLINK("https://genome.ucsc.edu/cgi-bin/hgTracks?db=hg19&amp;position=chr5%3A89923177%2D89923177", "chr5:89923177")</f>
        <v/>
      </c>
      <c r="C858" t="inlineStr">
        <is>
          <t>chr5</t>
        </is>
      </c>
      <c r="D858" t="n">
        <v>89923177</v>
      </c>
      <c r="E858" t="n">
        <v>89923177</v>
      </c>
      <c r="F858" t="inlineStr">
        <is>
          <t>G</t>
        </is>
      </c>
      <c r="G858" t="inlineStr">
        <is>
          <t>C</t>
        </is>
      </c>
      <c r="H858" t="inlineStr">
        <is>
          <t>743.64</t>
        </is>
      </c>
      <c r="I858" t="inlineStr">
        <is>
          <t>109</t>
        </is>
      </c>
      <c r="J858" t="inlineStr">
        <is>
          <t>71,38</t>
        </is>
      </c>
      <c r="K858" t="inlineStr">
        <is>
          <t>.</t>
        </is>
      </c>
      <c r="L858" t="inlineStr">
        <is>
          <t>.</t>
        </is>
      </c>
      <c r="M858">
        <f>HYPERLINK("https://www.genecards.org/Search/Keyword?queryString=%5Baliases%5D(%20ADGRV1%20)%20OR%20%5Baliases%5D(%20GPR98%20)&amp;keywords=ADGRV1,GPR98", "ADGRV1;GPR98")</f>
        <v/>
      </c>
      <c r="N858" t="inlineStr">
        <is>
          <t>exonic</t>
        </is>
      </c>
      <c r="O858" t="inlineStr">
        <is>
          <t>nonsynonymous SNV</t>
        </is>
      </c>
      <c r="P858" t="inlineStr">
        <is>
          <t>ADGRV1:NM_032119:exon7:c.G822C:p.E274D;GPR98:uc003kju.3:exon7:c.G822C:p.E274D;ADGRV1:ENST00000405460.9_5:exon7:c.G822C:p.E274D</t>
        </is>
      </c>
      <c r="Q858" t="n">
        <v>-1</v>
      </c>
      <c r="R858" t="n">
        <v>-1</v>
      </c>
      <c r="S858" t="n">
        <v>-1</v>
      </c>
      <c r="T858" t="n">
        <v>-1</v>
      </c>
      <c r="U858" t="n">
        <v>-1</v>
      </c>
      <c r="V858" t="inlineStr">
        <is>
          <t>7/12</t>
        </is>
      </c>
      <c r="W858" t="inlineStr">
        <is>
          <t>.</t>
        </is>
      </c>
      <c r="X858" t="inlineStr">
        <is>
          <t>.</t>
        </is>
      </c>
      <c r="Y858" t="inlineStr">
        <is>
          <t>.</t>
        </is>
      </c>
      <c r="Z858" t="inlineStr">
        <is>
          <t>3/7</t>
        </is>
      </c>
      <c r="AA858" t="inlineStr">
        <is>
          <t>Uncertain significance</t>
        </is>
      </c>
      <c r="AB858" t="inlineStr">
        <is>
          <t>.</t>
        </is>
      </c>
      <c r="AC858" t="inlineStr">
        <is>
          <t>0/1</t>
        </is>
      </c>
      <c r="AD858" t="inlineStr">
        <is>
          <t>2;2</t>
        </is>
      </c>
      <c r="AE858" t="inlineStr">
        <is>
          <t>.</t>
        </is>
      </c>
      <c r="AF858" t="inlineStr">
        <is>
          <t>adhesion G protein-coupled receptor V1</t>
        </is>
      </c>
      <c r="AG858" t="inlineStr">
        <is>
          <t xml:space="preserve">FUNCTION: Receptor that may have an important role in the development of the central nervous system.; </t>
        </is>
      </c>
      <c r="AH858" t="inlineStr">
        <is>
          <t xml:space="preserve">DISEASE: Usher syndrome 2C (USH2C) [MIM:605472]: USH is a genetically heterogeneous condition characterized by the association of retinitis pigmentosa with sensorineural deafness. Age at onset and differences in auditory and vestibular function distinguish Usher syndrome type 1 (USH1), Usher syndrome type 2 (USH2) and Usher syndrome type 3 (USH3). USH2 is characterized by congenital mild hearing impairment with normal vestibular responses. {ECO:0000269|PubMed:14740321, ECO:0000269|PubMed:22147658}. Note=The disease is caused by mutations affecting the gene represented in this entry.; DISEASE: Febrile seizures, familial, 4 (FEB4) [MIM:604352]: Seizures associated with febrile episodes in childhood without any evidence of intracranial infection or defined pathologic or traumatic cause. It is a common condition, affecting 2-5% of children aged 3 months to 5 years. The majority are simple febrile seizures (generally defined as generalized onset, single seizures with a duration of less than 30 minutes). Complex febrile seizures are characterized by focal onset, duration greater than 30 minutes, and/or more than one seizure in a 24 hour period. The likelihood of developing epilepsy following simple febrile seizures is low. Complex febrile seizures are associated with a moderately increased incidence of epilepsy. Note=The disease may be caused by mutations affecting the gene represented in this entry.; </t>
        </is>
      </c>
      <c r="AI858" t="inlineStr">
        <is>
          <t>.</t>
        </is>
      </c>
      <c r="AJ858" t="inlineStr">
        <is>
          <t>.</t>
        </is>
      </c>
      <c r="AK858" t="inlineStr">
        <is>
          <t>.</t>
        </is>
      </c>
      <c r="AL858" t="inlineStr">
        <is>
          <t>.</t>
        </is>
      </c>
    </row>
    <row r="859">
      <c r="A859" t="inlineStr"/>
      <c r="B859">
        <f>HYPERLINK("https://genome.ucsc.edu/cgi-bin/hgTracks?db=hg19&amp;position=chr5%3A89979871%2D89979871", "chr5:89979871")</f>
        <v/>
      </c>
      <c r="C859" t="inlineStr">
        <is>
          <t>chr5</t>
        </is>
      </c>
      <c r="D859" t="n">
        <v>89979871</v>
      </c>
      <c r="E859" t="n">
        <v>89979871</v>
      </c>
      <c r="F859" t="inlineStr">
        <is>
          <t>G</t>
        </is>
      </c>
      <c r="G859" t="inlineStr">
        <is>
          <t>A</t>
        </is>
      </c>
      <c r="H859" t="inlineStr">
        <is>
          <t>1040.64</t>
        </is>
      </c>
      <c r="I859" t="inlineStr">
        <is>
          <t>128</t>
        </is>
      </c>
      <c r="J859" t="inlineStr">
        <is>
          <t>82,46</t>
        </is>
      </c>
      <c r="K859" t="inlineStr">
        <is>
          <t>CM140472</t>
        </is>
      </c>
      <c r="L859">
        <f>HYPERLINK("https://www.ncbi.nlm.nih.gov/snp/rs41308846", "rs41308846")</f>
        <v/>
      </c>
      <c r="M859">
        <f>HYPERLINK("https://www.genecards.org/Search/Keyword?queryString=%5Baliases%5D(%20ADGRV1%20)%20OR%20%5Baliases%5D(%20GPR98%20)&amp;keywords=ADGRV1,GPR98", "ADGRV1;GPR98")</f>
        <v/>
      </c>
      <c r="N859" t="inlineStr">
        <is>
          <t>exonic</t>
        </is>
      </c>
      <c r="O859" t="inlineStr">
        <is>
          <t>nonsynonymous SNV</t>
        </is>
      </c>
      <c r="P859" t="inlineStr">
        <is>
          <t>ADGRV1:NM_032119:exon28:c.G6133A:p.G2045R;GPR98:uc003kju.3:exon28:c.G6133A:p.G2045R;ADGRV1:ENST00000405460.9_5:exon28:c.G6133A:p.G2045R</t>
        </is>
      </c>
      <c r="Q859" t="n">
        <v>0.0125</v>
      </c>
      <c r="R859" t="n">
        <v>0.014</v>
      </c>
      <c r="S859" t="n">
        <v>0.0132</v>
      </c>
      <c r="T859" t="n">
        <v>-1</v>
      </c>
      <c r="U859" t="n">
        <v>0.0185</v>
      </c>
      <c r="V859" t="inlineStr">
        <is>
          <t>7/11</t>
        </is>
      </c>
      <c r="W859" t="inlineStr">
        <is>
          <t>.</t>
        </is>
      </c>
      <c r="X859" t="inlineStr">
        <is>
          <t>.</t>
        </is>
      </c>
      <c r="Y859" t="inlineStr">
        <is>
          <t>.</t>
        </is>
      </c>
      <c r="Z859" t="inlineStr">
        <is>
          <t>4/7</t>
        </is>
      </c>
      <c r="AA859" t="inlineStr">
        <is>
          <t>Benign</t>
        </is>
      </c>
      <c r="AB859" t="inlineStr">
        <is>
          <t>Conflicting_interpretations_of_pathogenicity</t>
        </is>
      </c>
      <c r="AC859" t="inlineStr">
        <is>
          <t>0/1</t>
        </is>
      </c>
      <c r="AD859" t="inlineStr">
        <is>
          <t>2;2</t>
        </is>
      </c>
      <c r="AE859" t="inlineStr">
        <is>
          <t>.</t>
        </is>
      </c>
      <c r="AF859" t="inlineStr">
        <is>
          <t>adhesion G protein-coupled receptor V1</t>
        </is>
      </c>
      <c r="AG859" t="inlineStr">
        <is>
          <t xml:space="preserve">FUNCTION: Receptor that may have an important role in the development of the central nervous system.; </t>
        </is>
      </c>
      <c r="AH859" t="inlineStr">
        <is>
          <t xml:space="preserve">DISEASE: Usher syndrome 2C (USH2C) [MIM:605472]: USH is a genetically heterogeneous condition characterized by the association of retinitis pigmentosa with sensorineural deafness. Age at onset and differences in auditory and vestibular function distinguish Usher syndrome type 1 (USH1), Usher syndrome type 2 (USH2) and Usher syndrome type 3 (USH3). USH2 is characterized by congenital mild hearing impairment with normal vestibular responses. {ECO:0000269|PubMed:14740321, ECO:0000269|PubMed:22147658}. Note=The disease is caused by mutations affecting the gene represented in this entry.; DISEASE: Febrile seizures, familial, 4 (FEB4) [MIM:604352]: Seizures associated with febrile episodes in childhood without any evidence of intracranial infection or defined pathologic or traumatic cause. It is a common condition, affecting 2-5% of children aged 3 months to 5 years. The majority are simple febrile seizures (generally defined as generalized onset, single seizures with a duration of less than 30 minutes). Complex febrile seizures are characterized by focal onset, duration greater than 30 minutes, and/or more than one seizure in a 24 hour period. The likelihood of developing epilepsy following simple febrile seizures is low. Complex febrile seizures are associated with a moderately increased incidence of epilepsy. Note=The disease may be caused by mutations affecting the gene represented in this entry.; </t>
        </is>
      </c>
      <c r="AI859" t="inlineStr">
        <is>
          <t>.</t>
        </is>
      </c>
      <c r="AJ859" t="inlineStr">
        <is>
          <t>.</t>
        </is>
      </c>
      <c r="AK859" t="inlineStr">
        <is>
          <t>.</t>
        </is>
      </c>
      <c r="AL859" t="inlineStr">
        <is>
          <t>.</t>
        </is>
      </c>
    </row>
    <row r="860">
      <c r="A860" t="inlineStr"/>
      <c r="B860">
        <f>HYPERLINK("https://genome.ucsc.edu/cgi-bin/hgTracks?db=hg19&amp;position=chr5%3A94245161%2D94245161", "chr5:94245161")</f>
        <v/>
      </c>
      <c r="C860" t="inlineStr">
        <is>
          <t>chr5</t>
        </is>
      </c>
      <c r="D860" t="n">
        <v>94245161</v>
      </c>
      <c r="E860" t="n">
        <v>94245161</v>
      </c>
      <c r="F860" t="inlineStr">
        <is>
          <t>A</t>
        </is>
      </c>
      <c r="G860" t="inlineStr">
        <is>
          <t>C</t>
        </is>
      </c>
      <c r="H860" t="inlineStr">
        <is>
          <t>403.64</t>
        </is>
      </c>
      <c r="I860" t="inlineStr">
        <is>
          <t>16</t>
        </is>
      </c>
      <c r="J860" t="inlineStr">
        <is>
          <t>3,13</t>
        </is>
      </c>
      <c r="K860" t="inlineStr">
        <is>
          <t>.</t>
        </is>
      </c>
      <c r="L860">
        <f>HYPERLINK("https://www.ncbi.nlm.nih.gov/snp/rs185411485", "rs185411485")</f>
        <v/>
      </c>
      <c r="M860">
        <f>HYPERLINK("https://www.genecards.org/Search/Keyword?queryString=%5Baliases%5D(%20MCTP1%20)&amp;keywords=MCTP1", "MCTP1")</f>
        <v/>
      </c>
      <c r="N860" t="inlineStr">
        <is>
          <t>intronic</t>
        </is>
      </c>
      <c r="O860" t="inlineStr">
        <is>
          <t>.</t>
        </is>
      </c>
      <c r="P860" t="inlineStr">
        <is>
          <t>.</t>
        </is>
      </c>
      <c r="Q860" t="n">
        <v>0.006</v>
      </c>
      <c r="R860" t="n">
        <v>0.0044</v>
      </c>
      <c r="S860" t="n">
        <v>0.0043</v>
      </c>
      <c r="T860" t="n">
        <v>-1</v>
      </c>
      <c r="U860" t="n">
        <v>0.004</v>
      </c>
      <c r="V860" t="inlineStr">
        <is>
          <t>.</t>
        </is>
      </c>
      <c r="W860" t="inlineStr">
        <is>
          <t>.</t>
        </is>
      </c>
      <c r="X860" t="inlineStr">
        <is>
          <t>PD</t>
        </is>
      </c>
      <c r="Y860" t="inlineStr">
        <is>
          <t>off</t>
        </is>
      </c>
      <c r="Z860" t="inlineStr">
        <is>
          <t>.</t>
        </is>
      </c>
      <c r="AA860" t="inlineStr">
        <is>
          <t>.</t>
        </is>
      </c>
      <c r="AB860" t="inlineStr">
        <is>
          <t>.</t>
        </is>
      </c>
      <c r="AC860" t="inlineStr">
        <is>
          <t>0/1</t>
        </is>
      </c>
      <c r="AD860" t="inlineStr">
        <is>
          <t>1</t>
        </is>
      </c>
      <c r="AE860" t="inlineStr">
        <is>
          <t>0.00988911824115707</t>
        </is>
      </c>
      <c r="AF860" t="inlineStr">
        <is>
          <t>multiple C2 and transmembrane domain containing 1</t>
        </is>
      </c>
      <c r="AG860" t="inlineStr">
        <is>
          <t>.</t>
        </is>
      </c>
      <c r="AH860" t="inlineStr">
        <is>
          <t>.</t>
        </is>
      </c>
      <c r="AI860" t="inlineStr">
        <is>
          <t>.</t>
        </is>
      </c>
      <c r="AJ860" t="inlineStr">
        <is>
          <t>.</t>
        </is>
      </c>
      <c r="AK860" t="inlineStr">
        <is>
          <t>.</t>
        </is>
      </c>
      <c r="AL860" t="inlineStr">
        <is>
          <t>.</t>
        </is>
      </c>
    </row>
    <row r="861">
      <c r="A861" t="inlineStr"/>
      <c r="B861">
        <f>HYPERLINK("https://genome.ucsc.edu/cgi-bin/hgTracks?db=hg19&amp;position=chr5%3A94814337%2D94814337", "chr5:94814337")</f>
        <v/>
      </c>
      <c r="C861" t="inlineStr">
        <is>
          <t>chr5</t>
        </is>
      </c>
      <c r="D861" t="n">
        <v>94814337</v>
      </c>
      <c r="E861" t="n">
        <v>94814337</v>
      </c>
      <c r="F861" t="inlineStr">
        <is>
          <t>G</t>
        </is>
      </c>
      <c r="G861" t="inlineStr">
        <is>
          <t>A</t>
        </is>
      </c>
      <c r="H861" t="inlineStr">
        <is>
          <t>45.64</t>
        </is>
      </c>
      <c r="I861" t="inlineStr">
        <is>
          <t>8</t>
        </is>
      </c>
      <c r="J861" t="inlineStr">
        <is>
          <t>6,2</t>
        </is>
      </c>
      <c r="K861" t="inlineStr">
        <is>
          <t>.</t>
        </is>
      </c>
      <c r="L861" t="inlineStr">
        <is>
          <t>.</t>
        </is>
      </c>
      <c r="M861">
        <f>HYPERLINK("https://www.genecards.org/Search/Keyword?queryString=%5Baliases%5D(%20TTC37%20)&amp;keywords=TTC37", "TTC37")</f>
        <v/>
      </c>
      <c r="N861" t="inlineStr">
        <is>
          <t>intronic</t>
        </is>
      </c>
      <c r="O861" t="inlineStr">
        <is>
          <t>.</t>
        </is>
      </c>
      <c r="P861" t="inlineStr">
        <is>
          <t>.</t>
        </is>
      </c>
      <c r="Q861" t="n">
        <v>-1</v>
      </c>
      <c r="R861" t="n">
        <v>-1</v>
      </c>
      <c r="S861" t="n">
        <v>-1</v>
      </c>
      <c r="T861" t="n">
        <v>-1</v>
      </c>
      <c r="U861" t="n">
        <v>-1</v>
      </c>
      <c r="V861" t="inlineStr">
        <is>
          <t>.</t>
        </is>
      </c>
      <c r="W861" t="inlineStr">
        <is>
          <t>.</t>
        </is>
      </c>
      <c r="X861" t="inlineStr">
        <is>
          <t>D</t>
        </is>
      </c>
      <c r="Y861" t="inlineStr">
        <is>
          <t>off</t>
        </is>
      </c>
      <c r="Z861" t="inlineStr">
        <is>
          <t>.</t>
        </is>
      </c>
      <c r="AA861" t="inlineStr">
        <is>
          <t>.</t>
        </is>
      </c>
      <c r="AB861" t="inlineStr">
        <is>
          <t>.</t>
        </is>
      </c>
      <c r="AC861" t="inlineStr">
        <is>
          <t>0/1</t>
        </is>
      </c>
      <c r="AD861" t="inlineStr">
        <is>
          <t>1</t>
        </is>
      </c>
      <c r="AE861" t="inlineStr">
        <is>
          <t>7.99341870810084e-20</t>
        </is>
      </c>
      <c r="AF861" t="inlineStr">
        <is>
          <t>tetratricopeptide repeat domain 37</t>
        </is>
      </c>
      <c r="AG861" t="inlineStr">
        <is>
          <t xml:space="preserve">FUNCTION: Component of the SKI complex which is thought to be involved in exosome-mediated RNA decay and associates with transcriptionally active genes in a manner dependent on PAF1 complex (PAF1C).; </t>
        </is>
      </c>
      <c r="AH861" t="inlineStr">
        <is>
          <t>.</t>
        </is>
      </c>
      <c r="AI861" t="inlineStr">
        <is>
          <t>.</t>
        </is>
      </c>
      <c r="AJ861" t="inlineStr">
        <is>
          <t>.</t>
        </is>
      </c>
      <c r="AK861" t="inlineStr">
        <is>
          <t>.</t>
        </is>
      </c>
      <c r="AL861" t="inlineStr">
        <is>
          <t>.</t>
        </is>
      </c>
    </row>
    <row r="862">
      <c r="A862" t="inlineStr"/>
      <c r="B862">
        <f>HYPERLINK("https://genome.ucsc.edu/cgi-bin/hgTracks?db=hg19&amp;position=chr5%3A111500730%2D111500730", "chr5:111500730")</f>
        <v/>
      </c>
      <c r="C862" t="inlineStr">
        <is>
          <t>chr5</t>
        </is>
      </c>
      <c r="D862" t="n">
        <v>111500730</v>
      </c>
      <c r="E862" t="n">
        <v>111500730</v>
      </c>
      <c r="F862" t="inlineStr">
        <is>
          <t>G</t>
        </is>
      </c>
      <c r="G862" t="inlineStr">
        <is>
          <t>A</t>
        </is>
      </c>
      <c r="H862" t="inlineStr">
        <is>
          <t>878.64</t>
        </is>
      </c>
      <c r="I862" t="inlineStr">
        <is>
          <t>163</t>
        </is>
      </c>
      <c r="J862" t="inlineStr">
        <is>
          <t>116,47</t>
        </is>
      </c>
      <c r="K862" t="inlineStr">
        <is>
          <t>.</t>
        </is>
      </c>
      <c r="L862">
        <f>HYPERLINK("https://www.ncbi.nlm.nih.gov/snp/rs184684511", "rs184684511")</f>
        <v/>
      </c>
      <c r="M862">
        <f>HYPERLINK("https://www.genecards.org/Search/Keyword?queryString=%5Baliases%5D(%20EPB41L4A%20)&amp;keywords=EPB41L4A", "EPB41L4A")</f>
        <v/>
      </c>
      <c r="N862" t="inlineStr">
        <is>
          <t>exonic</t>
        </is>
      </c>
      <c r="O862" t="inlineStr">
        <is>
          <t>nonsynonymous SNV</t>
        </is>
      </c>
      <c r="P862" t="inlineStr">
        <is>
          <t>EPB41L4A:NM_022140:exon23:c.C2018T:p.T673I;EPB41L4A:uc003kpv.1:exon23:c.C2018T:p.T673I;EPB41L4A:ENST00000261486.6_5:exon23:c.C2018T:p.T673I</t>
        </is>
      </c>
      <c r="Q862" t="n">
        <v>0.0103</v>
      </c>
      <c r="R862" t="n">
        <v>0.005</v>
      </c>
      <c r="S862" t="n">
        <v>0.0054</v>
      </c>
      <c r="T862" t="n">
        <v>-1</v>
      </c>
      <c r="U862" t="n">
        <v>0.0041</v>
      </c>
      <c r="V862" t="inlineStr">
        <is>
          <t>4/10</t>
        </is>
      </c>
      <c r="W862" t="inlineStr">
        <is>
          <t>.</t>
        </is>
      </c>
      <c r="X862" t="inlineStr">
        <is>
          <t>.</t>
        </is>
      </c>
      <c r="Y862" t="inlineStr">
        <is>
          <t>.</t>
        </is>
      </c>
      <c r="Z862" t="inlineStr">
        <is>
          <t>1/7</t>
        </is>
      </c>
      <c r="AA862" t="inlineStr">
        <is>
          <t>Uncertain significance</t>
        </is>
      </c>
      <c r="AB862" t="inlineStr">
        <is>
          <t>.</t>
        </is>
      </c>
      <c r="AC862" t="inlineStr">
        <is>
          <t>0/1</t>
        </is>
      </c>
      <c r="AD862" t="inlineStr">
        <is>
          <t>1</t>
        </is>
      </c>
      <c r="AE862" t="inlineStr">
        <is>
          <t>1.98631994116418e-11</t>
        </is>
      </c>
      <c r="AF862" t="inlineStr">
        <is>
          <t>erythrocyte membrane protein band 4.1 like 4A</t>
        </is>
      </c>
      <c r="AG862" t="inlineStr">
        <is>
          <t>.</t>
        </is>
      </c>
      <c r="AH862" t="inlineStr">
        <is>
          <t>.</t>
        </is>
      </c>
      <c r="AI862" t="inlineStr">
        <is>
          <t>.</t>
        </is>
      </c>
      <c r="AJ862" t="inlineStr">
        <is>
          <t>.</t>
        </is>
      </c>
      <c r="AK862" t="inlineStr">
        <is>
          <t>.</t>
        </is>
      </c>
      <c r="AL862" t="inlineStr">
        <is>
          <t>.</t>
        </is>
      </c>
    </row>
    <row r="863">
      <c r="A863" t="inlineStr"/>
      <c r="B863">
        <f>HYPERLINK("https://genome.ucsc.edu/cgi-bin/hgTracks?db=hg19&amp;position=chr5%3A112174762%2D112174762", "chr5:112174762")</f>
        <v/>
      </c>
      <c r="C863" t="inlineStr">
        <is>
          <t>chr5</t>
        </is>
      </c>
      <c r="D863" t="n">
        <v>112174762</v>
      </c>
      <c r="E863" t="n">
        <v>112174762</v>
      </c>
      <c r="F863" t="inlineStr">
        <is>
          <t>G</t>
        </is>
      </c>
      <c r="G863" t="inlineStr">
        <is>
          <t>A</t>
        </is>
      </c>
      <c r="H863" t="inlineStr">
        <is>
          <t>1872.64</t>
        </is>
      </c>
      <c r="I863" t="inlineStr">
        <is>
          <t>131</t>
        </is>
      </c>
      <c r="J863" t="inlineStr">
        <is>
          <t>59,72</t>
        </is>
      </c>
      <c r="K863" t="inlineStr">
        <is>
          <t>CD994159</t>
        </is>
      </c>
      <c r="L863">
        <f>HYPERLINK("https://www.ncbi.nlm.nih.gov/snp/rs143927847", "rs143927847")</f>
        <v/>
      </c>
      <c r="M863">
        <f>HYPERLINK("https://www.genecards.org/Search/Keyword?queryString=%5Baliases%5D(%20APC%20)&amp;keywords=APC", "APC")</f>
        <v/>
      </c>
      <c r="N863" t="inlineStr">
        <is>
          <t>exonic</t>
        </is>
      </c>
      <c r="O863" t="inlineStr">
        <is>
          <t>synonymous SNV</t>
        </is>
      </c>
      <c r="P863" t="inlineStr">
        <is>
          <t>APC:NM_001127511:exon14:c.G3417A:p.E1139E,APC:NM_001354897:exon15:c.G3501A:p.E1167E,APC:NM_001354899:exon15:c.G3387A:p.E1129E,APC:NM_001354901:exon15:c.G3294A:p.E1098E,APC:NM_001354902:exon15:c.G3198A:p.E1066E,APC:NM_001354905:exon15:c.G2991A:p.E997E,APC:NM_000038:exon16:c.G3471A:p.E1157E,APC:NM_001354895:exon16:c.G3471A:p.E1157E,APC:NM_001354898:exon16:c.G3396A:p.E1132E,APC:NM_001354900:exon16:c.G3348A:p.E1116E,APC:NM_001354903:exon16:c.G3168A:p.E1056E,APC:NM_001354904:exon16:c.G3093A:p.E1031E,APC:NM_001127510:exon17:c.G3471A:p.E1157E,APC:NM_001354896:exon17:c.G3525A:p.E1175E,APC:NM_001354906:exon17:c.G2622A:p.E874E;APC:uc010jca.3:exon3:c.G1371A:p.E457E,APC:uc011cvt.2:exon14:c.G3417A:p.E1139E,APC:uc003kpy.4:exon16:c.G3471A:p.E1157E,APC:uc003kpz.4:exon17:c.G3471A:p.E1157E,APC:uc010jbz.3:exon17:c.G2622A:p.E874E;APC:ENST00000257430.9_3:exon16:c.G3471A:p.E1157E,APC:ENST00000508376.6_1:exon17:c.G3471A:p.E1157E</t>
        </is>
      </c>
      <c r="Q863" t="n">
        <v>0.0095</v>
      </c>
      <c r="R863" t="n">
        <v>0.0044</v>
      </c>
      <c r="S863" t="n">
        <v>0.0045</v>
      </c>
      <c r="T863" t="n">
        <v>-1</v>
      </c>
      <c r="U863" t="n">
        <v>0.0034</v>
      </c>
      <c r="V863" t="inlineStr">
        <is>
          <t>.</t>
        </is>
      </c>
      <c r="W863" t="inlineStr">
        <is>
          <t>.</t>
        </is>
      </c>
      <c r="X863" t="inlineStr">
        <is>
          <t>.</t>
        </is>
      </c>
      <c r="Y863" t="inlineStr">
        <is>
          <t>.</t>
        </is>
      </c>
      <c r="Z863" t="inlineStr">
        <is>
          <t>.</t>
        </is>
      </c>
      <c r="AA863" t="inlineStr">
        <is>
          <t>Likely benign</t>
        </is>
      </c>
      <c r="AB863" t="inlineStr">
        <is>
          <t>Benign/Likely_benign</t>
        </is>
      </c>
      <c r="AC863" t="inlineStr">
        <is>
          <t>0/1</t>
        </is>
      </c>
      <c r="AD863" t="inlineStr">
        <is>
          <t>1</t>
        </is>
      </c>
      <c r="AE863" t="inlineStr">
        <is>
          <t>0.999999927739402</t>
        </is>
      </c>
      <c r="AF863" t="inlineStr">
        <is>
          <t>adenomatous polyposis coli</t>
        </is>
      </c>
      <c r="AG863" t="inlineStr">
        <is>
          <t xml:space="preserve">FUNCTION: Tumor suppressor. Promotes rapid degradation of CTNNB1 and participates in Wnt signaling as a negative regulator. APC activity is correlated with its phosphorylation state. Activates the GEF activity of SPATA13 and ARHGEF4. Plays a role in hepatocyte growth factor (HGF)-induced cell migration. Required for MMP9 up-regulation via the JNK signaling pathway in colorectal tumor cells. Acts as a mediator of ERBB2-dependent stabilization of microtubules at the cell cortex. It is required for the localization of MACF1 to the cell membrane and this localization of MACF1 is critical for its function in microtubule stabilization. {ECO:0000269|PubMed:10947987, ECO:0000269|PubMed:17599059, ECO:0000269|PubMed:19151759, ECO:0000269|PubMed:19893577, ECO:0000269|PubMed:20937854}.; </t>
        </is>
      </c>
      <c r="AH863" t="inlineStr">
        <is>
          <t xml:space="preserve">DISEASE: Familial adenomatous polyposis (FAP) [MIM:175100]: A cancer predisposition syndrome characterized by adenomatous polyps of the colon and rectum, but also of upper gastrointestinal tract (ampullary, duodenal and gastric adenomas). This is a viciously premalignant disease with one or more polyps progressing through dysplasia to malignancy in untreated gene carriers with a median age at diagnosis of 40 years. {ECO:0000269|PubMed:10470088, ECO:0000269|PubMed:1338691, ECO:0000269|PubMed:1338764, ECO:0000269|PubMed:1338904, ECO:0000269|PubMed:1651563, ECO:0000269|PubMed:7833149, ECO:0000269|PubMed:7833931, ECO:0000269|PubMed:8990002}. Note=The disease is caused by mutations affecting the gene represented in this entry.; DISEASE: Hereditary desmoid disease (HDD) [MIM:135290]: Autosomal dominant trait with 100% penetrance and possible variable expression among affected relatives. HDD patients show multifocal fibromatosis of the paraspinal muscles, breast, occiput, arms, lower ribs, abdominal wall, and mesentery. Desmoid tumors appears also as a complication of familial adenomatous polyposis. {ECO:0000269|PubMed:10782927, ECO:0000269|PubMed:8940264}. Note=The disease is caused by mutations affecting the gene represented in this entry.; DISEASE: Medulloblastoma (MDB) [MIM:155255]: Malignant, invasive embryonal tumor of the cerebellum with a preferential manifestation in children. {ECO:0000269|PubMed:10666372}. Note=The gene represented in this entry may be involved in disease pathogenesis.; DISEASE: Mismatch repair cancer syndrome (MMRCS) [MIM:276300]: An autosomal recessive, rare, childhood cancer predisposition syndrome encompassing a broad tumor spectrum. This includes hematological malignancies, central nervous system tumors, Lynch syndrome-associated malignancies such as colorectal tumors as well as multiple intestinal polyps, embryonic tumors and rhabdomyosarcoma. Multiple cafe-au-lait macules, a feature reminiscent of neurofibromatosis type 1, are often found as first manifestation of the underlying cancer. Areas of skin hypopigmentation have also been reported in MMRCS patients. {ECO:0000269|PubMed:7661930}. Note=The gene represented in this entry may be involved in disease pathogenesis.; DISEASE: Gastric cancer (GASC) [MIM:613659]: A malignant disease which starts in the stomach, can spread to the esophagus or the small intestine, and can extend through the stomach wall to nearby lymph nodes and organs. It also can metastasize to other parts of the body. The term gastric cancer or gastric carcinoma refers to adenocarcinoma of the stomach that accounts for most of all gastric malignant tumors. Two main histologic types are recognized, diffuse type and intestinal type carcinomas. Diffuse tumors are poorly differentiated infiltrating lesions, resulting in thickening of the stomach. In contrast, intestinal tumors are usually exophytic, often ulcerating, and associated with intestinal metaplasia of the stomach, most often observed in sporadic disease. Note=The gene represented in this entry may be involved in disease pathogenesis.; DISEASE: Hepatocellular carcinoma (HCC) [MIM:114550]: A primary malignant neoplasm of epithelial liver cells. The major risk factors for HCC are chronic hepatitis B virus (HBV) infection, chronic hepatitis C virus (HCV) infection, prolonged dietary aflatoxin exposure, alcoholic cirrhosis, and cirrhosis due to other causes. Note=The gene represented in this entry may be involved in disease pathogenesis.; </t>
        </is>
      </c>
      <c r="AI863" t="inlineStr">
        <is>
          <t>.</t>
        </is>
      </c>
      <c r="AJ863" t="inlineStr">
        <is>
          <t>.</t>
        </is>
      </c>
      <c r="AK863" t="inlineStr">
        <is>
          <t>.</t>
        </is>
      </c>
      <c r="AL863" t="inlineStr">
        <is>
          <t>.</t>
        </is>
      </c>
    </row>
    <row r="864">
      <c r="A864" t="inlineStr"/>
      <c r="B864">
        <f>HYPERLINK("https://genome.ucsc.edu/cgi-bin/hgTracks?db=hg19&amp;position=chr5%3A123980164%2D123980164", "chr5:123980164")</f>
        <v/>
      </c>
      <c r="C864" t="inlineStr">
        <is>
          <t>chr5</t>
        </is>
      </c>
      <c r="D864" t="n">
        <v>123980164</v>
      </c>
      <c r="E864" t="n">
        <v>123980164</v>
      </c>
      <c r="F864" t="inlineStr">
        <is>
          <t>T</t>
        </is>
      </c>
      <c r="G864" t="inlineStr">
        <is>
          <t>C</t>
        </is>
      </c>
      <c r="H864" t="inlineStr">
        <is>
          <t>569.64</t>
        </is>
      </c>
      <c r="I864" t="inlineStr">
        <is>
          <t>100</t>
        </is>
      </c>
      <c r="J864" t="inlineStr">
        <is>
          <t>72,28</t>
        </is>
      </c>
      <c r="K864" t="inlineStr">
        <is>
          <t>.</t>
        </is>
      </c>
      <c r="L864">
        <f>HYPERLINK("https://www.ncbi.nlm.nih.gov/snp/rs113873110", "rs113873110")</f>
        <v/>
      </c>
      <c r="M864">
        <f>HYPERLINK("https://www.genecards.org/Search/Keyword?queryString=%5Baliases%5D(%20ZNF608%20)&amp;keywords=ZNF608", "ZNF608")</f>
        <v/>
      </c>
      <c r="N864" t="inlineStr">
        <is>
          <t>exonic</t>
        </is>
      </c>
      <c r="O864" t="inlineStr">
        <is>
          <t>nonsynonymous SNV</t>
        </is>
      </c>
      <c r="P864" t="inlineStr">
        <is>
          <t>ZNF608:NM_001385621:exon5:c.A3032G:p.K1011R,ZNF608:NM_001385619:exon6:c.A3896G:p.K1299R,ZNF608:NM_001385620:exon6:c.A3896G:p.K1299R,ZNF608:NM_020747:exon6:c.A3896G:p.K1299R;ZNF608:uc003ktq.1:exon5:c.A3896G:p.K1299R;ZNF608:ENST00000306315.9_5:exon5:c.A3896G:p.K1299R,ZNF608:ENST00000504926.5_5:exon5:c.A2615G:p.K872R,ZNF608:ENST00000513986.2_5:exon6:c.A3896G:p.K1299R</t>
        </is>
      </c>
      <c r="Q864" t="n">
        <v>0.0106</v>
      </c>
      <c r="R864" t="n">
        <v>0.0106</v>
      </c>
      <c r="S864" t="n">
        <v>0.0102</v>
      </c>
      <c r="T864" t="n">
        <v>-1</v>
      </c>
      <c r="U864" t="n">
        <v>0.0109</v>
      </c>
      <c r="V864" t="inlineStr">
        <is>
          <t>4/10</t>
        </is>
      </c>
      <c r="W864" t="inlineStr">
        <is>
          <t>.</t>
        </is>
      </c>
      <c r="X864" t="inlineStr">
        <is>
          <t>.</t>
        </is>
      </c>
      <c r="Y864" t="inlineStr">
        <is>
          <t>.</t>
        </is>
      </c>
      <c r="Z864" t="inlineStr">
        <is>
          <t>3/7</t>
        </is>
      </c>
      <c r="AA864" t="inlineStr">
        <is>
          <t>Uncertain significance</t>
        </is>
      </c>
      <c r="AB864" t="inlineStr">
        <is>
          <t>.</t>
        </is>
      </c>
      <c r="AC864" t="inlineStr">
        <is>
          <t>0/1</t>
        </is>
      </c>
      <c r="AD864" t="inlineStr">
        <is>
          <t>1</t>
        </is>
      </c>
      <c r="AE864" t="inlineStr">
        <is>
          <t>0.999968158467997</t>
        </is>
      </c>
      <c r="AF864" t="inlineStr">
        <is>
          <t>zinc finger protein 608</t>
        </is>
      </c>
      <c r="AG864" t="inlineStr">
        <is>
          <t>.</t>
        </is>
      </c>
      <c r="AH864" t="inlineStr">
        <is>
          <t>.</t>
        </is>
      </c>
      <c r="AI864" t="inlineStr">
        <is>
          <t>.</t>
        </is>
      </c>
      <c r="AJ864" t="inlineStr">
        <is>
          <t>.</t>
        </is>
      </c>
      <c r="AK864" t="inlineStr">
        <is>
          <t>.</t>
        </is>
      </c>
      <c r="AL864" t="inlineStr">
        <is>
          <t>.</t>
        </is>
      </c>
    </row>
    <row r="865">
      <c r="A865" t="inlineStr"/>
      <c r="B865">
        <f>HYPERLINK("https://genome.ucsc.edu/cgi-bin/hgTracks?db=hg19&amp;position=chr5%3A131819492%2D131819492", "chr5:131819492")</f>
        <v/>
      </c>
      <c r="C865" t="inlineStr">
        <is>
          <t>chr5</t>
        </is>
      </c>
      <c r="D865" t="n">
        <v>131819492</v>
      </c>
      <c r="E865" t="n">
        <v>131819492</v>
      </c>
      <c r="F865" t="inlineStr">
        <is>
          <t>A</t>
        </is>
      </c>
      <c r="G865" t="inlineStr">
        <is>
          <t>G</t>
        </is>
      </c>
      <c r="H865" t="inlineStr">
        <is>
          <t>45.64</t>
        </is>
      </c>
      <c r="I865" t="inlineStr">
        <is>
          <t>6</t>
        </is>
      </c>
      <c r="J865" t="inlineStr">
        <is>
          <t>4,2</t>
        </is>
      </c>
      <c r="K865" t="inlineStr">
        <is>
          <t>.</t>
        </is>
      </c>
      <c r="L865">
        <f>HYPERLINK("https://www.ncbi.nlm.nih.gov/snp/rs190321767", "rs190321767")</f>
        <v/>
      </c>
      <c r="M865">
        <f>HYPERLINK("https://www.genecards.org/Search/Keyword?queryString=%5Baliases%5D(%20IRF1%20)&amp;keywords=IRF1", "IRF1")</f>
        <v/>
      </c>
      <c r="N865" t="inlineStr">
        <is>
          <t>UTR3;ncRNA_intronic</t>
        </is>
      </c>
      <c r="O865" t="inlineStr">
        <is>
          <t>.</t>
        </is>
      </c>
      <c r="P865" t="inlineStr">
        <is>
          <t>NM_001354925:c.*151T&gt;C;NM_002198:c.*151T&gt;C;NM_001354924:c.*151T&gt;C;uc003kxa.2:c.*151T&gt;C;uc003kxb.2:c.*151T&gt;C</t>
        </is>
      </c>
      <c r="Q865" t="n">
        <v>0.0071</v>
      </c>
      <c r="R865" t="n">
        <v>0.0074</v>
      </c>
      <c r="S865" t="n">
        <v>0.0039</v>
      </c>
      <c r="T865" t="n">
        <v>-1</v>
      </c>
      <c r="U865" t="n">
        <v>0.0063</v>
      </c>
      <c r="V865" t="inlineStr">
        <is>
          <t>.</t>
        </is>
      </c>
      <c r="W865" t="inlineStr">
        <is>
          <t>.</t>
        </is>
      </c>
      <c r="X865" t="inlineStr">
        <is>
          <t>.</t>
        </is>
      </c>
      <c r="Y865" t="inlineStr">
        <is>
          <t>.</t>
        </is>
      </c>
      <c r="Z865" t="inlineStr">
        <is>
          <t>.</t>
        </is>
      </c>
      <c r="AA865" t="inlineStr">
        <is>
          <t>.</t>
        </is>
      </c>
      <c r="AB865" t="inlineStr">
        <is>
          <t>.</t>
        </is>
      </c>
      <c r="AC865" t="inlineStr">
        <is>
          <t>0/1</t>
        </is>
      </c>
      <c r="AD865" t="inlineStr">
        <is>
          <t>2</t>
        </is>
      </c>
      <c r="AE865" t="inlineStr">
        <is>
          <t>0.867788618113854</t>
        </is>
      </c>
      <c r="AF865" t="inlineStr">
        <is>
          <t>interferon regulatory factor 1</t>
        </is>
      </c>
      <c r="AG865" t="inlineStr">
        <is>
          <t xml:space="preserve">FUNCTION: Transcriptional regulator which displays a remarkable functional diversity in the regulation of cellular responses. These include the regulation of IFN and IFN-inducible genes, host response to viral and bacterial infections, regulation of many genes expressed during hematopoiesis, inflammation, immune responses and cell proliferation and differentiation, regulation of the cell cycle and induction of growth arrest and programmed cell death following DNA damage. Stimulates both innate and acquired immune responses through the activation of specific target genes and can act as a transcriptional activator and repressor regulating target genes by binding to an interferon- stimulated response element (ISRE) in their promoters. Its target genes for transcriptional activation activity include: genes involved in anti-viral response, such as IFN-alpha/beta, DDX58/RIG-I, TNFSF10/TRAIL, OAS1/2, PIAS1/GBP, EIF2AK2/PKR and RSAD2/viperin; antibacterial response, such as NOS2/INOS; anti- proliferative response, such as p53/TP53, LOX and CDKN1A; apoptosis, such as BBC3/PUMA, CASP1, CASP7 and CASP8; immune response, such as IL7, IL12A/B and IL15, PTGS2/COX2 and CYBB; DNA damage responses and DNA repair, such as POLQ/POLH; MHC class I expression, such as TAP1, PSMB9/LMP2, PSME1/PA28A, PSME2/PA28B and B2M and MHC class II expression, such as CIITA. Represses genes involved in anti-proliferative response, such as BIRC5/survivin, CCNB1, CCNE1, CDK1, CDK2 and CDK4 and in immune response, such as FOXP3, IL4, ANXA2 and TLR4. Stimulates p53/TP53-dependent transcription through enhanced recruitment of EP300 leading to increased acetylation of p53/TP53. Plays an important role in immune response directly affecting NK maturation and activity, macrophage production of IL12, Th1 development and maturation of CD8+ T-cells. Also implicated in the differentiation and maturation of dendritic cells and in the suppression of regulatory T (Treg) cells development. Acts as a tumor suppressor and plays a role not only in antagonism of tumor cell growth but also in stimulating an immune response against tumor cells. {ECO:0000269|PubMed:15226432, ECO:0000269|PubMed:15509808, ECO:0000269|PubMed:17516545, ECO:0000269|PubMed:17942705, ECO:0000269|PubMed:18084608, ECO:0000269|PubMed:18497060, ECO:0000269|PubMed:18641303, ECO:0000269|PubMed:19404407, ECO:0000269|PubMed:19851330, ECO:0000269|PubMed:21389130, ECO:0000269|PubMed:22200613, ECO:0000269|PubMed:22367195}.; </t>
        </is>
      </c>
      <c r="AH865" t="inlineStr">
        <is>
          <t xml:space="preserve">DISEASE: Gastric cancer (GASC) [MIM:613659]: A malignant disease which starts in the stomach, can spread to the esophagus or the small intestine, and can extend through the stomach wall to nearby lymph nodes and organs. It also can metastasize to other parts of the body. The term gastric cancer or gastric carcinoma refers to adenocarcinoma of the stomach that accounts for most of all gastric malignant tumors. Two main histologic types are recognized, diffuse type and intestinal type carcinomas. Diffuse tumors are poorly differentiated infiltrating lesions, resulting in thickening of the stomach. In contrast, intestinal tumors are usually exophytic, often ulcerating, and associated with intestinal metaplasia of the stomach, most often observed in sporadic disease. {ECO:0000269|PubMed:10395927, ECO:0000269|PubMed:9679752}. Note=Disease susceptibility is associated with variations affecting the gene represented in this entry.; </t>
        </is>
      </c>
      <c r="AI865" t="inlineStr">
        <is>
          <t>.</t>
        </is>
      </c>
      <c r="AJ865" t="inlineStr">
        <is>
          <t>.</t>
        </is>
      </c>
      <c r="AK865" t="inlineStr">
        <is>
          <t>.</t>
        </is>
      </c>
      <c r="AL865" t="inlineStr">
        <is>
          <t>.</t>
        </is>
      </c>
    </row>
    <row r="866">
      <c r="A866" t="inlineStr"/>
      <c r="B866">
        <f>HYPERLINK("https://genome.ucsc.edu/cgi-bin/hgTracks?db=hg19&amp;position=chr5%3A131821522%2D131821522", "chr5:131821522")</f>
        <v/>
      </c>
      <c r="C866" t="inlineStr">
        <is>
          <t>chr5</t>
        </is>
      </c>
      <c r="D866" t="n">
        <v>131821522</v>
      </c>
      <c r="E866" t="n">
        <v>131821522</v>
      </c>
      <c r="F866" t="inlineStr">
        <is>
          <t>-</t>
        </is>
      </c>
      <c r="G866" t="inlineStr">
        <is>
          <t>AC</t>
        </is>
      </c>
      <c r="H866" t="inlineStr">
        <is>
          <t>319.02</t>
        </is>
      </c>
      <c r="I866" t="inlineStr">
        <is>
          <t>11</t>
        </is>
      </c>
      <c r="J866" t="inlineStr">
        <is>
          <t>0,2,9</t>
        </is>
      </c>
      <c r="K866" t="inlineStr">
        <is>
          <t>.</t>
        </is>
      </c>
      <c r="L866" t="inlineStr">
        <is>
          <t>.</t>
        </is>
      </c>
      <c r="M866">
        <f>HYPERLINK("https://www.genecards.org/Search/Keyword?queryString=%5Baliases%5D(%20C5orf56%20)%20OR%20%5Baliases%5D(%20IRF1%20)&amp;keywords=C5orf56,IRF1", "C5orf56;IRF1")</f>
        <v/>
      </c>
      <c r="N866" t="inlineStr">
        <is>
          <t>intronic;ncRNA_intronic</t>
        </is>
      </c>
      <c r="O866" t="inlineStr">
        <is>
          <t>.</t>
        </is>
      </c>
      <c r="P866" t="inlineStr">
        <is>
          <t>.</t>
        </is>
      </c>
      <c r="Q866" t="n">
        <v>-1</v>
      </c>
      <c r="R866" t="n">
        <v>-1</v>
      </c>
      <c r="S866" t="n">
        <v>-1</v>
      </c>
      <c r="T866" t="n">
        <v>-1</v>
      </c>
      <c r="U866" t="n">
        <v>-1</v>
      </c>
      <c r="V866" t="inlineStr">
        <is>
          <t>.</t>
        </is>
      </c>
      <c r="W866" t="inlineStr">
        <is>
          <t>.</t>
        </is>
      </c>
      <c r="X866" t="inlineStr">
        <is>
          <t>.</t>
        </is>
      </c>
      <c r="Y866" t="inlineStr">
        <is>
          <t>.</t>
        </is>
      </c>
      <c r="Z866" t="inlineStr">
        <is>
          <t>.</t>
        </is>
      </c>
      <c r="AA866" t="inlineStr">
        <is>
          <t>.</t>
        </is>
      </c>
      <c r="AB866" t="inlineStr">
        <is>
          <t>.</t>
        </is>
      </c>
      <c r="AC866" t="inlineStr">
        <is>
          <t>1/2</t>
        </is>
      </c>
      <c r="AD866" t="inlineStr">
        <is>
          <t>1;2</t>
        </is>
      </c>
      <c r="AE866" t="inlineStr">
        <is>
          <t>0.107649237505837;0.867788618113854</t>
        </is>
      </c>
      <c r="AF866" t="inlineStr">
        <is>
          <t>chromosome 5 open reading frame 56;interferon regulatory factor 1</t>
        </is>
      </c>
      <c r="AG866" t="inlineStr">
        <is>
          <t xml:space="preserve">FUNCTION: Transcriptional regulator which displays a remarkable functional diversity in the regulation of cellular responses. These include the regulation of IFN and IFN-inducible genes, host response to viral and bacterial infections, regulation of many genes expressed during hematopoiesis, inflammation, immune responses and cell proliferation and differentiation, regulation of the cell cycle and induction of growth arrest and programmed cell death following DNA damage. Stimulates both innate and acquired immune responses through the activation of specific target genes and can act as a transcriptional activator and repressor regulating target genes by binding to an interferon- stimulated response element (ISRE) in their promoters. Its target genes for transcriptional activation activity include: genes involved in anti-viral response, such as IFN-alpha/beta, DDX58/RIG-I, TNFSF10/TRAIL, OAS1/2, PIAS1/GBP, EIF2AK2/PKR and RSAD2/viperin; antibacterial response, such as NOS2/INOS; anti- proliferative response, such as p53/TP53, LOX and CDKN1A; apoptosis, such as BBC3/PUMA, CASP1, CASP7 and CASP8; immune response, such as IL7, IL12A/B and IL15, PTGS2/COX2 and CYBB; DNA damage responses and DNA repair, such as POLQ/POLH; MHC class I expression, such as TAP1, PSMB9/LMP2, PSME1/PA28A, PSME2/PA28B and B2M and MHC class II expression, such as CIITA. Represses genes involved in anti-proliferative response, such as BIRC5/survivin, CCNB1, CCNE1, CDK1, CDK2 and CDK4 and in immune response, such as FOXP3, IL4, ANXA2 and TLR4. Stimulates p53/TP53-dependent transcription through enhanced recruitment of EP300 leading to increased acetylation of p53/TP53. Plays an important role in immune response directly affecting NK maturation and activity, macrophage production of IL12, Th1 development and maturation of CD8+ T-cells. Also implicated in the differentiation and maturation of dendritic cells and in the suppression of regulatory T (Treg) cells development. Acts as a tumor suppressor and plays a role not only in antagonism of tumor cell growth but also in stimulating an immune response against tumor cells. {ECO:0000269|PubMed:15226432, ECO:0000269|PubMed:15509808, ECO:0000269|PubMed:17516545, ECO:0000269|PubMed:17942705, ECO:0000269|PubMed:18084608, ECO:0000269|PubMed:18497060, ECO:0000269|PubMed:18641303, ECO:0000269|PubMed:19404407, ECO:0000269|PubMed:19851330, ECO:0000269|PubMed:21389130, ECO:0000269|PubMed:22200613, ECO:0000269|PubMed:22367195}.; </t>
        </is>
      </c>
      <c r="AH866" t="inlineStr">
        <is>
          <t xml:space="preserve">DISEASE: Gastric cancer (GASC) [MIM:613659]: A malignant disease which starts in the stomach, can spread to the esophagus or the small intestine, and can extend through the stomach wall to nearby lymph nodes and organs. It also can metastasize to other parts of the body. The term gastric cancer or gastric carcinoma refers to adenocarcinoma of the stomach that accounts for most of all gastric malignant tumors. Two main histologic types are recognized, diffuse type and intestinal type carcinomas. Diffuse tumors are poorly differentiated infiltrating lesions, resulting in thickening of the stomach. In contrast, intestinal tumors are usually exophytic, often ulcerating, and associated with intestinal metaplasia of the stomach, most often observed in sporadic disease. {ECO:0000269|PubMed:10395927, ECO:0000269|PubMed:9679752}. Note=Disease susceptibility is associated with variations affecting the gene represented in this entry.; </t>
        </is>
      </c>
      <c r="AI866" t="inlineStr">
        <is>
          <t>.</t>
        </is>
      </c>
      <c r="AJ866" t="inlineStr">
        <is>
          <t>.</t>
        </is>
      </c>
      <c r="AK866" t="inlineStr">
        <is>
          <t>.</t>
        </is>
      </c>
      <c r="AL866" t="inlineStr">
        <is>
          <t>.</t>
        </is>
      </c>
    </row>
    <row r="867">
      <c r="A867" t="inlineStr"/>
      <c r="B867">
        <f>HYPERLINK("https://genome.ucsc.edu/cgi-bin/hgTracks?db=hg19&amp;position=chr5%3A137735578%2D137735578", "chr5:137735578")</f>
        <v/>
      </c>
      <c r="C867" t="inlineStr">
        <is>
          <t>chr5</t>
        </is>
      </c>
      <c r="D867" t="n">
        <v>137735578</v>
      </c>
      <c r="E867" t="n">
        <v>137735578</v>
      </c>
      <c r="F867" t="inlineStr">
        <is>
          <t>G</t>
        </is>
      </c>
      <c r="G867" t="inlineStr">
        <is>
          <t>T</t>
        </is>
      </c>
      <c r="H867" t="inlineStr">
        <is>
          <t>915.64</t>
        </is>
      </c>
      <c r="I867" t="inlineStr">
        <is>
          <t>125</t>
        </is>
      </c>
      <c r="J867" t="inlineStr">
        <is>
          <t>83,42</t>
        </is>
      </c>
      <c r="K867" t="inlineStr">
        <is>
          <t>.</t>
        </is>
      </c>
      <c r="L867" t="inlineStr">
        <is>
          <t>.</t>
        </is>
      </c>
      <c r="M867">
        <f>HYPERLINK("https://www.genecards.org/Search/Keyword?queryString=%5Baliases%5D(%20KDM3B%20)&amp;keywords=KDM3B", "KDM3B")</f>
        <v/>
      </c>
      <c r="N867" t="inlineStr">
        <is>
          <t>exonic</t>
        </is>
      </c>
      <c r="O867" t="inlineStr">
        <is>
          <t>nonsynonymous SNV</t>
        </is>
      </c>
      <c r="P867" t="inlineStr">
        <is>
          <t>KDM3B:NM_016604:exon11:c.G3076T:p.G1026C;KDM3B:uc011cys.1:exon4:c.G172T:p.G58C,KDM3B:uc003lcy.1:exon11:c.G3076T:p.G1026C,KDM3B:uc010jew.1:exon11:c.G2044T:p.G682C;KDM3B:ENST00000542866.2_3:exon4:c.G70T:p.G24C,KDM3B:ENST00000314358.10_5:exon11:c.G3076T:p.G1026C</t>
        </is>
      </c>
      <c r="Q867" t="n">
        <v>-1</v>
      </c>
      <c r="R867" t="n">
        <v>-1</v>
      </c>
      <c r="S867" t="n">
        <v>-1</v>
      </c>
      <c r="T867" t="n">
        <v>-1</v>
      </c>
      <c r="U867" t="n">
        <v>-1</v>
      </c>
      <c r="V867" t="inlineStr">
        <is>
          <t>9/12</t>
        </is>
      </c>
      <c r="W867" t="inlineStr">
        <is>
          <t>.</t>
        </is>
      </c>
      <c r="X867" t="inlineStr">
        <is>
          <t>.</t>
        </is>
      </c>
      <c r="Y867" t="inlineStr">
        <is>
          <t>.</t>
        </is>
      </c>
      <c r="Z867" t="inlineStr">
        <is>
          <t>5/7</t>
        </is>
      </c>
      <c r="AA867" t="inlineStr">
        <is>
          <t>Uncertain significance</t>
        </is>
      </c>
      <c r="AB867" t="inlineStr">
        <is>
          <t>.</t>
        </is>
      </c>
      <c r="AC867" t="inlineStr">
        <is>
          <t>0/1</t>
        </is>
      </c>
      <c r="AD867" t="inlineStr">
        <is>
          <t>1</t>
        </is>
      </c>
      <c r="AE867" t="inlineStr">
        <is>
          <t>0.999999999078234</t>
        </is>
      </c>
      <c r="AF867" t="inlineStr">
        <is>
          <t>lysine demethylase 3B</t>
        </is>
      </c>
      <c r="AG867" t="inlineStr">
        <is>
          <t xml:space="preserve">FUNCTION: Histone demethylase that specifically demethylates 'Lys- 9' of histone H3, thereby playing a central role in histone code. Demethylation of Lys residue generates formaldehyde and succinate. May have tumor suppressor activity. {ECO:0000269|PubMed:16603237}.; </t>
        </is>
      </c>
      <c r="AH867" t="inlineStr">
        <is>
          <t>.</t>
        </is>
      </c>
      <c r="AI867" t="inlineStr">
        <is>
          <t>.</t>
        </is>
      </c>
      <c r="AJ867" t="inlineStr">
        <is>
          <t>.</t>
        </is>
      </c>
      <c r="AK867" t="inlineStr">
        <is>
          <t>.</t>
        </is>
      </c>
      <c r="AL867" t="inlineStr">
        <is>
          <t>.</t>
        </is>
      </c>
    </row>
    <row r="868">
      <c r="A868" t="inlineStr"/>
      <c r="B868">
        <f>HYPERLINK("https://genome.ucsc.edu/cgi-bin/hgTracks?db=hg19&amp;position=chr5%3A139744390%2D139744390", "chr5:139744390")</f>
        <v/>
      </c>
      <c r="C868" t="inlineStr">
        <is>
          <t>chr5</t>
        </is>
      </c>
      <c r="D868" t="n">
        <v>139744390</v>
      </c>
      <c r="E868" t="n">
        <v>139744390</v>
      </c>
      <c r="F868" t="inlineStr">
        <is>
          <t>T</t>
        </is>
      </c>
      <c r="G868" t="inlineStr">
        <is>
          <t>A</t>
        </is>
      </c>
      <c r="H868" t="inlineStr">
        <is>
          <t>434.10</t>
        </is>
      </c>
      <c r="I868" t="inlineStr">
        <is>
          <t>14</t>
        </is>
      </c>
      <c r="J868" t="inlineStr">
        <is>
          <t>0,2,12</t>
        </is>
      </c>
      <c r="K868" t="inlineStr">
        <is>
          <t>.</t>
        </is>
      </c>
      <c r="L868" t="inlineStr">
        <is>
          <t>.</t>
        </is>
      </c>
      <c r="M868">
        <f>HYPERLINK("https://www.genecards.org/Search/Keyword?queryString=%5Baliases%5D(%20SLC4A9%20)&amp;keywords=SLC4A9", "SLC4A9")</f>
        <v/>
      </c>
      <c r="N868" t="inlineStr">
        <is>
          <t>intronic</t>
        </is>
      </c>
      <c r="O868" t="inlineStr">
        <is>
          <t>.</t>
        </is>
      </c>
      <c r="P868" t="inlineStr">
        <is>
          <t>.</t>
        </is>
      </c>
      <c r="Q868" t="n">
        <v>-1</v>
      </c>
      <c r="R868" t="n">
        <v>-1</v>
      </c>
      <c r="S868" t="n">
        <v>-1</v>
      </c>
      <c r="T868" t="n">
        <v>-1</v>
      </c>
      <c r="U868" t="n">
        <v>-1</v>
      </c>
      <c r="V868" t="inlineStr">
        <is>
          <t>.</t>
        </is>
      </c>
      <c r="W868" t="inlineStr">
        <is>
          <t>.</t>
        </is>
      </c>
      <c r="X868" t="inlineStr">
        <is>
          <t>PD</t>
        </is>
      </c>
      <c r="Y868" t="inlineStr">
        <is>
          <t>off</t>
        </is>
      </c>
      <c r="Z868" t="inlineStr">
        <is>
          <t>.</t>
        </is>
      </c>
      <c r="AA868" t="inlineStr">
        <is>
          <t>.</t>
        </is>
      </c>
      <c r="AB868" t="inlineStr">
        <is>
          <t>.</t>
        </is>
      </c>
      <c r="AC868" t="inlineStr">
        <is>
          <t>1/2</t>
        </is>
      </c>
      <c r="AD868" t="inlineStr">
        <is>
          <t>1</t>
        </is>
      </c>
      <c r="AE868" t="inlineStr">
        <is>
          <t>5.6907011258673e-18</t>
        </is>
      </c>
      <c r="AF868" t="inlineStr">
        <is>
          <t>solute carrier family 4 member 9</t>
        </is>
      </c>
      <c r="AG868" t="inlineStr">
        <is>
          <t xml:space="preserve">FUNCTION: Probable apical anion exchanger of the kidney cortex. {ECO:0000250}.; </t>
        </is>
      </c>
      <c r="AH868" t="inlineStr">
        <is>
          <t>.</t>
        </is>
      </c>
      <c r="AI868" t="inlineStr">
        <is>
          <t>.</t>
        </is>
      </c>
      <c r="AJ868" t="inlineStr">
        <is>
          <t>.</t>
        </is>
      </c>
      <c r="AK868" t="inlineStr">
        <is>
          <t>.</t>
        </is>
      </c>
      <c r="AL868" t="inlineStr">
        <is>
          <t>.</t>
        </is>
      </c>
    </row>
    <row r="869">
      <c r="A869" t="inlineStr"/>
      <c r="B869">
        <f>HYPERLINK("https://genome.ucsc.edu/cgi-bin/hgTracks?db=hg19&amp;position=chr5%3A140077652%2D140077652", "chr5:140077652")</f>
        <v/>
      </c>
      <c r="C869" t="inlineStr">
        <is>
          <t>chr5</t>
        </is>
      </c>
      <c r="D869" t="n">
        <v>140077652</v>
      </c>
      <c r="E869" t="n">
        <v>140077652</v>
      </c>
      <c r="F869" t="inlineStr">
        <is>
          <t>A</t>
        </is>
      </c>
      <c r="G869" t="inlineStr">
        <is>
          <t>-</t>
        </is>
      </c>
      <c r="H869" t="inlineStr">
        <is>
          <t>1284.60</t>
        </is>
      </c>
      <c r="I869" t="inlineStr">
        <is>
          <t>109</t>
        </is>
      </c>
      <c r="J869" t="inlineStr">
        <is>
          <t>73,36</t>
        </is>
      </c>
      <c r="K869" t="inlineStr">
        <is>
          <t>.</t>
        </is>
      </c>
      <c r="L869">
        <f>HYPERLINK("https://www.ncbi.nlm.nih.gov/snp/rs747588135", "rs747588135")</f>
        <v/>
      </c>
      <c r="M869">
        <f>HYPERLINK("https://www.genecards.org/Search/Keyword?queryString=%5Baliases%5D(%20HARS2%20)&amp;keywords=HARS2", "HARS2")</f>
        <v/>
      </c>
      <c r="N869" t="inlineStr">
        <is>
          <t>exonic</t>
        </is>
      </c>
      <c r="O869" t="inlineStr">
        <is>
          <t>frameshift deletion</t>
        </is>
      </c>
      <c r="P869" t="inlineStr">
        <is>
          <t>HARS2:NM_001278732:exon10:c.1018delA:p.S340Afs*35,HARS2:NM_001278731:exon11:c.1375delA:p.S459Afs*35,HARS2:NM_012208:exon12:c.1450delA:p.S484Afs*35,HARS2:NM_001363535:exon13:c.1468delA:p.S490Afs*35,HARS2:NM_001363536:exon13:c.1240delA:p.S414Afs*35;HARS2:uc011czt.2:exon7:c.934delA:p.S312Afs*35,HARS2:uc011czu.2:exon7:c.928delA:p.S310Afs*35,HARS2:uc011czs.2:exon10:c.1018delA:p.S340Afs*35,HARS2:uc011czr.2:exon11:c.1375delA:p.S459Afs*35,HARS2:uc003lgx.3:exon12:c.1450delA:p.S484Afs*35;HARS2:ENST00000448069.2_1:exon7:c.934delA:p.S312Afs*35,HARS2:ENST00000503873.6_2:exon9:c.1129delA:p.S377Afs*35,HARS2:ENST00000508522.5_1:exon11:c.1375delA:p.S459Afs*35,HARS2:ENST00000642752.1_1:exon11:c.1351delA:p.S451Afs*35,HARS2:ENST00000230771.9_6:exon12:c.1450delA:p.S484Afs*35,HARS2:ENST00000642970.1_2:exon13:c.1240delA:p.S414Afs*35,HARS2:ENST00000643996.1_4:exon13:c.1240delA:p.S414Afs*35,HARS2:ENST00000645749.1_7:exon13:c.1450delA:p.S484Afs*35,HARS2:ENST00000645065.1_3:exon14:c.1468delA:p.S490Afs*35</t>
        </is>
      </c>
      <c r="Q869" t="n">
        <v>8.000000000000001e-05</v>
      </c>
      <c r="R869" t="n">
        <v>-1</v>
      </c>
      <c r="S869" t="n">
        <v>7.345e-05</v>
      </c>
      <c r="T869" t="n">
        <v>-1</v>
      </c>
      <c r="U869" t="n">
        <v>-1</v>
      </c>
      <c r="V869" t="inlineStr">
        <is>
          <t>.</t>
        </is>
      </c>
      <c r="W869" t="inlineStr">
        <is>
          <t>.</t>
        </is>
      </c>
      <c r="X869" t="inlineStr">
        <is>
          <t>.</t>
        </is>
      </c>
      <c r="Y869" t="inlineStr">
        <is>
          <t>.</t>
        </is>
      </c>
      <c r="Z869" t="inlineStr">
        <is>
          <t>.</t>
        </is>
      </c>
      <c r="AA869" t="inlineStr">
        <is>
          <t>.</t>
        </is>
      </c>
      <c r="AB869" t="inlineStr">
        <is>
          <t>.</t>
        </is>
      </c>
      <c r="AC869" t="inlineStr">
        <is>
          <t>.</t>
        </is>
      </c>
      <c r="AD869" t="inlineStr">
        <is>
          <t>2</t>
        </is>
      </c>
      <c r="AE869" t="inlineStr">
        <is>
          <t>8.12767561165649e-05</t>
        </is>
      </c>
      <c r="AF869" t="inlineStr">
        <is>
          <t>histidyl-tRNA synthetase 2, mitochondrial</t>
        </is>
      </c>
      <c r="AG869" t="inlineStr">
        <is>
          <t>.</t>
        </is>
      </c>
      <c r="AH869" t="inlineStr">
        <is>
          <t>.</t>
        </is>
      </c>
      <c r="AI869" t="inlineStr">
        <is>
          <t>.</t>
        </is>
      </c>
      <c r="AJ869" t="inlineStr">
        <is>
          <t>.</t>
        </is>
      </c>
      <c r="AK869" t="inlineStr">
        <is>
          <t>.</t>
        </is>
      </c>
      <c r="AL869" t="inlineStr">
        <is>
          <t>.</t>
        </is>
      </c>
    </row>
    <row r="870">
      <c r="A870" t="inlineStr"/>
      <c r="B870">
        <f>HYPERLINK("https://genome.ucsc.edu/cgi-bin/hgTracks?db=hg19&amp;position=chr5%3A140077653%2D140077653", "chr5:140077653")</f>
        <v/>
      </c>
      <c r="C870" t="inlineStr">
        <is>
          <t>chr5</t>
        </is>
      </c>
      <c r="D870" t="n">
        <v>140077653</v>
      </c>
      <c r="E870" t="n">
        <v>140077653</v>
      </c>
      <c r="F870" t="inlineStr">
        <is>
          <t>G</t>
        </is>
      </c>
      <c r="G870" t="inlineStr">
        <is>
          <t>C</t>
        </is>
      </c>
      <c r="H870" t="inlineStr">
        <is>
          <t>1284.64</t>
        </is>
      </c>
      <c r="I870" t="inlineStr">
        <is>
          <t>109</t>
        </is>
      </c>
      <c r="J870" t="inlineStr">
        <is>
          <t>73,36</t>
        </is>
      </c>
      <c r="K870" t="inlineStr">
        <is>
          <t>.</t>
        </is>
      </c>
      <c r="L870">
        <f>HYPERLINK("https://www.ncbi.nlm.nih.gov/snp/rs773108592", "rs773108592")</f>
        <v/>
      </c>
      <c r="M870">
        <f>HYPERLINK("https://www.genecards.org/Search/Keyword?queryString=%5Baliases%5D(%20HARS2%20)&amp;keywords=HARS2", "HARS2")</f>
        <v/>
      </c>
      <c r="N870" t="inlineStr">
        <is>
          <t>exonic</t>
        </is>
      </c>
      <c r="O870" t="inlineStr">
        <is>
          <t>nonsynonymous SNV</t>
        </is>
      </c>
      <c r="P870" t="inlineStr">
        <is>
          <t>HARS2:NM_001278732:exon10:c.G1019C:p.S340T,HARS2:NM_001278731:exon11:c.G1376C:p.S459T,HARS2:NM_012208:exon12:c.G1451C:p.S484T,HARS2:NM_001363535:exon13:c.G1469C:p.S490T,HARS2:NM_001363536:exon13:c.G1241C:p.S414T;HARS2:uc011czt.2:exon7:c.G935C:p.S312T,HARS2:uc011czu.2:exon7:c.G929C:p.S310T,HARS2:uc011czs.2:exon10:c.G1019C:p.S340T,HARS2:uc011czr.2:exon11:c.G1376C:p.S459T,HARS2:uc003lgx.3:exon12:c.G1451C:p.S484T;HARS2:ENST00000448069.2_1:exon7:c.G935C:p.S312T,HARS2:ENST00000503873.6_2:exon9:c.G1130C:p.S377T,HARS2:ENST00000508522.5_1:exon11:c.G1376C:p.S459T,HARS2:ENST00000642752.1_1:exon11:c.G1352C:p.S451T,HARS2:ENST00000230771.9_6:exon12:c.G1451C:p.S484T,HARS2:ENST00000642970.1_2:exon13:c.G1241C:p.S414T,HARS2:ENST00000643996.1_4:exon13:c.G1241C:p.S414T,HARS2:ENST00000645749.1_7:exon13:c.G1451C:p.S484T,HARS2:ENST00000645065.1_3:exon14:c.G1469C:p.S490T</t>
        </is>
      </c>
      <c r="Q870" t="n">
        <v>6.478999999999999e-05</v>
      </c>
      <c r="R870" t="n">
        <v>-1</v>
      </c>
      <c r="S870" t="n">
        <v>7.34e-05</v>
      </c>
      <c r="T870" t="n">
        <v>-1</v>
      </c>
      <c r="U870" t="n">
        <v>-1</v>
      </c>
      <c r="V870" t="inlineStr">
        <is>
          <t>3/12</t>
        </is>
      </c>
      <c r="W870" t="inlineStr">
        <is>
          <t>.</t>
        </is>
      </c>
      <c r="X870" t="inlineStr">
        <is>
          <t>.</t>
        </is>
      </c>
      <c r="Y870" t="inlineStr">
        <is>
          <t>.</t>
        </is>
      </c>
      <c r="Z870" t="inlineStr">
        <is>
          <t>3/7</t>
        </is>
      </c>
      <c r="AA870" t="inlineStr">
        <is>
          <t>Uncertain significance</t>
        </is>
      </c>
      <c r="AB870" t="inlineStr">
        <is>
          <t>.</t>
        </is>
      </c>
      <c r="AC870" t="inlineStr">
        <is>
          <t>.</t>
        </is>
      </c>
      <c r="AD870" t="inlineStr">
        <is>
          <t>2</t>
        </is>
      </c>
      <c r="AE870" t="inlineStr">
        <is>
          <t>8.12767561165649e-05</t>
        </is>
      </c>
      <c r="AF870" t="inlineStr">
        <is>
          <t>histidyl-tRNA synthetase 2, mitochondrial</t>
        </is>
      </c>
      <c r="AG870" t="inlineStr">
        <is>
          <t>.</t>
        </is>
      </c>
      <c r="AH870" t="inlineStr">
        <is>
          <t>.</t>
        </is>
      </c>
      <c r="AI870" t="inlineStr">
        <is>
          <t>.</t>
        </is>
      </c>
      <c r="AJ870" t="inlineStr">
        <is>
          <t>.</t>
        </is>
      </c>
      <c r="AK870" t="inlineStr">
        <is>
          <t>.</t>
        </is>
      </c>
      <c r="AL870" t="inlineStr">
        <is>
          <t>.</t>
        </is>
      </c>
    </row>
    <row r="871">
      <c r="A871" t="inlineStr"/>
      <c r="B871">
        <f>HYPERLINK("https://genome.ucsc.edu/cgi-bin/hgTracks?db=hg19&amp;position=chr5%3A140208433%2D140208433", "chr5:140208433")</f>
        <v/>
      </c>
      <c r="C871" t="inlineStr">
        <is>
          <t>chr5</t>
        </is>
      </c>
      <c r="D871" t="n">
        <v>140208433</v>
      </c>
      <c r="E871" t="n">
        <v>140208433</v>
      </c>
      <c r="F871" t="inlineStr">
        <is>
          <t>G</t>
        </is>
      </c>
      <c r="G871" t="inlineStr">
        <is>
          <t>T</t>
        </is>
      </c>
      <c r="H871" t="inlineStr">
        <is>
          <t>998.64</t>
        </is>
      </c>
      <c r="I871" t="inlineStr">
        <is>
          <t>137</t>
        </is>
      </c>
      <c r="J871" t="inlineStr">
        <is>
          <t>94,43</t>
        </is>
      </c>
      <c r="K871" t="inlineStr">
        <is>
          <t>.</t>
        </is>
      </c>
      <c r="L871" t="inlineStr">
        <is>
          <t>.</t>
        </is>
      </c>
      <c r="M871">
        <f>HYPERLINK("https://www.genecards.org/Search/Keyword?queryString=%5Baliases%5D(%20PCDHA6%20)&amp;keywords=PCDHA6", "PCDHA6")</f>
        <v/>
      </c>
      <c r="N871" t="inlineStr">
        <is>
          <t>exonic</t>
        </is>
      </c>
      <c r="O871" t="inlineStr">
        <is>
          <t>stopgain</t>
        </is>
      </c>
      <c r="P871" t="inlineStr">
        <is>
          <t>PCDHA6:NM_018909:exon1:c.G757T:p.E253X,PCDHA6:NM_031848:exon1:c.G757T:p.E253X,PCDHA6:NM_031849:exon1:c.G757T:p.E253X;PCDHA6:uc003lhn.2:exon1:c.G757T:p.E253X,PCDHA6:uc003lho.2:exon1:c.G757T:p.E253X,PCDHA6:uc011dab.2:exon1:c.G757T:p.E253X;PCDHA6:ENST00000527624.1:exon1:c.G757T:p.E253X,PCDHA6:ENST00000529310.1:exon1:c.G757T:p.E253X</t>
        </is>
      </c>
      <c r="Q871" t="n">
        <v>-1</v>
      </c>
      <c r="R871" t="n">
        <v>-1</v>
      </c>
      <c r="S871" t="n">
        <v>-1</v>
      </c>
      <c r="T871" t="n">
        <v>-1</v>
      </c>
      <c r="U871" t="n">
        <v>-1</v>
      </c>
      <c r="V871" t="inlineStr">
        <is>
          <t>2/2</t>
        </is>
      </c>
      <c r="W871" t="inlineStr">
        <is>
          <t>.</t>
        </is>
      </c>
      <c r="X871" t="inlineStr">
        <is>
          <t>.</t>
        </is>
      </c>
      <c r="Y871" t="inlineStr">
        <is>
          <t>.</t>
        </is>
      </c>
      <c r="Z871" t="inlineStr">
        <is>
          <t>3/7</t>
        </is>
      </c>
      <c r="AA871" t="inlineStr">
        <is>
          <t>Uncertain significance</t>
        </is>
      </c>
      <c r="AB871" t="inlineStr">
        <is>
          <t>.</t>
        </is>
      </c>
      <c r="AC871" t="inlineStr">
        <is>
          <t>0/1</t>
        </is>
      </c>
      <c r="AD871" t="inlineStr">
        <is>
          <t>1</t>
        </is>
      </c>
      <c r="AE871" t="inlineStr">
        <is>
          <t>6.16174888872113e-08</t>
        </is>
      </c>
      <c r="AF871" t="inlineStr">
        <is>
          <t>protocadherin alpha 6</t>
        </is>
      </c>
      <c r="AG871" t="inlineStr">
        <is>
          <t xml:space="preserve">FUNCTION: Potential calcium-dependent cell-adhesion protein. May be involved in the establishment and maintenance of specific neuronal connections in the brain.; </t>
        </is>
      </c>
      <c r="AH871" t="inlineStr">
        <is>
          <t>.</t>
        </is>
      </c>
      <c r="AI871" t="inlineStr">
        <is>
          <t>.</t>
        </is>
      </c>
      <c r="AJ871" t="inlineStr">
        <is>
          <t>.</t>
        </is>
      </c>
      <c r="AK871" t="inlineStr">
        <is>
          <t>cluster</t>
        </is>
      </c>
      <c r="AL871" t="inlineStr">
        <is>
          <t>NGS_HighStringency</t>
        </is>
      </c>
    </row>
    <row r="872">
      <c r="A872" t="inlineStr"/>
      <c r="B872">
        <f>HYPERLINK("https://genome.ucsc.edu/cgi-bin/hgTracks?db=hg19&amp;position=chr5%3A140347253%2D140347253", "chr5:140347253")</f>
        <v/>
      </c>
      <c r="C872" t="inlineStr">
        <is>
          <t>chr5</t>
        </is>
      </c>
      <c r="D872" t="n">
        <v>140347253</v>
      </c>
      <c r="E872" t="n">
        <v>140347253</v>
      </c>
      <c r="F872" t="inlineStr">
        <is>
          <t>C</t>
        </is>
      </c>
      <c r="G872" t="inlineStr">
        <is>
          <t>G</t>
        </is>
      </c>
      <c r="H872" t="inlineStr">
        <is>
          <t>975.64</t>
        </is>
      </c>
      <c r="I872" t="inlineStr">
        <is>
          <t>124</t>
        </is>
      </c>
      <c r="J872" t="inlineStr">
        <is>
          <t>81,43</t>
        </is>
      </c>
      <c r="K872" t="inlineStr">
        <is>
          <t>.</t>
        </is>
      </c>
      <c r="L872" t="inlineStr">
        <is>
          <t>.</t>
        </is>
      </c>
      <c r="M872">
        <f>HYPERLINK("https://www.genecards.org/Search/Keyword?queryString=%5Baliases%5D(%20PCDHAC2%20)&amp;keywords=PCDHAC2", "PCDHAC2")</f>
        <v/>
      </c>
      <c r="N872" t="inlineStr">
        <is>
          <t>exonic</t>
        </is>
      </c>
      <c r="O872" t="inlineStr">
        <is>
          <t>nonsynonymous SNV</t>
        </is>
      </c>
      <c r="P872" t="inlineStr">
        <is>
          <t>PCDHAC2:NM_018899:exon1:c.C902G:p.S301W,PCDHAC2:NM_031883:exon1:c.C902G:p.S301W;PCDHAC2:uc003lii.3:exon1:c.C902G:p.S301W,PCDHAC2:uc011dag.2:exon1:c.C902G:p.S301W;PCDHAC2:ENST00000289269.7_3:exon1:c.C902G:p.S301W,PCDHAC2:ENST00000615316.1_1:exon1:c.C902G:p.S301W</t>
        </is>
      </c>
      <c r="Q872" t="n">
        <v>-1</v>
      </c>
      <c r="R872" t="n">
        <v>-1</v>
      </c>
      <c r="S872" t="n">
        <v>-1</v>
      </c>
      <c r="T872" t="n">
        <v>-1</v>
      </c>
      <c r="U872" t="n">
        <v>-1</v>
      </c>
      <c r="V872" t="inlineStr">
        <is>
          <t>6/12</t>
        </is>
      </c>
      <c r="W872" t="inlineStr">
        <is>
          <t>.</t>
        </is>
      </c>
      <c r="X872" t="inlineStr">
        <is>
          <t>.</t>
        </is>
      </c>
      <c r="Y872" t="inlineStr">
        <is>
          <t>.</t>
        </is>
      </c>
      <c r="Z872" t="inlineStr">
        <is>
          <t>0/7</t>
        </is>
      </c>
      <c r="AA872" t="inlineStr">
        <is>
          <t>Uncertain significance</t>
        </is>
      </c>
      <c r="AB872" t="inlineStr">
        <is>
          <t>.</t>
        </is>
      </c>
      <c r="AC872" t="inlineStr">
        <is>
          <t>0/1</t>
        </is>
      </c>
      <c r="AD872" t="inlineStr">
        <is>
          <t>1</t>
        </is>
      </c>
      <c r="AE872" t="inlineStr">
        <is>
          <t>0.916966111870881</t>
        </is>
      </c>
      <c r="AF872" t="inlineStr">
        <is>
          <t>protocadherin alpha subfamily C, 2</t>
        </is>
      </c>
      <c r="AG872" t="inlineStr">
        <is>
          <t xml:space="preserve">FUNCTION: Potential calcium-dependent cell-adhesion protein. May be involved in the establishment and maintenance of specific neuronal connections in the brain.; </t>
        </is>
      </c>
      <c r="AH872" t="inlineStr">
        <is>
          <t>.</t>
        </is>
      </c>
      <c r="AI872" t="inlineStr">
        <is>
          <t>.</t>
        </is>
      </c>
      <c r="AJ872" t="inlineStr">
        <is>
          <t>.</t>
        </is>
      </c>
      <c r="AK872" t="inlineStr">
        <is>
          <t>cluster</t>
        </is>
      </c>
      <c r="AL872" t="inlineStr">
        <is>
          <t>.</t>
        </is>
      </c>
    </row>
    <row r="873">
      <c r="A873" t="inlineStr"/>
      <c r="B873">
        <f>HYPERLINK("https://genome.ucsc.edu/cgi-bin/hgTracks?db=hg19&amp;position=chr5%3A140431512%2D140431512", "chr5:140431512")</f>
        <v/>
      </c>
      <c r="C873" t="inlineStr">
        <is>
          <t>chr5</t>
        </is>
      </c>
      <c r="D873" t="n">
        <v>140431512</v>
      </c>
      <c r="E873" t="n">
        <v>140431512</v>
      </c>
      <c r="F873" t="inlineStr">
        <is>
          <t>C</t>
        </is>
      </c>
      <c r="G873" t="inlineStr">
        <is>
          <t>A</t>
        </is>
      </c>
      <c r="H873" t="inlineStr">
        <is>
          <t>948.64</t>
        </is>
      </c>
      <c r="I873" t="inlineStr">
        <is>
          <t>109</t>
        </is>
      </c>
      <c r="J873" t="inlineStr">
        <is>
          <t>65,44</t>
        </is>
      </c>
      <c r="K873" t="inlineStr">
        <is>
          <t>.</t>
        </is>
      </c>
      <c r="L873" t="inlineStr">
        <is>
          <t>.</t>
        </is>
      </c>
      <c r="M873">
        <f>HYPERLINK("https://www.genecards.org/Search/Keyword?queryString=%5Baliases%5D(%20PCDHB1%20)&amp;keywords=PCDHB1", "PCDHB1")</f>
        <v/>
      </c>
      <c r="N873" t="inlineStr">
        <is>
          <t>exonic</t>
        </is>
      </c>
      <c r="O873" t="inlineStr">
        <is>
          <t>nonsynonymous SNV</t>
        </is>
      </c>
      <c r="P873" t="inlineStr">
        <is>
          <t>PCDHB1:NM_013340:exon1:c.C457A:p.P153T;PCDHB1:uc003lik.1:exon1:c.C457A:p.P153T;PCDHB1:ENST00000306549.6_3:exon1:c.C457A:p.P153T</t>
        </is>
      </c>
      <c r="Q873" t="n">
        <v>-1</v>
      </c>
      <c r="R873" t="n">
        <v>-1</v>
      </c>
      <c r="S873" t="n">
        <v>-1</v>
      </c>
      <c r="T873" t="n">
        <v>-1</v>
      </c>
      <c r="U873" t="n">
        <v>-1</v>
      </c>
      <c r="V873" t="inlineStr">
        <is>
          <t>5/12</t>
        </is>
      </c>
      <c r="W873" t="inlineStr">
        <is>
          <t>.</t>
        </is>
      </c>
      <c r="X873" t="inlineStr">
        <is>
          <t>.</t>
        </is>
      </c>
      <c r="Y873" t="inlineStr">
        <is>
          <t>.</t>
        </is>
      </c>
      <c r="Z873" t="inlineStr">
        <is>
          <t>1/7</t>
        </is>
      </c>
      <c r="AA873" t="inlineStr">
        <is>
          <t>Uncertain significance</t>
        </is>
      </c>
      <c r="AB873" t="inlineStr">
        <is>
          <t>.</t>
        </is>
      </c>
      <c r="AC873" t="inlineStr">
        <is>
          <t>0/1</t>
        </is>
      </c>
      <c r="AD873" t="inlineStr">
        <is>
          <t>1</t>
        </is>
      </c>
      <c r="AE873" t="inlineStr">
        <is>
          <t>2.81493692972867e-08</t>
        </is>
      </c>
      <c r="AF873" t="inlineStr">
        <is>
          <t>protocadherin beta 1</t>
        </is>
      </c>
      <c r="AG873" t="inlineStr">
        <is>
          <t xml:space="preserve">FUNCTION: Potential calcium-dependent cell-adhesion protein. May be involved in the establishment and maintenance of specific neuronal connections in the brain.; </t>
        </is>
      </c>
      <c r="AH873" t="inlineStr">
        <is>
          <t>.</t>
        </is>
      </c>
      <c r="AI873" t="inlineStr">
        <is>
          <t>.</t>
        </is>
      </c>
      <c r="AJ873" t="inlineStr">
        <is>
          <t>.</t>
        </is>
      </c>
      <c r="AK873" t="inlineStr">
        <is>
          <t>cluster</t>
        </is>
      </c>
      <c r="AL873" t="inlineStr">
        <is>
          <t>.</t>
        </is>
      </c>
    </row>
    <row r="874">
      <c r="A874" t="inlineStr"/>
      <c r="B874">
        <f>HYPERLINK("https://genome.ucsc.edu/cgi-bin/hgTracks?db=hg19&amp;position=chr5%3A140594833%2D140594833", "chr5:140594833")</f>
        <v/>
      </c>
      <c r="C874" t="inlineStr">
        <is>
          <t>chr5</t>
        </is>
      </c>
      <c r="D874" t="n">
        <v>140594833</v>
      </c>
      <c r="E874" t="n">
        <v>140594833</v>
      </c>
      <c r="F874" t="inlineStr">
        <is>
          <t>G</t>
        </is>
      </c>
      <c r="G874" t="inlineStr">
        <is>
          <t>T</t>
        </is>
      </c>
      <c r="H874" t="inlineStr">
        <is>
          <t>981.64</t>
        </is>
      </c>
      <c r="I874" t="inlineStr">
        <is>
          <t>157</t>
        </is>
      </c>
      <c r="J874" t="inlineStr">
        <is>
          <t>105,52</t>
        </is>
      </c>
      <c r="K874" t="inlineStr">
        <is>
          <t>.</t>
        </is>
      </c>
      <c r="L874" t="inlineStr">
        <is>
          <t>.</t>
        </is>
      </c>
      <c r="M874">
        <f>HYPERLINK("https://www.genecards.org/Search/Keyword?queryString=%5Baliases%5D(%20PCDHB13%20)&amp;keywords=PCDHB13", "PCDHB13")</f>
        <v/>
      </c>
      <c r="N874" t="inlineStr">
        <is>
          <t>exonic</t>
        </is>
      </c>
      <c r="O874" t="inlineStr">
        <is>
          <t>nonsynonymous SNV</t>
        </is>
      </c>
      <c r="P874" t="inlineStr">
        <is>
          <t>PCDHB13:NM_018933:exon1:c.G1138T:p.G380W;PCDHB13:uc003lja.1:exon1:c.G1138T:p.G380W;PCDHB13:ENST00000341948.6_3:exon1:c.G1138T:p.G380W</t>
        </is>
      </c>
      <c r="Q874" t="n">
        <v>-1</v>
      </c>
      <c r="R874" t="n">
        <v>-1</v>
      </c>
      <c r="S874" t="n">
        <v>-1</v>
      </c>
      <c r="T874" t="n">
        <v>-1</v>
      </c>
      <c r="U874" t="n">
        <v>-1</v>
      </c>
      <c r="V874" t="inlineStr">
        <is>
          <t>8/11</t>
        </is>
      </c>
      <c r="W874" t="inlineStr">
        <is>
          <t>.</t>
        </is>
      </c>
      <c r="X874" t="inlineStr">
        <is>
          <t>.</t>
        </is>
      </c>
      <c r="Y874" t="inlineStr">
        <is>
          <t>.</t>
        </is>
      </c>
      <c r="Z874" t="inlineStr">
        <is>
          <t>0/7</t>
        </is>
      </c>
      <c r="AA874" t="inlineStr">
        <is>
          <t>Uncertain significance</t>
        </is>
      </c>
      <c r="AB874" t="inlineStr">
        <is>
          <t>.</t>
        </is>
      </c>
      <c r="AC874" t="inlineStr">
        <is>
          <t>0/1</t>
        </is>
      </c>
      <c r="AD874" t="inlineStr">
        <is>
          <t>1</t>
        </is>
      </c>
      <c r="AE874" t="inlineStr">
        <is>
          <t>1.69139790303478e-09</t>
        </is>
      </c>
      <c r="AF874" t="inlineStr">
        <is>
          <t>protocadherin beta 13</t>
        </is>
      </c>
      <c r="AG874" t="inlineStr">
        <is>
          <t xml:space="preserve">FUNCTION: Potential calcium-dependent cell-adhesion protein. May be involved in the establishment and maintenance of specific neuronal connections in the brain.; </t>
        </is>
      </c>
      <c r="AH874" t="inlineStr">
        <is>
          <t>.</t>
        </is>
      </c>
      <c r="AI874" t="inlineStr">
        <is>
          <t>.</t>
        </is>
      </c>
      <c r="AJ874" t="inlineStr">
        <is>
          <t>.</t>
        </is>
      </c>
      <c r="AK874" t="inlineStr">
        <is>
          <t>cluster</t>
        </is>
      </c>
      <c r="AL874" t="inlineStr">
        <is>
          <t>NGS_HighStringency</t>
        </is>
      </c>
    </row>
    <row r="875">
      <c r="A875" t="inlineStr"/>
      <c r="B875">
        <f>HYPERLINK("https://genome.ucsc.edu/cgi-bin/hgTracks?db=hg19&amp;position=chr5%3A147211162%2D147211162", "chr5:147211162")</f>
        <v/>
      </c>
      <c r="C875" t="inlineStr">
        <is>
          <t>chr5</t>
        </is>
      </c>
      <c r="D875" t="n">
        <v>147211162</v>
      </c>
      <c r="E875" t="n">
        <v>147211162</v>
      </c>
      <c r="F875" t="inlineStr">
        <is>
          <t>G</t>
        </is>
      </c>
      <c r="G875" t="inlineStr">
        <is>
          <t>A</t>
        </is>
      </c>
      <c r="H875" t="inlineStr">
        <is>
          <t>660.64</t>
        </is>
      </c>
      <c r="I875" t="inlineStr">
        <is>
          <t>115</t>
        </is>
      </c>
      <c r="J875" t="inlineStr">
        <is>
          <t>83,32</t>
        </is>
      </c>
      <c r="K875" t="inlineStr">
        <is>
          <t>CR066677</t>
        </is>
      </c>
      <c r="L875">
        <f>HYPERLINK("https://www.ncbi.nlm.nih.gov/snp/rs190219062", "rs190219062")</f>
        <v/>
      </c>
      <c r="M875">
        <f>HYPERLINK("https://www.genecards.org/Search/Keyword?queryString=%5Baliases%5D(%20SPINK1%20)&amp;keywords=SPINK1", "SPINK1")</f>
        <v/>
      </c>
      <c r="N875" t="inlineStr">
        <is>
          <t>UTR5</t>
        </is>
      </c>
      <c r="O875" t="inlineStr">
        <is>
          <t>.</t>
        </is>
      </c>
      <c r="P875" t="inlineStr">
        <is>
          <t>NM_001354966:c.-22C&gt;T;NM_003122:c.-22C&gt;T;NM_001379610:c.-22C&gt;T;uc003los.2:c.-22C&gt;T;ENST00000296695.10_5:c.-22C&gt;T;ENST00000510027.2_3:c.-22C&gt;T</t>
        </is>
      </c>
      <c r="Q875" t="n">
        <v>0.001</v>
      </c>
      <c r="R875" t="n">
        <v>0.0008</v>
      </c>
      <c r="S875" t="n">
        <v>0.0009</v>
      </c>
      <c r="T875" t="n">
        <v>-1</v>
      </c>
      <c r="U875" t="n">
        <v>0.0013</v>
      </c>
      <c r="V875" t="inlineStr">
        <is>
          <t>.</t>
        </is>
      </c>
      <c r="W875" t="inlineStr">
        <is>
          <t>.</t>
        </is>
      </c>
      <c r="X875" t="inlineStr">
        <is>
          <t>.</t>
        </is>
      </c>
      <c r="Y875" t="inlineStr">
        <is>
          <t>.</t>
        </is>
      </c>
      <c r="Z875" t="inlineStr">
        <is>
          <t>.</t>
        </is>
      </c>
      <c r="AA875" t="inlineStr">
        <is>
          <t>.</t>
        </is>
      </c>
      <c r="AB875" t="inlineStr">
        <is>
          <t>Benign</t>
        </is>
      </c>
      <c r="AC875" t="inlineStr">
        <is>
          <t>0/1</t>
        </is>
      </c>
      <c r="AD875" t="inlineStr">
        <is>
          <t>1</t>
        </is>
      </c>
      <c r="AE875" t="inlineStr">
        <is>
          <t>0.293111298714489</t>
        </is>
      </c>
      <c r="AF875" t="inlineStr">
        <is>
          <t>serine peptidase inhibitor, Kazal type 1</t>
        </is>
      </c>
      <c r="AG875" t="inlineStr">
        <is>
          <t xml:space="preserve">FUNCTION: Serine protease inhibitor which exhibits anti-trypsin activity (PubMed:7142173). In the pancreas, protects against trypsin-catalyzed premature activation of zymogens (By similarity). {ECO:0000250|UniProtKB:P09036, ECO:0000269|PubMed:7142173}.; </t>
        </is>
      </c>
      <c r="AH875" t="inlineStr">
        <is>
          <t xml:space="preserve">DISEASE: Pancreatitis, hereditary (PCTT) [MIM:167800]: A disease characterized by pancreas inflammation, permanent destruction of the pancreatic parenchyma, maldigestion, and severe abdominal pain attacks. {ECO:0000269|PubMed:10691414, ECO:0000269|PubMed:10835640, ECO:0000269|PubMed:12974284}. Note=Disease susceptibility is associated with variations affecting the gene represented in this entry.; DISEASE: Tropical calcific pancreatitis (TCP) [MIM:608189]: Idiopathic, juvenile, nonalcoholic form of chronic pancreatitis widely prevalent in several tropical countries. It can be associated with fibrocalculous pancreatic diabetes (FCPD) depending on both environmental and genetic factors. TCP differs from alcoholic pancreatitis by a much younger age of onset, pancreatic calcification, a high incidence of insulin dependent but ketosis resistant diabetes mellitus, and an exceptionally high incidence of pancreatic cancer. {ECO:0000269|PubMed:12011155, ECO:0000269|PubMed:12187509}. Note=Disease susceptibility is associated with variations affecting the gene represented in this entry.; </t>
        </is>
      </c>
      <c r="AI875" t="inlineStr">
        <is>
          <t>.</t>
        </is>
      </c>
      <c r="AJ875" t="inlineStr">
        <is>
          <t>.</t>
        </is>
      </c>
      <c r="AK875" t="inlineStr">
        <is>
          <t>.</t>
        </is>
      </c>
      <c r="AL875" t="inlineStr">
        <is>
          <t>.</t>
        </is>
      </c>
    </row>
    <row r="876">
      <c r="A876" t="inlineStr"/>
      <c r="B876">
        <f>HYPERLINK("https://genome.ucsc.edu/cgi-bin/hgTracks?db=hg19&amp;position=chr5%3A148682295%2D148682295", "chr5:148682295")</f>
        <v/>
      </c>
      <c r="C876" t="inlineStr">
        <is>
          <t>chr5</t>
        </is>
      </c>
      <c r="D876" t="n">
        <v>148682295</v>
      </c>
      <c r="E876" t="n">
        <v>148682295</v>
      </c>
      <c r="F876" t="inlineStr">
        <is>
          <t>G</t>
        </is>
      </c>
      <c r="G876" t="inlineStr">
        <is>
          <t>A</t>
        </is>
      </c>
      <c r="H876" t="inlineStr">
        <is>
          <t>165.96</t>
        </is>
      </c>
      <c r="I876" t="inlineStr">
        <is>
          <t>5</t>
        </is>
      </c>
      <c r="J876" t="inlineStr">
        <is>
          <t>0,5</t>
        </is>
      </c>
      <c r="K876" t="inlineStr">
        <is>
          <t>.</t>
        </is>
      </c>
      <c r="L876" t="inlineStr">
        <is>
          <t>.</t>
        </is>
      </c>
      <c r="M876">
        <f>HYPERLINK("https://www.genecards.org/Search/Keyword?queryString=%5Baliases%5D(%20AFAP1L1%20)&amp;keywords=AFAP1L1", "AFAP1L1")</f>
        <v/>
      </c>
      <c r="N876" t="inlineStr">
        <is>
          <t>intronic</t>
        </is>
      </c>
      <c r="O876" t="inlineStr">
        <is>
          <t>.</t>
        </is>
      </c>
      <c r="P876" t="inlineStr">
        <is>
          <t>.</t>
        </is>
      </c>
      <c r="Q876" t="n">
        <v>-1</v>
      </c>
      <c r="R876" t="n">
        <v>-1</v>
      </c>
      <c r="S876" t="n">
        <v>-1</v>
      </c>
      <c r="T876" t="n">
        <v>-1</v>
      </c>
      <c r="U876" t="n">
        <v>-1</v>
      </c>
      <c r="V876" t="inlineStr">
        <is>
          <t>.</t>
        </is>
      </c>
      <c r="W876" t="inlineStr">
        <is>
          <t>.</t>
        </is>
      </c>
      <c r="X876" t="inlineStr">
        <is>
          <t>D</t>
        </is>
      </c>
      <c r="Y876" t="inlineStr">
        <is>
          <t>off</t>
        </is>
      </c>
      <c r="Z876" t="inlineStr">
        <is>
          <t>.</t>
        </is>
      </c>
      <c r="AA876" t="inlineStr">
        <is>
          <t>.</t>
        </is>
      </c>
      <c r="AB876" t="inlineStr">
        <is>
          <t>.</t>
        </is>
      </c>
      <c r="AC876" t="inlineStr">
        <is>
          <t>HOMO</t>
        </is>
      </c>
      <c r="AD876" t="inlineStr">
        <is>
          <t>1</t>
        </is>
      </c>
      <c r="AE876" t="inlineStr">
        <is>
          <t>4.06878415314462e-08</t>
        </is>
      </c>
      <c r="AF876" t="inlineStr">
        <is>
          <t>actin filament associated protein 1 like 1</t>
        </is>
      </c>
      <c r="AG876" t="inlineStr">
        <is>
          <t xml:space="preserve">FUNCTION: May be involved in podosome and invadosome formation. {ECO:0000269|PubMed:21333378}.; </t>
        </is>
      </c>
      <c r="AH876" t="inlineStr">
        <is>
          <t>.</t>
        </is>
      </c>
      <c r="AI876" t="inlineStr">
        <is>
          <t>.</t>
        </is>
      </c>
      <c r="AJ876" t="inlineStr">
        <is>
          <t>.</t>
        </is>
      </c>
      <c r="AK876" t="inlineStr">
        <is>
          <t>.</t>
        </is>
      </c>
      <c r="AL876" t="inlineStr">
        <is>
          <t>.</t>
        </is>
      </c>
    </row>
    <row r="877">
      <c r="A877" t="inlineStr"/>
      <c r="B877">
        <f>HYPERLINK("https://genome.ucsc.edu/cgi-bin/hgTracks?db=hg19&amp;position=chr5%3A150847542%2D150847542", "chr5:150847542")</f>
        <v/>
      </c>
      <c r="C877" t="inlineStr">
        <is>
          <t>chr5</t>
        </is>
      </c>
      <c r="D877" t="n">
        <v>150847542</v>
      </c>
      <c r="E877" t="n">
        <v>150847542</v>
      </c>
      <c r="F877" t="inlineStr">
        <is>
          <t>C</t>
        </is>
      </c>
      <c r="G877" t="inlineStr">
        <is>
          <t>T</t>
        </is>
      </c>
      <c r="H877" t="inlineStr">
        <is>
          <t>182.64</t>
        </is>
      </c>
      <c r="I877" t="inlineStr">
        <is>
          <t>18</t>
        </is>
      </c>
      <c r="J877" t="inlineStr">
        <is>
          <t>11,7</t>
        </is>
      </c>
      <c r="K877" t="inlineStr">
        <is>
          <t>.</t>
        </is>
      </c>
      <c r="L877">
        <f>HYPERLINK("https://www.ncbi.nlm.nih.gov/snp/rs532564403", "rs532564403")</f>
        <v/>
      </c>
      <c r="M877">
        <f>HYPERLINK("https://www.genecards.org/Search/Keyword?queryString=%5Baliases%5D(%20SLC36A1%20)&amp;keywords=SLC36A1", "SLC36A1")</f>
        <v/>
      </c>
      <c r="N877" t="inlineStr">
        <is>
          <t>intronic</t>
        </is>
      </c>
      <c r="O877" t="inlineStr">
        <is>
          <t>.</t>
        </is>
      </c>
      <c r="P877" t="inlineStr">
        <is>
          <t>.</t>
        </is>
      </c>
      <c r="Q877" t="n">
        <v>0.0027</v>
      </c>
      <c r="R877" t="n">
        <v>0.0027</v>
      </c>
      <c r="S877" t="n">
        <v>0.0028</v>
      </c>
      <c r="T877" t="n">
        <v>-1</v>
      </c>
      <c r="U877" t="n">
        <v>0.0025</v>
      </c>
      <c r="V877" t="inlineStr">
        <is>
          <t>.</t>
        </is>
      </c>
      <c r="W877" t="inlineStr">
        <is>
          <t>.</t>
        </is>
      </c>
      <c r="X877" t="inlineStr">
        <is>
          <t>PD</t>
        </is>
      </c>
      <c r="Y877" t="inlineStr">
        <is>
          <t>off</t>
        </is>
      </c>
      <c r="Z877" t="inlineStr">
        <is>
          <t>.</t>
        </is>
      </c>
      <c r="AA877" t="inlineStr">
        <is>
          <t>.</t>
        </is>
      </c>
      <c r="AB877" t="inlineStr">
        <is>
          <t>.</t>
        </is>
      </c>
      <c r="AC877" t="inlineStr">
        <is>
          <t>0/1</t>
        </is>
      </c>
      <c r="AD877" t="inlineStr">
        <is>
          <t>1</t>
        </is>
      </c>
      <c r="AE877" t="inlineStr">
        <is>
          <t>0.0234724316059047</t>
        </is>
      </c>
      <c r="AF877" t="inlineStr">
        <is>
          <t>solute carrier family 36 member 1</t>
        </is>
      </c>
      <c r="AG877" t="inlineStr">
        <is>
          <t xml:space="preserve">FUNCTION: Neutral amino acid/proton symporter. Has a pH-dependent electrogenic transport activity for small amino acids such as glycine, alanine and proline. Besides small apolar L-amino acids, it also recognize their D-enantiomers and selected amino acid derivatives such as gamma-aminobutyric acid (By similarity). {ECO:0000250, ECO:0000269|PubMed:12809675}.; </t>
        </is>
      </c>
      <c r="AH877" t="inlineStr">
        <is>
          <t>.</t>
        </is>
      </c>
      <c r="AI877" t="inlineStr">
        <is>
          <t>.</t>
        </is>
      </c>
      <c r="AJ877" t="inlineStr">
        <is>
          <t>.</t>
        </is>
      </c>
      <c r="AK877" t="inlineStr">
        <is>
          <t>.</t>
        </is>
      </c>
      <c r="AL877" t="inlineStr">
        <is>
          <t>.</t>
        </is>
      </c>
    </row>
    <row r="878">
      <c r="A878" t="inlineStr"/>
      <c r="B878">
        <f>HYPERLINK("https://genome.ucsc.edu/cgi-bin/hgTracks?db=hg19&amp;position=chr5%3A153026631%2D153026631", "chr5:153026631")</f>
        <v/>
      </c>
      <c r="C878" t="inlineStr">
        <is>
          <t>chr5</t>
        </is>
      </c>
      <c r="D878" t="n">
        <v>153026631</v>
      </c>
      <c r="E878" t="n">
        <v>153026631</v>
      </c>
      <c r="F878" t="inlineStr">
        <is>
          <t>G</t>
        </is>
      </c>
      <c r="G878" t="inlineStr">
        <is>
          <t>C</t>
        </is>
      </c>
      <c r="H878" t="inlineStr">
        <is>
          <t>972.64</t>
        </is>
      </c>
      <c r="I878" t="inlineStr">
        <is>
          <t>171</t>
        </is>
      </c>
      <c r="J878" t="inlineStr">
        <is>
          <t>119,52</t>
        </is>
      </c>
      <c r="K878" t="inlineStr">
        <is>
          <t>.</t>
        </is>
      </c>
      <c r="L878" t="inlineStr">
        <is>
          <t>.</t>
        </is>
      </c>
      <c r="M878">
        <f>HYPERLINK("https://www.genecards.org/Search/Keyword?queryString=%5Baliases%5D(%20GRIA1%20)&amp;keywords=GRIA1", "GRIA1")</f>
        <v/>
      </c>
      <c r="N878" t="inlineStr">
        <is>
          <t>exonic</t>
        </is>
      </c>
      <c r="O878" t="inlineStr">
        <is>
          <t>nonsynonymous SNV</t>
        </is>
      </c>
      <c r="P878" t="inlineStr">
        <is>
          <t>GRIA1:NM_000827:exon3:c.G364C:p.V122L,GRIA1:NM_001114183:exon3:c.G364C:p.V122L,GRIA1:NM_001258021:exon3:c.G394C:p.V132L,GRIA1:NM_001258022:exon3:c.G394C:p.V132L,GRIA1:NM_001258023:exon3:c.G157C:p.V53L,GRIA1:NM_001364165:exon3:c.G364C:p.V122L,GRIA1:NM_001364167:exon3:c.G157C:p.V53L,GRIA1:NM_001258020:exon4:c.G79C:p.V27L,GRIA1:NM_001364166:exon4:c.G391C:p.V131L;GRIA1:uc003luy.4:exon3:c.G364C:p.V122L,GRIA1:uc003lva.4:exon3:c.G364C:p.V122L,GRIA1:uc010jia.1:exon3:c.G304C:p.V102L,GRIA1:uc011dcx.2:exon3:c.G157C:p.V53L,GRIA1:uc011dcy.2:exon3:c.G394C:p.V132L,GRIA1:uc011dcz.2:exon3:c.G394C:p.V132L,GRIA1:uc003luz.4:exon4:c.G79C:p.V27L;GRIA1:ENST00000285900.10_7:exon3:c.G364C:p.V122L,GRIA1:ENST00000340592.9_5:exon3:c.G364C:p.V122L,GRIA1:ENST00000448073.8_1:exon3:c.G394C:p.V132L,GRIA1:ENST00000518783.1_1:exon3:c.G394C:p.V132L,GRIA1:ENST00000521843.6_1:exon3:c.G157C:p.V53L</t>
        </is>
      </c>
      <c r="Q878" t="n">
        <v>-1</v>
      </c>
      <c r="R878" t="n">
        <v>-1</v>
      </c>
      <c r="S878" t="n">
        <v>-1</v>
      </c>
      <c r="T878" t="n">
        <v>-1</v>
      </c>
      <c r="U878" t="n">
        <v>-1</v>
      </c>
      <c r="V878" t="inlineStr">
        <is>
          <t>8/12</t>
        </is>
      </c>
      <c r="W878" t="inlineStr">
        <is>
          <t>.</t>
        </is>
      </c>
      <c r="X878" t="inlineStr">
        <is>
          <t>.</t>
        </is>
      </c>
      <c r="Y878" t="inlineStr">
        <is>
          <t>.</t>
        </is>
      </c>
      <c r="Z878" t="inlineStr">
        <is>
          <t>4/7</t>
        </is>
      </c>
      <c r="AA878" t="inlineStr">
        <is>
          <t>Uncertain significance</t>
        </is>
      </c>
      <c r="AB878" t="inlineStr">
        <is>
          <t>.</t>
        </is>
      </c>
      <c r="AC878" t="inlineStr">
        <is>
          <t>0/1</t>
        </is>
      </c>
      <c r="AD878" t="inlineStr">
        <is>
          <t>1</t>
        </is>
      </c>
      <c r="AE878" t="inlineStr">
        <is>
          <t>0.999436340840325</t>
        </is>
      </c>
      <c r="AF878" t="inlineStr">
        <is>
          <t>glutamate ionotropic receptor AMPA type subunit 1</t>
        </is>
      </c>
      <c r="AG878" t="inlineStr">
        <is>
          <t xml:space="preserve">FUNCTION: Ionotropic glutamate receptor. L-glutamate acts as an excitatory neurotransmitter at many synapses in the central nervous system. Binding of the excitatory neurotransmitter L- glutamate induces a conformation change, leading to the opening of the cation channel, and thereby converts the chemical signal to an electrical impulse. The receptor then desensitizes rapidly and enters a transient inactive state, characterized by the presence of bound agonist. In the presence of CACNG4 or CACNG7 or CACNG8, shows resensitization which is characterized by a delayed accumulation of current flux upon continued application of glutamate. {ECO:0000269|PubMed:20805473, ECO:0000269|PubMed:21172611}.; </t>
        </is>
      </c>
      <c r="AH878" t="inlineStr">
        <is>
          <t>.</t>
        </is>
      </c>
      <c r="AI878" t="inlineStr">
        <is>
          <t>.</t>
        </is>
      </c>
      <c r="AJ878" t="inlineStr">
        <is>
          <t>.</t>
        </is>
      </c>
      <c r="AK878" t="inlineStr">
        <is>
          <t>.</t>
        </is>
      </c>
      <c r="AL878" t="inlineStr">
        <is>
          <t>.</t>
        </is>
      </c>
    </row>
    <row r="879">
      <c r="A879" t="inlineStr"/>
      <c r="B879">
        <f>HYPERLINK("https://genome.ucsc.edu/cgi-bin/hgTracks?db=hg19&amp;position=chr5%3A158742207%2D158742207", "chr5:158742207")</f>
        <v/>
      </c>
      <c r="C879" t="inlineStr">
        <is>
          <t>chr5</t>
        </is>
      </c>
      <c r="D879" t="n">
        <v>158742207</v>
      </c>
      <c r="E879" t="n">
        <v>158742207</v>
      </c>
      <c r="F879" t="inlineStr">
        <is>
          <t>-</t>
        </is>
      </c>
      <c r="G879" t="inlineStr">
        <is>
          <t>T</t>
        </is>
      </c>
      <c r="H879" t="inlineStr">
        <is>
          <t>33.60</t>
        </is>
      </c>
      <c r="I879" t="inlineStr">
        <is>
          <t>67</t>
        </is>
      </c>
      <c r="J879" t="inlineStr">
        <is>
          <t>55,9</t>
        </is>
      </c>
      <c r="K879" t="inlineStr">
        <is>
          <t>.</t>
        </is>
      </c>
      <c r="L879">
        <f>HYPERLINK("https://www.ncbi.nlm.nih.gov/snp/rs886060354", "rs886060354")</f>
        <v/>
      </c>
      <c r="M879">
        <f>HYPERLINK("https://www.genecards.org/Search/Keyword?queryString=%5Baliases%5D(%20IL12B%20)&amp;keywords=IL12B", "IL12B")</f>
        <v/>
      </c>
      <c r="N879" t="inlineStr">
        <is>
          <t>UTR3;ncRNA_intronic</t>
        </is>
      </c>
      <c r="O879" t="inlineStr">
        <is>
          <t>.</t>
        </is>
      </c>
      <c r="P879" t="inlineStr">
        <is>
          <t>NM_002187:c.*901_*902insA;uc003lxr.1:c.*901_*902insA</t>
        </is>
      </c>
      <c r="Q879" t="n">
        <v>0.0033</v>
      </c>
      <c r="R879" t="n">
        <v>0.0034</v>
      </c>
      <c r="S879" t="n">
        <v>0.0033</v>
      </c>
      <c r="T879" t="n">
        <v>-1</v>
      </c>
      <c r="U879" t="n">
        <v>0.0022</v>
      </c>
      <c r="V879" t="inlineStr">
        <is>
          <t>.</t>
        </is>
      </c>
      <c r="W879" t="inlineStr">
        <is>
          <t>.</t>
        </is>
      </c>
      <c r="X879" t="inlineStr">
        <is>
          <t>.</t>
        </is>
      </c>
      <c r="Y879" t="inlineStr">
        <is>
          <t>.</t>
        </is>
      </c>
      <c r="Z879" t="inlineStr">
        <is>
          <t>.</t>
        </is>
      </c>
      <c r="AA879" t="inlineStr">
        <is>
          <t>.</t>
        </is>
      </c>
      <c r="AB879" t="inlineStr">
        <is>
          <t>Uncertain_significance</t>
        </is>
      </c>
      <c r="AC879" t="inlineStr">
        <is>
          <t>0/1</t>
        </is>
      </c>
      <c r="AD879" t="inlineStr">
        <is>
          <t>2</t>
        </is>
      </c>
      <c r="AE879" t="inlineStr">
        <is>
          <t>0.000223245843678324</t>
        </is>
      </c>
      <c r="AF879" t="inlineStr">
        <is>
          <t>interleukin 12B</t>
        </is>
      </c>
      <c r="AG879" t="inlineStr">
        <is>
          <t xml:space="preserve">FUNCTION: Cytokine that can act as a growth factor for activated T and NK cells, enhance the lytic activity of NK/lymphokine- activated killer cells, and stimulate the production of IFN-gamma by resting PBMC. {ECO:0000269|PubMed:11114383}.; </t>
        </is>
      </c>
      <c r="AH879" t="inlineStr">
        <is>
          <t xml:space="preserve">DISEASE: Immunodeficiency 29 (IMD29) [MIM:614890]: A form of Mendelian susceptibility to mycobacterial disease, a rare condition caused by impairment of interferon-gamma mediated immunity. It is characterized by predisposition to illness caused by moderately virulent mycobacterial species, such as Bacillus Calmette-Guerin (BCG) vaccine, environmental non-tuberculous mycobacteria, and by the more virulent Mycobacterium tuberculosis. Other microorganisms rarely cause severe clinical disease in individuals with susceptibility to mycobacterial infections, with the exception of Salmonella which infects less than 50% of these individuals. Clinical outcome severity depends on the degree of impairment of interferon-gamma mediated immunity. Some patients die of overwhelming mycobacterial disease with lepromatous-like lesions in early childhood, whereas others develop, later in life, disseminated but curable infections with tuberculoid granulomas. IMD29 is characterized by undetectable IL12B secretion from leukocytes. Affected individuals generally present with BCG disease after vaccination in childhood, and at least half also have Salmonella infection. Disease phenotype is relatively mild, and patients have a good prognosis. {ECO:0000269|PubMed:11753820, ECO:0000269|PubMed:9854038}. Note=The disease is caused by mutations affecting the gene represented in this entry.; DISEASE: Psoriasis 11 (PSORS11) [MIM:612599]: A common, chronic inflammatory disease of the skin with multifactorial etiology. It is characterized by red, scaly plaques usually found on the scalp, elbows and knees. These lesions are caused by abnormal keratinocyte proliferation and infiltration of inflammatory cells into the dermis and epidermis. Note=Disease susceptibility is associated with variations affecting the gene represented in this entry.; </t>
        </is>
      </c>
      <c r="AI879" t="inlineStr">
        <is>
          <t>.</t>
        </is>
      </c>
      <c r="AJ879" t="inlineStr">
        <is>
          <t>.</t>
        </is>
      </c>
      <c r="AK879" t="inlineStr">
        <is>
          <t>.</t>
        </is>
      </c>
      <c r="AL879" t="inlineStr">
        <is>
          <t>.</t>
        </is>
      </c>
    </row>
    <row r="880">
      <c r="A880" t="inlineStr"/>
      <c r="B880">
        <f>HYPERLINK("https://genome.ucsc.edu/cgi-bin/hgTracks?db=hg19&amp;position=chr5%3A158745140%2D158745140", "chr5:158745140")</f>
        <v/>
      </c>
      <c r="C880" t="inlineStr">
        <is>
          <t>chr5</t>
        </is>
      </c>
      <c r="D880" t="n">
        <v>158745140</v>
      </c>
      <c r="E880" t="n">
        <v>158745140</v>
      </c>
      <c r="F880" t="inlineStr">
        <is>
          <t>A</t>
        </is>
      </c>
      <c r="G880" t="inlineStr">
        <is>
          <t>G</t>
        </is>
      </c>
      <c r="H880" t="inlineStr">
        <is>
          <t>46.64</t>
        </is>
      </c>
      <c r="I880" t="inlineStr">
        <is>
          <t>11</t>
        </is>
      </c>
      <c r="J880" t="inlineStr">
        <is>
          <t>9,2</t>
        </is>
      </c>
      <c r="K880" t="inlineStr">
        <is>
          <t>.</t>
        </is>
      </c>
      <c r="L880" t="inlineStr">
        <is>
          <t>.</t>
        </is>
      </c>
      <c r="M880">
        <f>HYPERLINK("https://www.genecards.org/Search/Keyword?queryString=%5Baliases%5D(%20IL12B%20)%20OR%20%5Baliases%5D(%20U4atac%20)&amp;keywords=IL12B,U4atac", "IL12B;U4atac")</f>
        <v/>
      </c>
      <c r="N880" t="inlineStr">
        <is>
          <t>intronic;ncRNA_exonic</t>
        </is>
      </c>
      <c r="O880" t="inlineStr">
        <is>
          <t>.</t>
        </is>
      </c>
      <c r="P880" t="inlineStr">
        <is>
          <t>.</t>
        </is>
      </c>
      <c r="Q880" t="n">
        <v>-1</v>
      </c>
      <c r="R880" t="n">
        <v>-1</v>
      </c>
      <c r="S880" t="n">
        <v>-1</v>
      </c>
      <c r="T880" t="n">
        <v>-1</v>
      </c>
      <c r="U880" t="n">
        <v>-1</v>
      </c>
      <c r="V880" t="inlineStr">
        <is>
          <t>.</t>
        </is>
      </c>
      <c r="W880" t="inlineStr">
        <is>
          <t>.</t>
        </is>
      </c>
      <c r="X880" t="inlineStr">
        <is>
          <t>.</t>
        </is>
      </c>
      <c r="Y880" t="inlineStr">
        <is>
          <t>.</t>
        </is>
      </c>
      <c r="Z880" t="inlineStr">
        <is>
          <t>.</t>
        </is>
      </c>
      <c r="AA880" t="inlineStr">
        <is>
          <t>.</t>
        </is>
      </c>
      <c r="AB880" t="inlineStr">
        <is>
          <t>.</t>
        </is>
      </c>
      <c r="AC880" t="inlineStr">
        <is>
          <t>0/1</t>
        </is>
      </c>
      <c r="AD880" t="inlineStr">
        <is>
          <t>2;1</t>
        </is>
      </c>
      <c r="AE880" t="inlineStr">
        <is>
          <t>0.000223245843678324</t>
        </is>
      </c>
      <c r="AF880" t="inlineStr">
        <is>
          <t>interleukin 12B</t>
        </is>
      </c>
      <c r="AG880" t="inlineStr">
        <is>
          <t xml:space="preserve">FUNCTION: Cytokine that can act as a growth factor for activated T and NK cells, enhance the lytic activity of NK/lymphokine- activated killer cells, and stimulate the production of IFN-gamma by resting PBMC. {ECO:0000269|PubMed:11114383}.; </t>
        </is>
      </c>
      <c r="AH880" t="inlineStr">
        <is>
          <t xml:space="preserve">DISEASE: Immunodeficiency 29 (IMD29) [MIM:614890]: A form of Mendelian susceptibility to mycobacterial disease, a rare condition caused by impairment of interferon-gamma mediated immunity. It is characterized by predisposition to illness caused by moderately virulent mycobacterial species, such as Bacillus Calmette-Guerin (BCG) vaccine, environmental non-tuberculous mycobacteria, and by the more virulent Mycobacterium tuberculosis. Other microorganisms rarely cause severe clinical disease in individuals with susceptibility to mycobacterial infections, with the exception of Salmonella which infects less than 50% of these individuals. Clinical outcome severity depends on the degree of impairment of interferon-gamma mediated immunity. Some patients die of overwhelming mycobacterial disease with lepromatous-like lesions in early childhood, whereas others develop, later in life, disseminated but curable infections with tuberculoid granulomas. IMD29 is characterized by undetectable IL12B secretion from leukocytes. Affected individuals generally present with BCG disease after vaccination in childhood, and at least half also have Salmonella infection. Disease phenotype is relatively mild, and patients have a good prognosis. {ECO:0000269|PubMed:11753820, ECO:0000269|PubMed:9854038}. Note=The disease is caused by mutations affecting the gene represented in this entry.; DISEASE: Psoriasis 11 (PSORS11) [MIM:612599]: A common, chronic inflammatory disease of the skin with multifactorial etiology. It is characterized by red, scaly plaques usually found on the scalp, elbows and knees. These lesions are caused by abnormal keratinocyte proliferation and infiltration of inflammatory cells into the dermis and epidermis. Note=Disease susceptibility is associated with variations affecting the gene represented in this entry.; </t>
        </is>
      </c>
      <c r="AI880" t="inlineStr">
        <is>
          <t>.</t>
        </is>
      </c>
      <c r="AJ880" t="inlineStr">
        <is>
          <t>.</t>
        </is>
      </c>
      <c r="AK880" t="inlineStr">
        <is>
          <t>.</t>
        </is>
      </c>
      <c r="AL880" t="inlineStr">
        <is>
          <t>.</t>
        </is>
      </c>
    </row>
    <row r="881">
      <c r="A881" t="inlineStr"/>
      <c r="B881">
        <f>HYPERLINK("https://genome.ucsc.edu/cgi-bin/hgTracks?db=hg19&amp;position=chr5%3A167674723%2D167674723", "chr5:167674723")</f>
        <v/>
      </c>
      <c r="C881" t="inlineStr">
        <is>
          <t>chr5</t>
        </is>
      </c>
      <c r="D881" t="n">
        <v>167674723</v>
      </c>
      <c r="E881" t="n">
        <v>167674723</v>
      </c>
      <c r="F881" t="inlineStr">
        <is>
          <t>T</t>
        </is>
      </c>
      <c r="G881" t="inlineStr">
        <is>
          <t>C</t>
        </is>
      </c>
      <c r="H881" t="inlineStr">
        <is>
          <t>411.64</t>
        </is>
      </c>
      <c r="I881" t="inlineStr">
        <is>
          <t>111</t>
        </is>
      </c>
      <c r="J881" t="inlineStr">
        <is>
          <t>85,26</t>
        </is>
      </c>
      <c r="K881" t="inlineStr">
        <is>
          <t>.</t>
        </is>
      </c>
      <c r="L881">
        <f>HYPERLINK("https://www.ncbi.nlm.nih.gov/snp/rs757349389", "rs757349389")</f>
        <v/>
      </c>
      <c r="M881">
        <f>HYPERLINK("https://www.genecards.org/Search/Keyword?queryString=%5Baliases%5D(%20TENM2%20)&amp;keywords=TENM2", "TENM2")</f>
        <v/>
      </c>
      <c r="N881" t="inlineStr">
        <is>
          <t>exonic</t>
        </is>
      </c>
      <c r="O881" t="inlineStr">
        <is>
          <t>nonsynonymous SNV</t>
        </is>
      </c>
      <c r="P881" t="inlineStr">
        <is>
          <t>TENM2:NM_001080428:exon23:c.T6062C:p.V2021A,TENM2:NM_001368145:exon25:c.T6302C:p.V2101A,TENM2:NM_001368146:exon26:c.T6296C:p.V2099A,TENM2:NM_001122679:exon28:c.T6752C:p.V2251A;TENM2:uc010jje.3:exon16:c.T4544C:p.V1515A,TENM2:uc003lzt.4:exon18:c.T4871C:p.V1624A,TENM2:uc003lzr.5:exon23:c.T6062C:p.V2021A,TENM2:uc010jjd.3:exon27:c.T6752C:p.V2251A;TENM2:ENST00000520394.5_2:exon23:c.T6062C:p.V2021A,TENM2:ENST00000695962.1_2:exon25:c.T5564C:p.V1855A,TENM2:ENST00000519204.5_2:exon26:c.T6416C:p.V2139A,TENM2:ENST00000518659.6_4:exon29:c.T6779C:p.V2260A</t>
        </is>
      </c>
      <c r="Q881" t="n">
        <v>6.481e-05</v>
      </c>
      <c r="R881" t="n">
        <v>-1</v>
      </c>
      <c r="S881" t="n">
        <v>7.342e-05</v>
      </c>
      <c r="T881" t="n">
        <v>-1</v>
      </c>
      <c r="U881" t="n">
        <v>-1</v>
      </c>
      <c r="V881" t="inlineStr">
        <is>
          <t>10/12</t>
        </is>
      </c>
      <c r="W881" t="inlineStr">
        <is>
          <t>.</t>
        </is>
      </c>
      <c r="X881" t="inlineStr">
        <is>
          <t>.</t>
        </is>
      </c>
      <c r="Y881" t="inlineStr">
        <is>
          <t>.</t>
        </is>
      </c>
      <c r="Z881" t="inlineStr">
        <is>
          <t>5/7</t>
        </is>
      </c>
      <c r="AA881" t="inlineStr">
        <is>
          <t>Uncertain significance</t>
        </is>
      </c>
      <c r="AB881" t="inlineStr">
        <is>
          <t>.</t>
        </is>
      </c>
      <c r="AC881" t="inlineStr">
        <is>
          <t>0/1</t>
        </is>
      </c>
      <c r="AD881" t="inlineStr">
        <is>
          <t>1</t>
        </is>
      </c>
      <c r="AE881" t="inlineStr">
        <is>
          <t>0.999951089930002</t>
        </is>
      </c>
      <c r="AF881" t="inlineStr">
        <is>
          <t>teneurin transmembrane protein 2</t>
        </is>
      </c>
      <c r="AG881" t="inlineStr">
        <is>
          <t xml:space="preserve">FUNCTION: Involved in neural development, regulating the establishment of proper connectivity within the nervous system. Promotes the formation of filopodia and enlarged growth cone in neuronal cells. Induces homophilic cell-cell adhesion (By similarity). May function as a cellular signal transducer. {ECO:0000250, ECO:0000269|PubMed:21724987}.; FUNCTION: Ten-2 intracellular domain: Induces gene transcription inhibition. {ECO:0000250}.; </t>
        </is>
      </c>
      <c r="AH881" t="inlineStr">
        <is>
          <t>.</t>
        </is>
      </c>
      <c r="AI881" t="inlineStr">
        <is>
          <t>.</t>
        </is>
      </c>
      <c r="AJ881" t="inlineStr">
        <is>
          <t>.</t>
        </is>
      </c>
      <c r="AK881" t="inlineStr">
        <is>
          <t>.</t>
        </is>
      </c>
      <c r="AL881" t="inlineStr">
        <is>
          <t>.</t>
        </is>
      </c>
    </row>
    <row r="882">
      <c r="A882" t="inlineStr"/>
      <c r="B882">
        <f>HYPERLINK("https://genome.ucsc.edu/cgi-bin/hgTracks?db=hg19&amp;position=chr5%3A170632461%2D170632461", "chr5:170632461")</f>
        <v/>
      </c>
      <c r="C882" t="inlineStr">
        <is>
          <t>chr5</t>
        </is>
      </c>
      <c r="D882" t="n">
        <v>170632461</v>
      </c>
      <c r="E882" t="n">
        <v>170632461</v>
      </c>
      <c r="F882" t="inlineStr">
        <is>
          <t>T</t>
        </is>
      </c>
      <c r="G882" t="inlineStr">
        <is>
          <t>C</t>
        </is>
      </c>
      <c r="H882" t="inlineStr">
        <is>
          <t>482.64</t>
        </is>
      </c>
      <c r="I882" t="inlineStr">
        <is>
          <t>26</t>
        </is>
      </c>
      <c r="J882" t="inlineStr">
        <is>
          <t>8,18</t>
        </is>
      </c>
      <c r="K882" t="inlineStr">
        <is>
          <t>.</t>
        </is>
      </c>
      <c r="L882" t="inlineStr">
        <is>
          <t>.</t>
        </is>
      </c>
      <c r="M882">
        <f>HYPERLINK("https://www.genecards.org/Search/Keyword?queryString=%5Baliases%5D(%20RANBP17%20)&amp;keywords=RANBP17", "RANBP17")</f>
        <v/>
      </c>
      <c r="N882" t="inlineStr">
        <is>
          <t>intronic</t>
        </is>
      </c>
      <c r="O882" t="inlineStr">
        <is>
          <t>.</t>
        </is>
      </c>
      <c r="P882" t="inlineStr">
        <is>
          <t>.</t>
        </is>
      </c>
      <c r="Q882" t="n">
        <v>-1</v>
      </c>
      <c r="R882" t="n">
        <v>-1</v>
      </c>
      <c r="S882" t="n">
        <v>-1</v>
      </c>
      <c r="T882" t="n">
        <v>-1</v>
      </c>
      <c r="U882" t="n">
        <v>-1</v>
      </c>
      <c r="V882" t="inlineStr">
        <is>
          <t>.</t>
        </is>
      </c>
      <c r="W882" t="inlineStr">
        <is>
          <t>.</t>
        </is>
      </c>
      <c r="X882" t="inlineStr">
        <is>
          <t>PD</t>
        </is>
      </c>
      <c r="Y882" t="inlineStr">
        <is>
          <t>off</t>
        </is>
      </c>
      <c r="Z882" t="inlineStr">
        <is>
          <t>.</t>
        </is>
      </c>
      <c r="AA882" t="inlineStr">
        <is>
          <t>.</t>
        </is>
      </c>
      <c r="AB882" t="inlineStr">
        <is>
          <t>.</t>
        </is>
      </c>
      <c r="AC882" t="inlineStr">
        <is>
          <t>0/1</t>
        </is>
      </c>
      <c r="AD882" t="inlineStr">
        <is>
          <t>1</t>
        </is>
      </c>
      <c r="AE882" t="inlineStr">
        <is>
          <t>8.61017652515499e-36</t>
        </is>
      </c>
      <c r="AF882" t="inlineStr">
        <is>
          <t>RAN binding protein 17</t>
        </is>
      </c>
      <c r="AG882" t="inlineStr">
        <is>
          <t xml:space="preserve">FUNCTION: May function as a nuclear transport receptor. {ECO:0000250}.; </t>
        </is>
      </c>
      <c r="AH882" t="inlineStr">
        <is>
          <t>.</t>
        </is>
      </c>
      <c r="AI882" t="inlineStr">
        <is>
          <t>.</t>
        </is>
      </c>
      <c r="AJ882" t="inlineStr">
        <is>
          <t>.</t>
        </is>
      </c>
      <c r="AK882" t="inlineStr">
        <is>
          <t>.</t>
        </is>
      </c>
      <c r="AL882" t="inlineStr">
        <is>
          <t>.</t>
        </is>
      </c>
    </row>
    <row r="883">
      <c r="A883" t="inlineStr"/>
      <c r="B883">
        <f>HYPERLINK("https://genome.ucsc.edu/cgi-bin/hgTracks?db=hg19&amp;position=chr5%3A171583747%2D171583747", "chr5:171583747")</f>
        <v/>
      </c>
      <c r="C883" t="inlineStr">
        <is>
          <t>chr5</t>
        </is>
      </c>
      <c r="D883" t="n">
        <v>171583747</v>
      </c>
      <c r="E883" t="n">
        <v>171583747</v>
      </c>
      <c r="F883" t="inlineStr">
        <is>
          <t>C</t>
        </is>
      </c>
      <c r="G883" t="inlineStr">
        <is>
          <t>T</t>
        </is>
      </c>
      <c r="H883" t="inlineStr">
        <is>
          <t>1554.64</t>
        </is>
      </c>
      <c r="I883" t="inlineStr">
        <is>
          <t>88</t>
        </is>
      </c>
      <c r="J883" t="inlineStr">
        <is>
          <t>29,59</t>
        </is>
      </c>
      <c r="K883" t="inlineStr">
        <is>
          <t>.</t>
        </is>
      </c>
      <c r="L883" t="inlineStr">
        <is>
          <t>.</t>
        </is>
      </c>
      <c r="M883">
        <f>HYPERLINK("https://www.genecards.org/Search/Keyword?queryString=%5Baliases%5D(%20STK10%20)&amp;keywords=STK10", "STK10")</f>
        <v/>
      </c>
      <c r="N883" t="inlineStr">
        <is>
          <t>exonic</t>
        </is>
      </c>
      <c r="O883" t="inlineStr">
        <is>
          <t>nonsynonymous SNV</t>
        </is>
      </c>
      <c r="P883" t="inlineStr">
        <is>
          <t>STK10:NM_005990:exon2:c.G202A:p.E68K;STK10:uc003mbo.1:exon2:c.G202A:p.E68K;STK10:ENST00000176763.10_5:exon2:c.G202A:p.E68K</t>
        </is>
      </c>
      <c r="Q883" t="n">
        <v>-1</v>
      </c>
      <c r="R883" t="n">
        <v>-1</v>
      </c>
      <c r="S883" t="n">
        <v>-1</v>
      </c>
      <c r="T883" t="n">
        <v>-1</v>
      </c>
      <c r="U883" t="n">
        <v>-1</v>
      </c>
      <c r="V883" t="inlineStr">
        <is>
          <t>6/12</t>
        </is>
      </c>
      <c r="W883" t="inlineStr">
        <is>
          <t>.</t>
        </is>
      </c>
      <c r="X883" t="inlineStr">
        <is>
          <t>.</t>
        </is>
      </c>
      <c r="Y883" t="inlineStr">
        <is>
          <t>.</t>
        </is>
      </c>
      <c r="Z883" t="inlineStr">
        <is>
          <t>5/7</t>
        </is>
      </c>
      <c r="AA883" t="inlineStr">
        <is>
          <t>Uncertain significance</t>
        </is>
      </c>
      <c r="AB883" t="inlineStr">
        <is>
          <t>.</t>
        </is>
      </c>
      <c r="AC883" t="inlineStr">
        <is>
          <t>0/1</t>
        </is>
      </c>
      <c r="AD883" t="inlineStr">
        <is>
          <t>1</t>
        </is>
      </c>
      <c r="AE883" t="inlineStr">
        <is>
          <t>1.50167370249254e-07</t>
        </is>
      </c>
      <c r="AF883" t="inlineStr">
        <is>
          <t>serine/threonine kinase 10</t>
        </is>
      </c>
      <c r="AG883" t="inlineStr">
        <is>
          <t xml:space="preserve">FUNCTION: Serine/threonine-protein kinase involved in regulation of lymphocyte migration. Phosphorylates MSN, and possibly PLK1. Involved in regulation of lymphocyte migration by mediating phosphorylation of ERM proteins such as MSN. Acts as a negative regulator of MAP3K1/MEKK1. May also act as a cell cycle regulator by acting as a polo kinase kinase: mediates phosphorylation of PLK1 in vitro; however such data require additional evidences in vivo. {ECO:0000269|PubMed:11903060, ECO:0000269|PubMed:12639966, ECO:0000269|PubMed:19255442}.; </t>
        </is>
      </c>
      <c r="AH883" t="inlineStr">
        <is>
          <t xml:space="preserve">DISEASE: Testicular germ cell tumor (TGCT) [MIM:273300]: A common malignancy in males representing 95% of all testicular neoplasms. TGCTs have various pathologic subtypes including: unclassified intratubular germ cell neoplasia, seminoma (including cases with syncytiotrophoblastic cells), spermatocytic seminoma, embryonal carcinoma, yolk sac tumor, choriocarcinoma, and teratoma. {ECO:0000269|PubMed:16175573}. Note=The disease may be caused by mutations affecting the gene represented in this entry.; </t>
        </is>
      </c>
      <c r="AI883" t="inlineStr">
        <is>
          <t>.</t>
        </is>
      </c>
      <c r="AJ883" t="inlineStr">
        <is>
          <t>.</t>
        </is>
      </c>
      <c r="AK883" t="inlineStr">
        <is>
          <t>.</t>
        </is>
      </c>
      <c r="AL883" t="inlineStr">
        <is>
          <t>.</t>
        </is>
      </c>
    </row>
    <row r="884">
      <c r="A884" t="inlineStr"/>
      <c r="B884">
        <f>HYPERLINK("https://genome.ucsc.edu/cgi-bin/hgTracks?db=hg19&amp;position=chr5%3A175796243%2D175796243", "chr5:175796243")</f>
        <v/>
      </c>
      <c r="C884" t="inlineStr">
        <is>
          <t>chr5</t>
        </is>
      </c>
      <c r="D884" t="n">
        <v>175796243</v>
      </c>
      <c r="E884" t="n">
        <v>175796243</v>
      </c>
      <c r="F884" t="inlineStr">
        <is>
          <t>-</t>
        </is>
      </c>
      <c r="G884" t="inlineStr">
        <is>
          <t>T</t>
        </is>
      </c>
      <c r="H884" t="inlineStr">
        <is>
          <t>60.60</t>
        </is>
      </c>
      <c r="I884" t="inlineStr">
        <is>
          <t>62</t>
        </is>
      </c>
      <c r="J884" t="inlineStr">
        <is>
          <t>50,9</t>
        </is>
      </c>
      <c r="K884" t="inlineStr">
        <is>
          <t>.</t>
        </is>
      </c>
      <c r="L884">
        <f>HYPERLINK("https://www.ncbi.nlm.nih.gov/snp/rs753077529", "rs753077529")</f>
        <v/>
      </c>
      <c r="M884">
        <f>HYPERLINK("https://www.genecards.org/Search/Keyword?queryString=%5Baliases%5D(%20ARL10%20)&amp;keywords=ARL10", "ARL10")</f>
        <v/>
      </c>
      <c r="N884" t="inlineStr">
        <is>
          <t>exonic;intronic</t>
        </is>
      </c>
      <c r="O884" t="inlineStr">
        <is>
          <t>stoploss</t>
        </is>
      </c>
      <c r="P884" t="inlineStr">
        <is>
          <t>ARL10:NM_001317948:exon3:c.820dupT:p.*277delinsLRQSLVLSPRLECSGVISAHCNLHLPGSSNSCASAFRVAGITGMCHHTQPIFVFLVEVEFCHVGQAGLELLTSSDPPASASQSAGIIGMSHCVWPPGVVLNNISSYASVDPIKYGMLFPFYRWDRLVL*;ARL10:uc003meb.3:exon3:c.820dupT:p.*277delinsLRQSLVLSPRLECSGVISAHCNLHLPGSSNSCASAFRVAGITGMCHHTQPIFVFLVEVEFCHVGQAGLELLTSSDPPASASQSAGIIGMSHCVWPPGVVLNNISSYASVDPIKYGMLFPFYRWDRLVL*</t>
        </is>
      </c>
      <c r="Q884" t="n">
        <v>0.00361</v>
      </c>
      <c r="R884" t="n">
        <v>0.0015</v>
      </c>
      <c r="S884" t="n">
        <v>0.002</v>
      </c>
      <c r="T884" t="n">
        <v>-1</v>
      </c>
      <c r="U884" t="n">
        <v>0.0013</v>
      </c>
      <c r="V884" t="inlineStr">
        <is>
          <t>.</t>
        </is>
      </c>
      <c r="W884" t="inlineStr">
        <is>
          <t>.</t>
        </is>
      </c>
      <c r="X884" t="inlineStr">
        <is>
          <t>.</t>
        </is>
      </c>
      <c r="Y884" t="inlineStr">
        <is>
          <t>.</t>
        </is>
      </c>
      <c r="Z884" t="inlineStr">
        <is>
          <t>.</t>
        </is>
      </c>
      <c r="AA884" t="inlineStr">
        <is>
          <t>.</t>
        </is>
      </c>
      <c r="AB884" t="inlineStr">
        <is>
          <t>.</t>
        </is>
      </c>
      <c r="AC884" t="inlineStr">
        <is>
          <t>0/1</t>
        </is>
      </c>
      <c r="AD884" t="inlineStr">
        <is>
          <t>1</t>
        </is>
      </c>
      <c r="AE884" t="inlineStr">
        <is>
          <t>4.90395449664771e-05</t>
        </is>
      </c>
      <c r="AF884" t="inlineStr">
        <is>
          <t>ADP ribosylation factor like GTPase 10</t>
        </is>
      </c>
      <c r="AG884" t="inlineStr">
        <is>
          <t>.</t>
        </is>
      </c>
      <c r="AH884" t="inlineStr">
        <is>
          <t>.</t>
        </is>
      </c>
      <c r="AI884" t="inlineStr">
        <is>
          <t>.</t>
        </is>
      </c>
      <c r="AJ884" t="inlineStr">
        <is>
          <t>.</t>
        </is>
      </c>
      <c r="AK884" t="inlineStr">
        <is>
          <t>.</t>
        </is>
      </c>
      <c r="AL884" t="inlineStr">
        <is>
          <t>.</t>
        </is>
      </c>
    </row>
    <row r="885">
      <c r="A885" t="inlineStr"/>
      <c r="B885">
        <f>HYPERLINK("https://genome.ucsc.edu/cgi-bin/hgTracks?db=hg19&amp;position=chr5%3A176561931%2D176561931", "chr5:176561931")</f>
        <v/>
      </c>
      <c r="C885" t="inlineStr">
        <is>
          <t>chr5</t>
        </is>
      </c>
      <c r="D885" t="n">
        <v>176561931</v>
      </c>
      <c r="E885" t="n">
        <v>176561931</v>
      </c>
      <c r="F885" t="inlineStr">
        <is>
          <t>G</t>
        </is>
      </c>
      <c r="G885" t="inlineStr">
        <is>
          <t>A</t>
        </is>
      </c>
      <c r="H885" t="inlineStr">
        <is>
          <t>55.64</t>
        </is>
      </c>
      <c r="I885" t="inlineStr">
        <is>
          <t>6</t>
        </is>
      </c>
      <c r="J885" t="inlineStr">
        <is>
          <t>4,2</t>
        </is>
      </c>
      <c r="K885" t="inlineStr">
        <is>
          <t>.</t>
        </is>
      </c>
      <c r="L885" t="inlineStr">
        <is>
          <t>.</t>
        </is>
      </c>
      <c r="M885">
        <f>HYPERLINK("https://www.genecards.org/Search/Keyword?queryString=%5Baliases%5D(%20NSD1%20)&amp;keywords=NSD1", "NSD1")</f>
        <v/>
      </c>
      <c r="N885" t="inlineStr">
        <is>
          <t>intronic</t>
        </is>
      </c>
      <c r="O885" t="inlineStr">
        <is>
          <t>.</t>
        </is>
      </c>
      <c r="P885" t="inlineStr">
        <is>
          <t>.</t>
        </is>
      </c>
      <c r="Q885" t="n">
        <v>-1</v>
      </c>
      <c r="R885" t="n">
        <v>-1</v>
      </c>
      <c r="S885" t="n">
        <v>-1</v>
      </c>
      <c r="T885" t="n">
        <v>-1</v>
      </c>
      <c r="U885" t="n">
        <v>-1</v>
      </c>
      <c r="V885" t="inlineStr">
        <is>
          <t>.</t>
        </is>
      </c>
      <c r="W885" t="inlineStr">
        <is>
          <t>.</t>
        </is>
      </c>
      <c r="X885" t="inlineStr">
        <is>
          <t>D</t>
        </is>
      </c>
      <c r="Y885" t="inlineStr">
        <is>
          <t>off</t>
        </is>
      </c>
      <c r="Z885" t="inlineStr">
        <is>
          <t>.</t>
        </is>
      </c>
      <c r="AA885" t="inlineStr">
        <is>
          <t>.</t>
        </is>
      </c>
      <c r="AB885" t="inlineStr">
        <is>
          <t>.</t>
        </is>
      </c>
      <c r="AC885" t="inlineStr">
        <is>
          <t>0/1</t>
        </is>
      </c>
      <c r="AD885" t="inlineStr">
        <is>
          <t>2</t>
        </is>
      </c>
      <c r="AE885" t="inlineStr">
        <is>
          <t>0.999999999179163</t>
        </is>
      </c>
      <c r="AF885" t="inlineStr">
        <is>
          <t>nuclear receptor binding SET domain protein 1</t>
        </is>
      </c>
      <c r="AG885" t="inlineStr">
        <is>
          <t xml:space="preserve">FUNCTION: Histone methyltransferase. Preferentially methylates 'Lys-36' of histone H3 and 'Lys-20' of histone H4 (in vitro). Transcriptional intermediary factor capable of both negatively or positively influencing transcription, depending on the cellular context. {ECO:0000269|PubMed:21196496}.; </t>
        </is>
      </c>
      <c r="AH885" t="inlineStr">
        <is>
          <t xml:space="preserve">DISEASE: Beckwith-Wiedemann syndrome (BWS) [MIM:130650]: A disorder characterized by anterior abdominal wall defects including exomphalos (omphalocele), pre- and postnatal overgrowth, and macroglossia. Additional less frequent complications include specific developmental defects and a predisposition to embryonal tumors. {ECO:0000269|PubMed:14997421}. Note=The disease is caused by mutations affecting the gene represented in this entry.; DISEASE: Note=A chromosomal aberration involving NSD1 is found in childhood acute myeloid leukemia. Translocation t(5;11)(q35;p15.5) with NUP98.; DISEASE: Note=A chromosomal aberration involving NSD1 is found in an adult form of myelodysplastic syndrome (MDS). Insertion of NUP98 into NSD1 generates a NUP98-NSD1 fusion product. {ECO:0000269|PubMed:15382262}.; </t>
        </is>
      </c>
      <c r="AI885" t="inlineStr">
        <is>
          <t>.</t>
        </is>
      </c>
      <c r="AJ885" t="inlineStr">
        <is>
          <t>.</t>
        </is>
      </c>
      <c r="AK885" t="inlineStr">
        <is>
          <t>.</t>
        </is>
      </c>
      <c r="AL885" t="inlineStr">
        <is>
          <t>.</t>
        </is>
      </c>
    </row>
    <row r="886">
      <c r="A886" t="inlineStr"/>
      <c r="B886">
        <f>HYPERLINK("https://genome.ucsc.edu/cgi-bin/hgTracks?db=hg19&amp;position=chr5%3A176689089%2D176689089", "chr5:176689089")</f>
        <v/>
      </c>
      <c r="C886" t="inlineStr">
        <is>
          <t>chr5</t>
        </is>
      </c>
      <c r="D886" t="n">
        <v>176689089</v>
      </c>
      <c r="E886" t="n">
        <v>176689089</v>
      </c>
      <c r="F886" t="inlineStr">
        <is>
          <t>T</t>
        </is>
      </c>
      <c r="G886" t="inlineStr">
        <is>
          <t>G</t>
        </is>
      </c>
      <c r="H886" t="inlineStr">
        <is>
          <t>41.64</t>
        </is>
      </c>
      <c r="I886" t="inlineStr">
        <is>
          <t>10</t>
        </is>
      </c>
      <c r="J886" t="inlineStr">
        <is>
          <t>8,2</t>
        </is>
      </c>
      <c r="K886" t="inlineStr">
        <is>
          <t>.</t>
        </is>
      </c>
      <c r="L886" t="inlineStr">
        <is>
          <t>.</t>
        </is>
      </c>
      <c r="M886">
        <f>HYPERLINK("https://www.genecards.org/Search/Keyword?queryString=%5Baliases%5D(%20NSD1%20)&amp;keywords=NSD1", "NSD1")</f>
        <v/>
      </c>
      <c r="N886" t="inlineStr">
        <is>
          <t>intronic;ncRNA_intronic</t>
        </is>
      </c>
      <c r="O886" t="inlineStr">
        <is>
          <t>.</t>
        </is>
      </c>
      <c r="P886" t="inlineStr">
        <is>
          <t>.</t>
        </is>
      </c>
      <c r="Q886" t="n">
        <v>-1</v>
      </c>
      <c r="R886" t="n">
        <v>-1</v>
      </c>
      <c r="S886" t="n">
        <v>-1</v>
      </c>
      <c r="T886" t="n">
        <v>-1</v>
      </c>
      <c r="U886" t="n">
        <v>-1</v>
      </c>
      <c r="V886" t="inlineStr">
        <is>
          <t>.</t>
        </is>
      </c>
      <c r="W886" t="inlineStr">
        <is>
          <t>.</t>
        </is>
      </c>
      <c r="X886" t="inlineStr">
        <is>
          <t>.</t>
        </is>
      </c>
      <c r="Y886" t="inlineStr">
        <is>
          <t>.</t>
        </is>
      </c>
      <c r="Z886" t="inlineStr">
        <is>
          <t>.</t>
        </is>
      </c>
      <c r="AA886" t="inlineStr">
        <is>
          <t>.</t>
        </is>
      </c>
      <c r="AB886" t="inlineStr">
        <is>
          <t>.</t>
        </is>
      </c>
      <c r="AC886" t="inlineStr">
        <is>
          <t>0/1</t>
        </is>
      </c>
      <c r="AD886" t="inlineStr">
        <is>
          <t>2</t>
        </is>
      </c>
      <c r="AE886" t="inlineStr">
        <is>
          <t>0.999999999179163</t>
        </is>
      </c>
      <c r="AF886" t="inlineStr">
        <is>
          <t>nuclear receptor binding SET domain protein 1</t>
        </is>
      </c>
      <c r="AG886" t="inlineStr">
        <is>
          <t xml:space="preserve">FUNCTION: Histone methyltransferase. Preferentially methylates 'Lys-36' of histone H3 and 'Lys-20' of histone H4 (in vitro). Transcriptional intermediary factor capable of both negatively or positively influencing transcription, depending on the cellular context. {ECO:0000269|PubMed:21196496}.; </t>
        </is>
      </c>
      <c r="AH886" t="inlineStr">
        <is>
          <t xml:space="preserve">DISEASE: Beckwith-Wiedemann syndrome (BWS) [MIM:130650]: A disorder characterized by anterior abdominal wall defects including exomphalos (omphalocele), pre- and postnatal overgrowth, and macroglossia. Additional less frequent complications include specific developmental defects and a predisposition to embryonal tumors. {ECO:0000269|PubMed:14997421}. Note=The disease is caused by mutations affecting the gene represented in this entry.; DISEASE: Note=A chromosomal aberration involving NSD1 is found in childhood acute myeloid leukemia. Translocation t(5;11)(q35;p15.5) with NUP98.; DISEASE: Note=A chromosomal aberration involving NSD1 is found in an adult form of myelodysplastic syndrome (MDS). Insertion of NUP98 into NSD1 generates a NUP98-NSD1 fusion product. {ECO:0000269|PubMed:15382262}.; </t>
        </is>
      </c>
      <c r="AI886" t="inlineStr">
        <is>
          <t>.</t>
        </is>
      </c>
      <c r="AJ886" t="inlineStr">
        <is>
          <t>.</t>
        </is>
      </c>
      <c r="AK886" t="inlineStr">
        <is>
          <t>.</t>
        </is>
      </c>
      <c r="AL886" t="inlineStr">
        <is>
          <t>.</t>
        </is>
      </c>
    </row>
    <row r="887">
      <c r="A887" t="inlineStr"/>
      <c r="B887">
        <f>HYPERLINK("https://genome.ucsc.edu/cgi-bin/hgTracks?db=hg19&amp;position=chr5%3A179740689%2D179740689", "chr5:179740689")</f>
        <v/>
      </c>
      <c r="C887" t="inlineStr">
        <is>
          <t>chr5</t>
        </is>
      </c>
      <c r="D887" t="n">
        <v>179740689</v>
      </c>
      <c r="E887" t="n">
        <v>179740689</v>
      </c>
      <c r="F887" t="inlineStr">
        <is>
          <t>A</t>
        </is>
      </c>
      <c r="G887" t="inlineStr">
        <is>
          <t>T</t>
        </is>
      </c>
      <c r="H887" t="inlineStr">
        <is>
          <t>59.64</t>
        </is>
      </c>
      <c r="I887" t="inlineStr">
        <is>
          <t>6</t>
        </is>
      </c>
      <c r="J887" t="inlineStr">
        <is>
          <t>4,2</t>
        </is>
      </c>
      <c r="K887" t="inlineStr">
        <is>
          <t>.</t>
        </is>
      </c>
      <c r="L887" t="inlineStr">
        <is>
          <t>.</t>
        </is>
      </c>
      <c r="M887">
        <f>HYPERLINK("https://www.genecards.org/Search/Keyword?queryString=%5Baliases%5D(%20GFPT2%20)&amp;keywords=GFPT2", "GFPT2")</f>
        <v/>
      </c>
      <c r="N887" t="inlineStr">
        <is>
          <t>intronic</t>
        </is>
      </c>
      <c r="O887" t="inlineStr">
        <is>
          <t>.</t>
        </is>
      </c>
      <c r="P887" t="inlineStr">
        <is>
          <t>.</t>
        </is>
      </c>
      <c r="Q887" t="n">
        <v>-1</v>
      </c>
      <c r="R887" t="n">
        <v>-1</v>
      </c>
      <c r="S887" t="n">
        <v>-1</v>
      </c>
      <c r="T887" t="n">
        <v>-1</v>
      </c>
      <c r="U887" t="n">
        <v>-1</v>
      </c>
      <c r="V887" t="inlineStr">
        <is>
          <t>.</t>
        </is>
      </c>
      <c r="W887" t="inlineStr">
        <is>
          <t>.</t>
        </is>
      </c>
      <c r="X887" t="inlineStr">
        <is>
          <t>D</t>
        </is>
      </c>
      <c r="Y887" t="inlineStr">
        <is>
          <t>off</t>
        </is>
      </c>
      <c r="Z887" t="inlineStr">
        <is>
          <t>.</t>
        </is>
      </c>
      <c r="AA887" t="inlineStr">
        <is>
          <t>.</t>
        </is>
      </c>
      <c r="AB887" t="inlineStr">
        <is>
          <t>.</t>
        </is>
      </c>
      <c r="AC887" t="inlineStr">
        <is>
          <t>0/1</t>
        </is>
      </c>
      <c r="AD887" t="inlineStr">
        <is>
          <t>1</t>
        </is>
      </c>
      <c r="AE887" t="inlineStr">
        <is>
          <t>6.62530503452039e-07</t>
        </is>
      </c>
      <c r="AF887" t="inlineStr">
        <is>
          <t>glutamine-fructose-6-phosphate transaminase 2</t>
        </is>
      </c>
      <c r="AG887" t="inlineStr">
        <is>
          <t xml:space="preserve">FUNCTION: Controls the flux of glucose into the hexosamine pathway. Most likely involved in regulating the availability of precursors for N- and O-linked glycosylation of proteins.; </t>
        </is>
      </c>
      <c r="AH887" t="inlineStr">
        <is>
          <t>.</t>
        </is>
      </c>
      <c r="AI887" t="inlineStr">
        <is>
          <t>.</t>
        </is>
      </c>
      <c r="AJ887" t="inlineStr">
        <is>
          <t>.</t>
        </is>
      </c>
      <c r="AK887" t="inlineStr">
        <is>
          <t>.</t>
        </is>
      </c>
      <c r="AL887" t="inlineStr">
        <is>
          <t>.</t>
        </is>
      </c>
    </row>
    <row r="888">
      <c r="A888" t="inlineStr"/>
      <c r="B888">
        <f>HYPERLINK("https://genome.ucsc.edu/cgi-bin/hgTracks?db=hg19&amp;position=chr5%3A180166677%2D180166677", "chr5:180166677")</f>
        <v/>
      </c>
      <c r="C888" t="inlineStr">
        <is>
          <t>chr5</t>
        </is>
      </c>
      <c r="D888" t="n">
        <v>180166677</v>
      </c>
      <c r="E888" t="n">
        <v>180166677</v>
      </c>
      <c r="F888" t="inlineStr">
        <is>
          <t>G</t>
        </is>
      </c>
      <c r="G888" t="inlineStr">
        <is>
          <t>A</t>
        </is>
      </c>
      <c r="H888" t="inlineStr">
        <is>
          <t>2080.64</t>
        </is>
      </c>
      <c r="I888" t="inlineStr">
        <is>
          <t>123</t>
        </is>
      </c>
      <c r="J888" t="inlineStr">
        <is>
          <t>45,78</t>
        </is>
      </c>
      <c r="K888" t="inlineStr">
        <is>
          <t>.</t>
        </is>
      </c>
      <c r="L888">
        <f>HYPERLINK("https://www.ncbi.nlm.nih.gov/snp/rs11960429", "rs11960429")</f>
        <v/>
      </c>
      <c r="M888">
        <f>HYPERLINK("https://www.genecards.org/Search/Keyword?queryString=%5Baliases%5D(%20OR2Y1%20)&amp;keywords=OR2Y1", "OR2Y1")</f>
        <v/>
      </c>
      <c r="N888" t="inlineStr">
        <is>
          <t>exonic</t>
        </is>
      </c>
      <c r="O888" t="inlineStr">
        <is>
          <t>nonsynonymous SNV</t>
        </is>
      </c>
      <c r="P888" t="inlineStr">
        <is>
          <t>OR2Y1:NM_001001657:exon1:c.C382T:p.R128C;OR2Y1:uc003mmf.1:exon1:c.C382T:p.R128C;OR2Y1:ENST00000307832.3_3:exon1:c.C382T:p.R128C</t>
        </is>
      </c>
      <c r="Q888" t="n">
        <v>0.025862</v>
      </c>
      <c r="R888" t="n">
        <v>0.0134</v>
      </c>
      <c r="S888" t="n">
        <v>0.0142</v>
      </c>
      <c r="T888" t="n">
        <v>-1</v>
      </c>
      <c r="U888" t="n">
        <v>0.0128</v>
      </c>
      <c r="V888" t="inlineStr">
        <is>
          <t>4/10</t>
        </is>
      </c>
      <c r="W888" t="inlineStr">
        <is>
          <t>.</t>
        </is>
      </c>
      <c r="X888" t="inlineStr">
        <is>
          <t>.</t>
        </is>
      </c>
      <c r="Y888" t="inlineStr">
        <is>
          <t>.</t>
        </is>
      </c>
      <c r="Z888" t="inlineStr">
        <is>
          <t>0/7</t>
        </is>
      </c>
      <c r="AA888" t="inlineStr">
        <is>
          <t>Likely benign</t>
        </is>
      </c>
      <c r="AB888" t="inlineStr">
        <is>
          <t>.</t>
        </is>
      </c>
      <c r="AC888" t="inlineStr">
        <is>
          <t>0/1</t>
        </is>
      </c>
      <c r="AD888" t="inlineStr">
        <is>
          <t>1</t>
        </is>
      </c>
      <c r="AE888" t="inlineStr">
        <is>
          <t>5.15790392859341e-07</t>
        </is>
      </c>
      <c r="AF888" t="inlineStr">
        <is>
          <t>olfactory receptor family 2 subfamily Y member 1</t>
        </is>
      </c>
      <c r="AG888" t="inlineStr">
        <is>
          <t xml:space="preserve">FUNCTION: Odorant receptor. {ECO:0000305}.; </t>
        </is>
      </c>
      <c r="AH888" t="inlineStr">
        <is>
          <t>.</t>
        </is>
      </c>
      <c r="AI888" t="inlineStr">
        <is>
          <t>.</t>
        </is>
      </c>
      <c r="AJ888" t="inlineStr">
        <is>
          <t>.</t>
        </is>
      </c>
      <c r="AK888" t="inlineStr">
        <is>
          <t>.</t>
        </is>
      </c>
      <c r="AL888" t="inlineStr">
        <is>
          <t>.</t>
        </is>
      </c>
    </row>
    <row r="889">
      <c r="A889" t="inlineStr"/>
      <c r="B889">
        <f>HYPERLINK("https://genome.ucsc.edu/cgi-bin/hgTracks?db=hg19&amp;position=chr6%3A12163739%2D12163739", "chr6:12163739")</f>
        <v/>
      </c>
      <c r="C889" t="inlineStr">
        <is>
          <t>chr6</t>
        </is>
      </c>
      <c r="D889" t="n">
        <v>12163739</v>
      </c>
      <c r="E889" t="n">
        <v>12163739</v>
      </c>
      <c r="F889" t="inlineStr">
        <is>
          <t>T</t>
        </is>
      </c>
      <c r="G889" t="inlineStr">
        <is>
          <t>C</t>
        </is>
      </c>
      <c r="H889" t="inlineStr">
        <is>
          <t>1229.64</t>
        </is>
      </c>
      <c r="I889" t="inlineStr">
        <is>
          <t>211</t>
        </is>
      </c>
      <c r="J889" t="inlineStr">
        <is>
          <t>148,63</t>
        </is>
      </c>
      <c r="K889" t="inlineStr">
        <is>
          <t>.</t>
        </is>
      </c>
      <c r="L889">
        <f>HYPERLINK("https://www.ncbi.nlm.nih.gov/snp/rs75028515", "rs75028515")</f>
        <v/>
      </c>
      <c r="M889">
        <f>HYPERLINK("https://www.genecards.org/Search/Keyword?queryString=%5Baliases%5D(%20HIVEP1%20)&amp;keywords=HIVEP1", "HIVEP1")</f>
        <v/>
      </c>
      <c r="N889" t="inlineStr">
        <is>
          <t>exonic</t>
        </is>
      </c>
      <c r="O889" t="inlineStr">
        <is>
          <t>nonsynonymous SNV</t>
        </is>
      </c>
      <c r="P889" t="inlineStr">
        <is>
          <t>HIVEP1:NM_002114:exon9:c.T7202C:p.V2401A;HIVEP1:uc003nac.3:exon9:c.T7202C:p.V2401A;HIVEP1:ENST00000627968.2_1:exon8:c.T797C:p.V266A,HIVEP1:ENST00000379388.7_5:exon9:c.T7202C:p.V2401A,HIVEP1:ENST00000541134.5_1:exon9:c.T7199C:p.V2400A</t>
        </is>
      </c>
      <c r="Q889" t="n">
        <v>0.005</v>
      </c>
      <c r="R889" t="n">
        <v>0.0028</v>
      </c>
      <c r="S889" t="n">
        <v>0.0021</v>
      </c>
      <c r="T889" t="n">
        <v>-1</v>
      </c>
      <c r="U889" t="n">
        <v>0.002</v>
      </c>
      <c r="V889" t="inlineStr">
        <is>
          <t>6/11</t>
        </is>
      </c>
      <c r="W889" t="inlineStr">
        <is>
          <t>.</t>
        </is>
      </c>
      <c r="X889" t="inlineStr">
        <is>
          <t>.</t>
        </is>
      </c>
      <c r="Y889" t="inlineStr">
        <is>
          <t>.</t>
        </is>
      </c>
      <c r="Z889" t="inlineStr">
        <is>
          <t>6/7</t>
        </is>
      </c>
      <c r="AA889" t="inlineStr">
        <is>
          <t>Uncertain significance</t>
        </is>
      </c>
      <c r="AB889" t="inlineStr">
        <is>
          <t>.</t>
        </is>
      </c>
      <c r="AC889" t="inlineStr">
        <is>
          <t>0/1</t>
        </is>
      </c>
      <c r="AD889" t="inlineStr">
        <is>
          <t>1</t>
        </is>
      </c>
      <c r="AE889" t="inlineStr">
        <is>
          <t>0.999986917229393</t>
        </is>
      </c>
      <c r="AF889" t="inlineStr">
        <is>
          <t>human immunodeficiency virus type I enhancer binding protein 1</t>
        </is>
      </c>
      <c r="AG889" t="inlineStr">
        <is>
          <t xml:space="preserve">FUNCTION: This protein specifically binds to the DNA sequence 5'- GGGACTTTCC-3' which is found in the enhancer elements of numerous viral promoters such as those of SV40, CMV, or HIV-1. In addition, related sequences are found in the enhancer elements of a number of cellular promoters, including those of the class I MHC, interleukin-2 receptor, and interferon-beta genes. It may act in T-cell activation. Involved in activating HIV-1 gene expression. Isoform 2 and isoform 3 also bind to the IPCS (IRF1 and p53 common sequence) DNA sequence in the promoter region of interferon regulatory factor 1 and p53 genes and are involved in transcription regulation of these genes. Isoform 2 does not activate HIV-1 gene expression. Isoform 2 and isoform 3 may be involved in apoptosis.; </t>
        </is>
      </c>
      <c r="AH889" t="inlineStr">
        <is>
          <t>.</t>
        </is>
      </c>
      <c r="AI889" t="inlineStr">
        <is>
          <t>.</t>
        </is>
      </c>
      <c r="AJ889" t="inlineStr">
        <is>
          <t>.</t>
        </is>
      </c>
      <c r="AK889" t="inlineStr">
        <is>
          <t>.</t>
        </is>
      </c>
      <c r="AL889" t="inlineStr">
        <is>
          <t>.</t>
        </is>
      </c>
    </row>
    <row r="890">
      <c r="A890" t="inlineStr"/>
      <c r="B890">
        <f>HYPERLINK("https://genome.ucsc.edu/cgi-bin/hgTracks?db=hg19&amp;position=chr6%3A29911272%2D29911272", "chr6:29911272")</f>
        <v/>
      </c>
      <c r="C890" t="inlineStr">
        <is>
          <t>chr6</t>
        </is>
      </c>
      <c r="D890" t="n">
        <v>29911272</v>
      </c>
      <c r="E890" t="n">
        <v>29911272</v>
      </c>
      <c r="F890" t="inlineStr">
        <is>
          <t>T</t>
        </is>
      </c>
      <c r="G890" t="inlineStr">
        <is>
          <t>A</t>
        </is>
      </c>
      <c r="H890" t="inlineStr">
        <is>
          <t>172.64</t>
        </is>
      </c>
      <c r="I890" t="inlineStr">
        <is>
          <t>195</t>
        </is>
      </c>
      <c r="J890" t="inlineStr">
        <is>
          <t>177,18</t>
        </is>
      </c>
      <c r="K890" t="inlineStr">
        <is>
          <t>.</t>
        </is>
      </c>
      <c r="L890">
        <f>HYPERLINK("https://www.ncbi.nlm.nih.gov/snp/rs3098019", "rs3098019")</f>
        <v/>
      </c>
      <c r="M890">
        <f>HYPERLINK("https://www.genecards.org/Search/Keyword?queryString=%5Baliases%5D(%20HLA-A%20)&amp;keywords=HLA-A", "HLA-A")</f>
        <v/>
      </c>
      <c r="N890" t="inlineStr">
        <is>
          <t>exonic</t>
        </is>
      </c>
      <c r="O890" t="inlineStr">
        <is>
          <t>nonsynonymous SNV</t>
        </is>
      </c>
      <c r="P890" t="inlineStr">
        <is>
          <t>HLA-A:NM_001242758:exon3:c.T571A:p.W191R,HLA-A:NM_002116:exon3:c.T571A:p.W191R;HLA-A:uc011dmc.2:exon1:c.T208A:p.W70R,HLA-A:uc011dmd.2:exon1:c.T208A:p.W70R,HLA-A:uc003nok.3:exon2:c.T208A:p.W70R,HLA-A:uc010jrq.3:exon2:c.T208A:p.W70R,HLA-A:uc010klp.2:exon2:c.T487A:p.W163R,HLA-A:uc003nol.3:exon3:c.T571A:p.W191R,HLA-A:uc021ytz.1:exon3:c.T571A:p.W191R;HLA-A:ENST00000376802.2_2:exon3:c.T571A:p.W191R,HLA-A:ENST00000376806.9_3:exon3:c.T571A:p.W191R,HLA-A:ENST00000376809.10_7:exon3:c.T571A:p.W191R,HLA-A:ENST00000638375.1_2:exon3:c.T571A:p.W191R,HLA-A:ENST00000396634.5_5:exon5:c.T571A:p.W191R</t>
        </is>
      </c>
      <c r="Q890" t="n">
        <v>0.020548</v>
      </c>
      <c r="R890" t="n">
        <v>0.0086</v>
      </c>
      <c r="S890" t="n">
        <v>0.008399999999999999</v>
      </c>
      <c r="T890" t="n">
        <v>-1</v>
      </c>
      <c r="U890" t="n">
        <v>0.012</v>
      </c>
      <c r="V890" t="inlineStr">
        <is>
          <t>4/10</t>
        </is>
      </c>
      <c r="W890" t="inlineStr">
        <is>
          <t>.</t>
        </is>
      </c>
      <c r="X890" t="inlineStr">
        <is>
          <t>.</t>
        </is>
      </c>
      <c r="Y890" t="inlineStr">
        <is>
          <t>.</t>
        </is>
      </c>
      <c r="Z890" t="inlineStr">
        <is>
          <t>1/7</t>
        </is>
      </c>
      <c r="AA890" t="inlineStr">
        <is>
          <t>Likely benign</t>
        </is>
      </c>
      <c r="AB890" t="inlineStr">
        <is>
          <t>.</t>
        </is>
      </c>
      <c r="AC890" t="inlineStr">
        <is>
          <t>.</t>
        </is>
      </c>
      <c r="AD890" t="inlineStr">
        <is>
          <t>1</t>
        </is>
      </c>
      <c r="AE890" t="inlineStr">
        <is>
          <t>0.132779664827761</t>
        </is>
      </c>
      <c r="AF890" t="inlineStr">
        <is>
          <t>major histocompatibility complex, class I, A</t>
        </is>
      </c>
      <c r="AG890" t="inlineStr">
        <is>
          <t xml:space="preserve">FUNCTION: Involved in the presentation of foreign antigens to the immune system.; </t>
        </is>
      </c>
      <c r="AH890" t="inlineStr">
        <is>
          <t>.</t>
        </is>
      </c>
      <c r="AI890" t="inlineStr">
        <is>
          <t>GenotypeConflict</t>
        </is>
      </c>
      <c r="AJ890" t="inlineStr">
        <is>
          <t>.</t>
        </is>
      </c>
      <c r="AK890" t="inlineStr">
        <is>
          <t>MHC</t>
        </is>
      </c>
      <c r="AL890" t="inlineStr">
        <is>
          <t>.</t>
        </is>
      </c>
    </row>
    <row r="891">
      <c r="A891" t="inlineStr"/>
      <c r="B891">
        <f>HYPERLINK("https://genome.ucsc.edu/cgi-bin/hgTracks?db=hg19&amp;position=chr6%3A30523118%2D30523118", "chr6:30523118")</f>
        <v/>
      </c>
      <c r="C891" t="inlineStr">
        <is>
          <t>chr6</t>
        </is>
      </c>
      <c r="D891" t="n">
        <v>30523118</v>
      </c>
      <c r="E891" t="n">
        <v>30523118</v>
      </c>
      <c r="F891" t="inlineStr">
        <is>
          <t>T</t>
        </is>
      </c>
      <c r="G891" t="inlineStr">
        <is>
          <t>A</t>
        </is>
      </c>
      <c r="H891" t="inlineStr">
        <is>
          <t>31.64</t>
        </is>
      </c>
      <c r="I891" t="inlineStr">
        <is>
          <t>10</t>
        </is>
      </c>
      <c r="J891" t="inlineStr">
        <is>
          <t>8,2</t>
        </is>
      </c>
      <c r="K891" t="inlineStr">
        <is>
          <t>.</t>
        </is>
      </c>
      <c r="L891" t="inlineStr">
        <is>
          <t>.</t>
        </is>
      </c>
      <c r="M891">
        <f>HYPERLINK("https://www.genecards.org/Search/Keyword?queryString=%5Baliases%5D(%20GNL1%20)&amp;keywords=GNL1", "GNL1")</f>
        <v/>
      </c>
      <c r="N891" t="inlineStr">
        <is>
          <t>intronic</t>
        </is>
      </c>
      <c r="O891" t="inlineStr">
        <is>
          <t>.</t>
        </is>
      </c>
      <c r="P891" t="inlineStr">
        <is>
          <t>.</t>
        </is>
      </c>
      <c r="Q891" t="n">
        <v>-1</v>
      </c>
      <c r="R891" t="n">
        <v>-1</v>
      </c>
      <c r="S891" t="n">
        <v>-1</v>
      </c>
      <c r="T891" t="n">
        <v>-1</v>
      </c>
      <c r="U891" t="n">
        <v>-1</v>
      </c>
      <c r="V891" t="inlineStr">
        <is>
          <t>.</t>
        </is>
      </c>
      <c r="W891" t="inlineStr">
        <is>
          <t>.</t>
        </is>
      </c>
      <c r="X891" t="inlineStr">
        <is>
          <t>PD</t>
        </is>
      </c>
      <c r="Y891" t="inlineStr">
        <is>
          <t>off</t>
        </is>
      </c>
      <c r="Z891" t="inlineStr">
        <is>
          <t>.</t>
        </is>
      </c>
      <c r="AA891" t="inlineStr">
        <is>
          <t>.</t>
        </is>
      </c>
      <c r="AB891" t="inlineStr">
        <is>
          <t>.</t>
        </is>
      </c>
      <c r="AC891" t="inlineStr">
        <is>
          <t>0/1</t>
        </is>
      </c>
      <c r="AD891" t="inlineStr">
        <is>
          <t>1</t>
        </is>
      </c>
      <c r="AE891" t="inlineStr">
        <is>
          <t>0.999930615118599</t>
        </is>
      </c>
      <c r="AF891" t="inlineStr">
        <is>
          <t>G protein nucleolar 1 (putative)</t>
        </is>
      </c>
      <c r="AG891" t="inlineStr">
        <is>
          <t xml:space="preserve">FUNCTION: Possible regulatory or functional link with the histocompatibility cluster.; </t>
        </is>
      </c>
      <c r="AH891" t="inlineStr">
        <is>
          <t>.</t>
        </is>
      </c>
      <c r="AI891" t="inlineStr">
        <is>
          <t>.</t>
        </is>
      </c>
      <c r="AJ891" t="inlineStr">
        <is>
          <t>.</t>
        </is>
      </c>
      <c r="AK891" t="inlineStr">
        <is>
          <t>MHC</t>
        </is>
      </c>
      <c r="AL891" t="inlineStr">
        <is>
          <t>.</t>
        </is>
      </c>
    </row>
    <row r="892">
      <c r="A892" t="inlineStr"/>
      <c r="B892">
        <f>HYPERLINK("https://genome.ucsc.edu/cgi-bin/hgTracks?db=hg19&amp;position=chr6%3A31500754%2D31500754", "chr6:31500754")</f>
        <v/>
      </c>
      <c r="C892" t="inlineStr">
        <is>
          <t>chr6</t>
        </is>
      </c>
      <c r="D892" t="n">
        <v>31500754</v>
      </c>
      <c r="E892" t="n">
        <v>31500754</v>
      </c>
      <c r="F892" t="inlineStr">
        <is>
          <t>T</t>
        </is>
      </c>
      <c r="G892" t="inlineStr">
        <is>
          <t>G</t>
        </is>
      </c>
      <c r="H892" t="inlineStr">
        <is>
          <t>44.64</t>
        </is>
      </c>
      <c r="I892" t="inlineStr">
        <is>
          <t>24</t>
        </is>
      </c>
      <c r="J892" t="inlineStr">
        <is>
          <t>18,6</t>
        </is>
      </c>
      <c r="K892" t="inlineStr">
        <is>
          <t>.</t>
        </is>
      </c>
      <c r="L892">
        <f>HYPERLINK("https://www.ncbi.nlm.nih.gov/snp/rs1031517188", "rs1031517188")</f>
        <v/>
      </c>
      <c r="M892">
        <f>HYPERLINK("https://www.genecards.org/Search/Keyword?queryString=%5Baliases%5D(%20ATP6V1G2-DDX39B%20)%20OR%20%5Baliases%5D(%20DDX39B%20)&amp;keywords=ATP6V1G2-DDX39B,DDX39B", "ATP6V1G2-DDX39B;DDX39B")</f>
        <v/>
      </c>
      <c r="N892" t="inlineStr">
        <is>
          <t>exonic;intronic;ncRNA_intronic</t>
        </is>
      </c>
      <c r="O892" t="inlineStr">
        <is>
          <t>nonsynonymous SNV</t>
        </is>
      </c>
      <c r="P892" t="inlineStr">
        <is>
          <t>DDX39B:uc003ntr.3:exon1:c.A91C:p.T31P</t>
        </is>
      </c>
      <c r="Q892" t="n">
        <v>0.0063</v>
      </c>
      <c r="R892" t="n">
        <v>0.0026</v>
      </c>
      <c r="S892" t="n">
        <v>0.002</v>
      </c>
      <c r="T892" t="n">
        <v>-1</v>
      </c>
      <c r="U892" t="n">
        <v>0.0018</v>
      </c>
      <c r="V892" t="inlineStr">
        <is>
          <t>.</t>
        </is>
      </c>
      <c r="W892" t="inlineStr">
        <is>
          <t>.</t>
        </is>
      </c>
      <c r="X892" t="inlineStr">
        <is>
          <t>PD</t>
        </is>
      </c>
      <c r="Y892" t="inlineStr">
        <is>
          <t>off</t>
        </is>
      </c>
      <c r="Z892" t="inlineStr">
        <is>
          <t>.</t>
        </is>
      </c>
      <c r="AA892" t="inlineStr">
        <is>
          <t>.</t>
        </is>
      </c>
      <c r="AB892" t="inlineStr">
        <is>
          <t>.</t>
        </is>
      </c>
      <c r="AC892" t="inlineStr">
        <is>
          <t>0/1</t>
        </is>
      </c>
      <c r="AD892" t="inlineStr">
        <is>
          <t>1;1</t>
        </is>
      </c>
      <c r="AE892" t="inlineStr">
        <is>
          <t>0.997728044454765</t>
        </is>
      </c>
      <c r="AF892" t="inlineStr">
        <is>
          <t>ATP6V1G2-DDX39B readthrough (NMD candidate);DEAD-box helicase 39B</t>
        </is>
      </c>
      <c r="AG892" t="inlineStr">
        <is>
          <t xml:space="preserve">FUNCTION: Involved in nuclear export of spliced and unspliced mRNA. Assembling component of the TREX complex which is thought to couple mRNA transcription, processing and nuclear export, and specifically associates with spliced mRNA and not with unspliced pre-mRNA. TREX is recruited to spliced mRNAs by a transcription- independent mechanism, binds to mRNA upstream of the exon-junction complex (EJC) and is recruited in a splicing- and cap-dependent manner to a region near the 5' end of the mRNA where it functions in mRNA export to the cytoplasm via the TAP/NFX1 pathway. May undergo several rounds of ATP hydrolysis during assembly of TREX to drive subsequent loading of components such as ALYREF/THOC and CHTOP onto mRNA. The TREX complex is essential for the export of Kaposi's sarcoma-associated herpesvirus (KSHV) intronless mRNAs and infectious virus production. Also associates with pre-mRNA independent of ALYREF/THOC4 and the THO complex. Involved in the nuclear export of intronless mRNA; the ATP-bound form is proposed to recruit export adapter ALYREF/THOC4 to intronless mRNA; its ATPase activity is cooperatively stimulated by RNA and ALYREF/THOC4 and ATP hydrolysis is thought to trigger the dissociation from RNA to allow the association of ALYREF/THOC4 and the NXF1-NXT1 heterodimer. Involved in transcription elongation and genome stability.; </t>
        </is>
      </c>
      <c r="AH892" t="inlineStr">
        <is>
          <t>.</t>
        </is>
      </c>
      <c r="AI892" t="inlineStr">
        <is>
          <t>.</t>
        </is>
      </c>
      <c r="AJ892" t="inlineStr">
        <is>
          <t>.</t>
        </is>
      </c>
      <c r="AK892" t="inlineStr">
        <is>
          <t>MHC</t>
        </is>
      </c>
      <c r="AL892" t="inlineStr">
        <is>
          <t>.</t>
        </is>
      </c>
    </row>
    <row r="893">
      <c r="A893" t="inlineStr"/>
      <c r="B893">
        <f>HYPERLINK("https://genome.ucsc.edu/cgi-bin/hgTracks?db=hg19&amp;position=chr6%3A31748673%2D31748673", "chr6:31748673")</f>
        <v/>
      </c>
      <c r="C893" t="inlineStr">
        <is>
          <t>chr6</t>
        </is>
      </c>
      <c r="D893" t="n">
        <v>31748673</v>
      </c>
      <c r="E893" t="n">
        <v>31748673</v>
      </c>
      <c r="F893" t="inlineStr">
        <is>
          <t>C</t>
        </is>
      </c>
      <c r="G893" t="inlineStr">
        <is>
          <t>T</t>
        </is>
      </c>
      <c r="H893" t="inlineStr">
        <is>
          <t>764.64</t>
        </is>
      </c>
      <c r="I893" t="inlineStr">
        <is>
          <t>314</t>
        </is>
      </c>
      <c r="J893" t="inlineStr">
        <is>
          <t>258,56</t>
        </is>
      </c>
      <c r="K893" t="inlineStr">
        <is>
          <t>.</t>
        </is>
      </c>
      <c r="L893">
        <f>HYPERLINK("https://www.ncbi.nlm.nih.gov/snp/rs772570606", "rs772570606")</f>
        <v/>
      </c>
      <c r="M893">
        <f>HYPERLINK("https://www.genecards.org/Search/Keyword?queryString=%5Baliases%5D(%20VARS%20)%20OR%20%5Baliases%5D(%20VARS1%20)&amp;keywords=VARS,VARS1", "VARS;VARS1")</f>
        <v/>
      </c>
      <c r="N893" t="inlineStr">
        <is>
          <t>exonic</t>
        </is>
      </c>
      <c r="O893" t="inlineStr">
        <is>
          <t>nonsynonymous SNV</t>
        </is>
      </c>
      <c r="P893" t="inlineStr">
        <is>
          <t>VARS1:NM_006295:exon23:c.G2692A:p.E898K;VARS:uc003nxe.3:exon23:c.G2692A:p.E898K;VARS1:ENST00000375663.8_5:exon23:c.G2692A:p.E898K</t>
        </is>
      </c>
      <c r="Q893" t="n">
        <v>1.29e-05</v>
      </c>
      <c r="R893" t="n">
        <v>-1</v>
      </c>
      <c r="S893" t="n">
        <v>-1</v>
      </c>
      <c r="T893" t="n">
        <v>-1</v>
      </c>
      <c r="U893" t="n">
        <v>-1</v>
      </c>
      <c r="V893" t="inlineStr">
        <is>
          <t>10/12</t>
        </is>
      </c>
      <c r="W893" t="inlineStr">
        <is>
          <t>.</t>
        </is>
      </c>
      <c r="X893" t="inlineStr">
        <is>
          <t>.</t>
        </is>
      </c>
      <c r="Y893" t="inlineStr">
        <is>
          <t>.</t>
        </is>
      </c>
      <c r="Z893" t="inlineStr">
        <is>
          <t>4/7</t>
        </is>
      </c>
      <c r="AA893" t="inlineStr">
        <is>
          <t>Uncertain significance</t>
        </is>
      </c>
      <c r="AB893" t="inlineStr">
        <is>
          <t>.</t>
        </is>
      </c>
      <c r="AC893" t="inlineStr">
        <is>
          <t>0/1</t>
        </is>
      </c>
      <c r="AD893" t="inlineStr">
        <is>
          <t>2;2</t>
        </is>
      </c>
      <c r="AE893" t="inlineStr">
        <is>
          <t>0.67979413526559</t>
        </is>
      </c>
      <c r="AF893" t="inlineStr">
        <is>
          <t>valyl-tRNA synthetase</t>
        </is>
      </c>
      <c r="AG893" t="inlineStr">
        <is>
          <t>.</t>
        </is>
      </c>
      <c r="AH893" t="inlineStr">
        <is>
          <t>.</t>
        </is>
      </c>
      <c r="AI893" t="inlineStr">
        <is>
          <t>.</t>
        </is>
      </c>
      <c r="AJ893" t="inlineStr">
        <is>
          <t>.</t>
        </is>
      </c>
      <c r="AK893" t="inlineStr">
        <is>
          <t>MHC</t>
        </is>
      </c>
      <c r="AL893" t="inlineStr">
        <is>
          <t>.</t>
        </is>
      </c>
    </row>
    <row r="894">
      <c r="A894" t="inlineStr"/>
      <c r="B894">
        <f>HYPERLINK("https://genome.ucsc.edu/cgi-bin/hgTracks?db=hg19&amp;position=chr6%3A31759390%2D31759390", "chr6:31759390")</f>
        <v/>
      </c>
      <c r="C894" t="inlineStr">
        <is>
          <t>chr6</t>
        </is>
      </c>
      <c r="D894" t="n">
        <v>31759390</v>
      </c>
      <c r="E894" t="n">
        <v>31759390</v>
      </c>
      <c r="F894" t="inlineStr">
        <is>
          <t>C</t>
        </is>
      </c>
      <c r="G894" t="inlineStr">
        <is>
          <t>A</t>
        </is>
      </c>
      <c r="H894" t="inlineStr">
        <is>
          <t>74.64</t>
        </is>
      </c>
      <c r="I894" t="inlineStr">
        <is>
          <t>112</t>
        </is>
      </c>
      <c r="J894" t="inlineStr">
        <is>
          <t>94,18</t>
        </is>
      </c>
      <c r="K894" t="inlineStr">
        <is>
          <t>.</t>
        </is>
      </c>
      <c r="L894" t="inlineStr">
        <is>
          <t>.</t>
        </is>
      </c>
      <c r="M894">
        <f>HYPERLINK("https://www.genecards.org/Search/Keyword?queryString=%5Baliases%5D(%20VARS%20)%20OR%20%5Baliases%5D(%20VARS1%20)&amp;keywords=VARS,VARS1", "VARS;VARS1")</f>
        <v/>
      </c>
      <c r="N894" t="inlineStr">
        <is>
          <t>exonic</t>
        </is>
      </c>
      <c r="O894" t="inlineStr">
        <is>
          <t>nonsynonymous SNV</t>
        </is>
      </c>
      <c r="P894" t="inlineStr">
        <is>
          <t>VARS1:NM_006295:exon8:c.G1097T:p.R366L;VARS:uc003nxe.3:exon8:c.G1097T:p.R366L;VARS1:ENST00000375663.8_5:exon8:c.G1097T:p.R366L</t>
        </is>
      </c>
      <c r="Q894" t="n">
        <v>-1</v>
      </c>
      <c r="R894" t="n">
        <v>-1</v>
      </c>
      <c r="S894" t="n">
        <v>-1</v>
      </c>
      <c r="T894" t="n">
        <v>-1</v>
      </c>
      <c r="U894" t="n">
        <v>-1</v>
      </c>
      <c r="V894" t="inlineStr">
        <is>
          <t>9/12</t>
        </is>
      </c>
      <c r="W894" t="inlineStr">
        <is>
          <t>.</t>
        </is>
      </c>
      <c r="X894" t="inlineStr">
        <is>
          <t>.</t>
        </is>
      </c>
      <c r="Y894" t="inlineStr">
        <is>
          <t>.</t>
        </is>
      </c>
      <c r="Z894" t="inlineStr">
        <is>
          <t>5/7</t>
        </is>
      </c>
      <c r="AA894" t="inlineStr">
        <is>
          <t>Likely pathogenic</t>
        </is>
      </c>
      <c r="AB894" t="inlineStr">
        <is>
          <t>.</t>
        </is>
      </c>
      <c r="AC894" t="inlineStr">
        <is>
          <t>0/1</t>
        </is>
      </c>
      <c r="AD894" t="inlineStr">
        <is>
          <t>2;2</t>
        </is>
      </c>
      <c r="AE894" t="inlineStr">
        <is>
          <t>0.67979413526559</t>
        </is>
      </c>
      <c r="AF894" t="inlineStr">
        <is>
          <t>valyl-tRNA synthetase</t>
        </is>
      </c>
      <c r="AG894" t="inlineStr">
        <is>
          <t>.</t>
        </is>
      </c>
      <c r="AH894" t="inlineStr">
        <is>
          <t>.</t>
        </is>
      </c>
      <c r="AI894" t="inlineStr">
        <is>
          <t>.</t>
        </is>
      </c>
      <c r="AJ894" t="inlineStr">
        <is>
          <t>.</t>
        </is>
      </c>
      <c r="AK894" t="inlineStr">
        <is>
          <t>MHC</t>
        </is>
      </c>
      <c r="AL894" t="inlineStr">
        <is>
          <t>.</t>
        </is>
      </c>
    </row>
    <row r="895">
      <c r="A895" t="inlineStr"/>
      <c r="B895">
        <f>HYPERLINK("https://genome.ucsc.edu/cgi-bin/hgTracks?db=hg19&amp;position=chr6%3A32064603%2D32064603", "chr6:32064603")</f>
        <v/>
      </c>
      <c r="C895" t="inlineStr">
        <is>
          <t>chr6</t>
        </is>
      </c>
      <c r="D895" t="n">
        <v>32064603</v>
      </c>
      <c r="E895" t="n">
        <v>32064603</v>
      </c>
      <c r="F895" t="inlineStr">
        <is>
          <t>G</t>
        </is>
      </c>
      <c r="G895" t="inlineStr">
        <is>
          <t>A</t>
        </is>
      </c>
      <c r="H895" t="inlineStr">
        <is>
          <t>943.64</t>
        </is>
      </c>
      <c r="I895" t="inlineStr">
        <is>
          <t>246</t>
        </is>
      </c>
      <c r="J895" t="inlineStr">
        <is>
          <t>189,57</t>
        </is>
      </c>
      <c r="K895" t="inlineStr">
        <is>
          <t>.</t>
        </is>
      </c>
      <c r="L895" t="inlineStr">
        <is>
          <t>.</t>
        </is>
      </c>
      <c r="M895">
        <f>HYPERLINK("https://www.genecards.org/Search/Keyword?queryString=%5Baliases%5D(%20TNXB%20)&amp;keywords=TNXB", "TNXB")</f>
        <v/>
      </c>
      <c r="N895" t="inlineStr">
        <is>
          <t>exonic</t>
        </is>
      </c>
      <c r="O895" t="inlineStr">
        <is>
          <t>nonsynonymous SNV</t>
        </is>
      </c>
      <c r="P895" t="inlineStr">
        <is>
          <t>TNXB:NM_001365276:exon3:c.C1027T:p.P343S,TNXB:NM_019105:exon3:c.C1027T:p.P343S;TNXB:uc003nzl.2:exon3:c.C1027T:p.P343S;TNXB:ENST00000613214.4_3:exon2:c.C1027T:p.P343S,TNXB:ENST00000375244.7_5:exon3:c.C1027T:p.P343S,TNXB:ENST00000479795.1_3:exon3:c.C1027T:p.P343S,TNXB:ENST00000644971.2_8:exon3:c.C1027T:p.P343S,TNXB:ENST00000647633.1_3:exon3:c.C1027T:p.P343S</t>
        </is>
      </c>
      <c r="Q895" t="n">
        <v>-1</v>
      </c>
      <c r="R895" t="n">
        <v>-1</v>
      </c>
      <c r="S895" t="n">
        <v>-1</v>
      </c>
      <c r="T895" t="n">
        <v>-1</v>
      </c>
      <c r="U895" t="n">
        <v>-1</v>
      </c>
      <c r="V895" t="inlineStr">
        <is>
          <t>4/11</t>
        </is>
      </c>
      <c r="W895" t="inlineStr">
        <is>
          <t>.</t>
        </is>
      </c>
      <c r="X895" t="inlineStr">
        <is>
          <t>.</t>
        </is>
      </c>
      <c r="Y895" t="inlineStr">
        <is>
          <t>.</t>
        </is>
      </c>
      <c r="Z895" t="inlineStr">
        <is>
          <t>1/7</t>
        </is>
      </c>
      <c r="AA895" t="inlineStr">
        <is>
          <t>Uncertain significance</t>
        </is>
      </c>
      <c r="AB895" t="inlineStr">
        <is>
          <t>.</t>
        </is>
      </c>
      <c r="AC895" t="inlineStr">
        <is>
          <t>0/1</t>
        </is>
      </c>
      <c r="AD895" t="inlineStr">
        <is>
          <t>1</t>
        </is>
      </c>
      <c r="AE895" t="inlineStr">
        <is>
          <t>0.774153751864359</t>
        </is>
      </c>
      <c r="AF895" t="inlineStr">
        <is>
          <t>tenascin XB</t>
        </is>
      </c>
      <c r="AG895" t="inlineStr">
        <is>
          <t xml:space="preserve">FUNCTION: Appears to mediate interactions between cells and the extracellular matrix. Substrate-adhesion molecule that appears to inhibit cell migration. Accelerates collagen fibril formation. May play a role in supporting the growth of epithelial tumors. {ECO:0000269|PubMed:17033827}.; </t>
        </is>
      </c>
      <c r="AH895" t="inlineStr">
        <is>
          <t xml:space="preserve">DISEASE: Ehlers-Danlos syndrome due to tenascin X deficiency (EDSTNXD) [MIM:606408]: An Ehlers-Danlos-like syndrome characterized by hyperextensible skin, hypermobile joints, and tissue fragility. Tenascin-X-deficient patients, however, lack atrophic scars, a major diagnostic criteria for classic Ehlers- Danlos. Delayed wound healing, which is also common in classic EDS, is only present in a subset of patients. {ECO:0000269|PubMed:23768946}. Note=The disease is caused by mutations affecting the gene represented in this entry.; DISEASE: Vesicoureteral reflux 8 (VUR8) [MIM:615963]: A disease belonging to the group of congenital anomalies of the kidney and urinary tract. It is characterized by the reflux of urine from the bladder into the ureters and sometimes into the kidneys, and is a risk factor for urinary tract infections. Primary disease results from a developmental defect of the ureterovesical junction. In combination with intrarenal reflux, the resulting inflammatory reaction may result in renal injury or scarring, also called reflux nephropathy. Extensive renal scarring impairs renal function and may predispose patients to hypertension, proteinuria, renal insufficiency and end-stage renal disease. {ECO:0000269|PubMed:23620400}. Note=The disease is caused by mutations affecting the gene represented in this entry.; </t>
        </is>
      </c>
      <c r="AI895" t="inlineStr">
        <is>
          <t>.</t>
        </is>
      </c>
      <c r="AJ895" t="inlineStr">
        <is>
          <t>.</t>
        </is>
      </c>
      <c r="AK895" t="inlineStr">
        <is>
          <t>MHC</t>
        </is>
      </c>
      <c r="AL895" t="inlineStr">
        <is>
          <t>.</t>
        </is>
      </c>
    </row>
    <row r="896">
      <c r="A896" t="inlineStr"/>
      <c r="B896">
        <f>HYPERLINK("https://genome.ucsc.edu/cgi-bin/hgTracks?db=hg19&amp;position=chr6%3A32600781%2D32600781", "chr6:32600781")</f>
        <v/>
      </c>
      <c r="C896" t="inlineStr">
        <is>
          <t>chr6</t>
        </is>
      </c>
      <c r="D896" t="n">
        <v>32600781</v>
      </c>
      <c r="E896" t="n">
        <v>32600781</v>
      </c>
      <c r="F896" t="inlineStr">
        <is>
          <t>A</t>
        </is>
      </c>
      <c r="G896" t="inlineStr">
        <is>
          <t>G</t>
        </is>
      </c>
      <c r="H896" t="inlineStr">
        <is>
          <t>166.14</t>
        </is>
      </c>
      <c r="I896" t="inlineStr">
        <is>
          <t>4</t>
        </is>
      </c>
      <c r="J896" t="inlineStr">
        <is>
          <t>0,4</t>
        </is>
      </c>
      <c r="K896" t="inlineStr">
        <is>
          <t>.</t>
        </is>
      </c>
      <c r="L896">
        <f>HYPERLINK("https://www.ncbi.nlm.nih.gov/snp/rs115298660", "rs115298660")</f>
        <v/>
      </c>
      <c r="M896" t="inlineStr">
        <is>
          <t>.</t>
        </is>
      </c>
      <c r="N896" t="inlineStr">
        <is>
          <t>intergenic</t>
        </is>
      </c>
      <c r="O896" t="inlineStr">
        <is>
          <t>.</t>
        </is>
      </c>
      <c r="P896" t="inlineStr">
        <is>
          <t>dist=43168;dist=4402;dist=43168;dist=4402;dist=43156;dist=4397</t>
        </is>
      </c>
      <c r="Q896" t="n">
        <v>0.0006916</v>
      </c>
      <c r="R896" t="n">
        <v>-1</v>
      </c>
      <c r="S896" t="n">
        <v>-1</v>
      </c>
      <c r="T896" t="n">
        <v>-1</v>
      </c>
      <c r="U896" t="n">
        <v>-1</v>
      </c>
      <c r="V896" t="inlineStr">
        <is>
          <t>.</t>
        </is>
      </c>
      <c r="W896" t="inlineStr">
        <is>
          <t>.</t>
        </is>
      </c>
      <c r="X896" t="inlineStr">
        <is>
          <t>D</t>
        </is>
      </c>
      <c r="Y896" t="inlineStr">
        <is>
          <t>off</t>
        </is>
      </c>
      <c r="Z896" t="inlineStr">
        <is>
          <t>.</t>
        </is>
      </c>
      <c r="AA896" t="inlineStr">
        <is>
          <t>.</t>
        </is>
      </c>
      <c r="AB896" t="inlineStr">
        <is>
          <t>.</t>
        </is>
      </c>
      <c r="AC896" t="inlineStr">
        <is>
          <t>.</t>
        </is>
      </c>
      <c r="AD896" t="inlineStr">
        <is>
          <t>6</t>
        </is>
      </c>
      <c r="AE896" t="inlineStr">
        <is>
          <t>.</t>
        </is>
      </c>
      <c r="AF896" t="inlineStr">
        <is>
          <t>.</t>
        </is>
      </c>
      <c r="AG896" t="inlineStr">
        <is>
          <t>.</t>
        </is>
      </c>
      <c r="AH896" t="inlineStr">
        <is>
          <t>.</t>
        </is>
      </c>
      <c r="AI896" t="inlineStr">
        <is>
          <t>.</t>
        </is>
      </c>
      <c r="AJ896" t="inlineStr">
        <is>
          <t>.</t>
        </is>
      </c>
      <c r="AK896" t="inlineStr">
        <is>
          <t>MHC</t>
        </is>
      </c>
      <c r="AL896" t="inlineStr">
        <is>
          <t>.</t>
        </is>
      </c>
    </row>
    <row r="897">
      <c r="A897" t="inlineStr"/>
      <c r="B897">
        <f>HYPERLINK("https://genome.ucsc.edu/cgi-bin/hgTracks?db=hg19&amp;position=chr6%3A32632411%2D32632411", "chr6:32632411")</f>
        <v/>
      </c>
      <c r="C897" t="inlineStr">
        <is>
          <t>chr6</t>
        </is>
      </c>
      <c r="D897" t="n">
        <v>32632411</v>
      </c>
      <c r="E897" t="n">
        <v>32632411</v>
      </c>
      <c r="F897" t="inlineStr">
        <is>
          <t>C</t>
        </is>
      </c>
      <c r="G897" t="inlineStr">
        <is>
          <t>A</t>
        </is>
      </c>
      <c r="H897" t="inlineStr">
        <is>
          <t>241.97</t>
        </is>
      </c>
      <c r="I897" t="inlineStr">
        <is>
          <t>6</t>
        </is>
      </c>
      <c r="J897" t="inlineStr">
        <is>
          <t>0,6</t>
        </is>
      </c>
      <c r="K897" t="inlineStr">
        <is>
          <t>.</t>
        </is>
      </c>
      <c r="L897">
        <f>HYPERLINK("https://www.ncbi.nlm.nih.gov/snp/rs9274350", "rs9274350")</f>
        <v/>
      </c>
      <c r="M897">
        <f>HYPERLINK("https://www.genecards.org/Search/Keyword?queryString=%5Baliases%5D(%20HLA-DQB1%20)&amp;keywords=HLA-DQB1", "HLA-DQB1")</f>
        <v/>
      </c>
      <c r="N897" t="inlineStr">
        <is>
          <t>intronic</t>
        </is>
      </c>
      <c r="O897" t="inlineStr">
        <is>
          <t>.</t>
        </is>
      </c>
      <c r="P897" t="inlineStr">
        <is>
          <t>.</t>
        </is>
      </c>
      <c r="Q897" t="n">
        <v>0.0121792</v>
      </c>
      <c r="R897" t="n">
        <v>-1</v>
      </c>
      <c r="S897" t="n">
        <v>-1</v>
      </c>
      <c r="T897" t="n">
        <v>-1</v>
      </c>
      <c r="U897" t="n">
        <v>-1</v>
      </c>
      <c r="V897" t="inlineStr">
        <is>
          <t>.</t>
        </is>
      </c>
      <c r="W897" t="inlineStr">
        <is>
          <t>.</t>
        </is>
      </c>
      <c r="X897" t="inlineStr">
        <is>
          <t>D</t>
        </is>
      </c>
      <c r="Y897" t="inlineStr">
        <is>
          <t>off</t>
        </is>
      </c>
      <c r="Z897" t="inlineStr">
        <is>
          <t>.</t>
        </is>
      </c>
      <c r="AA897" t="inlineStr">
        <is>
          <t>.</t>
        </is>
      </c>
      <c r="AB897" t="inlineStr">
        <is>
          <t>.</t>
        </is>
      </c>
      <c r="AC897" t="inlineStr">
        <is>
          <t>HOMO</t>
        </is>
      </c>
      <c r="AD897" t="inlineStr">
        <is>
          <t>4</t>
        </is>
      </c>
      <c r="AE897" t="inlineStr">
        <is>
          <t>0.353015151654053</t>
        </is>
      </c>
      <c r="AF897" t="inlineStr">
        <is>
          <t>major histocompatibility complex, class II, DQ beta 1</t>
        </is>
      </c>
      <c r="AG897" t="inlineStr">
        <is>
          <t xml:space="preserve">FUNCTION: Binds peptides derived from antigens that access the endocytic route of antigen presenting cells (APC) and presents them on the cell surface for recognition by the CD4 T-cells. The peptide binding cleft accommodates peptides of 10-30 residues. The peptides presented by MHC class II molecules are generated mostly by degradation of proteins that access the endocytic route, where they are processed by lysosomal proteases and other hydrolases. Exogenous antigens that have been endocytosed by the APC are thus readily available for presentation via MHC II molecules, and for this reason this antigen presentation pathway is usually referred to as exogenous. As membrane proteins on their way to degradation in lysosomes as part of their normal turn-over are also contained in the endosomal/lysosomal compartments, exogenous antigens must compete with those derived from endogenous components. Autophagy is also a source of endogenous peptides, autophagosomes constitutively fuse with MHC class II loading compartments. In addition to APCs, other cells of the gastrointestinal tract, such as epithelial cells, express MHC class II molecules and CD74 and act as APCs, which is an unusual trait of the GI tract. To produce a MHC class II molecule that presents an antigen, three MHC class II molecules (heterodimers of an alpha and a beta chain) associate with a CD74 trimer in the ER to form a heterononamer. Soon after the entry of this complex into the endosomal/lysosomal system where antigen processing occurs, CD74 undergoes a sequential degradation by various proteases, including CTSS and CTSL, leaving a small fragment termed CLIP (class-II-associated invariant chain peptide). The removal of CLIP is facilitated by HLA-DM via direct binding to the alpha-beta-CLIP complex so that CLIP is released. HLA-DM stabilizes MHC class II molecules until primary high affinity antigenic peptides are bound. The MHC II molecule bound to a peptide is then transported to the cell membrane surface. In B-cells, the interaction between HLA-DM and MHC class II molecules is regulated by HLA-DO. Primary dendritic cells (DCs) also to express HLA-DO. Lysosomal microenvironment has been implicated in the regulation of antigen loading into MHC II molecules, increased acidification produces increased proteolysis and efficient peptide loading.; </t>
        </is>
      </c>
      <c r="AH897" t="inlineStr">
        <is>
          <t>.</t>
        </is>
      </c>
      <c r="AI897" t="inlineStr">
        <is>
          <t>GenotypeConflict</t>
        </is>
      </c>
      <c r="AJ897" t="inlineStr">
        <is>
          <t>.</t>
        </is>
      </c>
      <c r="AK897" t="inlineStr">
        <is>
          <t>MHC</t>
        </is>
      </c>
      <c r="AL897" t="inlineStr">
        <is>
          <t>.</t>
        </is>
      </c>
    </row>
    <row r="898">
      <c r="A898" t="inlineStr"/>
      <c r="B898">
        <f>HYPERLINK("https://genome.ucsc.edu/cgi-bin/hgTracks?db=hg19&amp;position=chr6%3A32632438%2D32632438", "chr6:32632438")</f>
        <v/>
      </c>
      <c r="C898" t="inlineStr">
        <is>
          <t>chr6</t>
        </is>
      </c>
      <c r="D898" t="n">
        <v>32632438</v>
      </c>
      <c r="E898" t="n">
        <v>32632438</v>
      </c>
      <c r="F898" t="inlineStr">
        <is>
          <t>C</t>
        </is>
      </c>
      <c r="G898" t="inlineStr">
        <is>
          <t>T</t>
        </is>
      </c>
      <c r="H898" t="inlineStr">
        <is>
          <t>255.97</t>
        </is>
      </c>
      <c r="I898" t="inlineStr">
        <is>
          <t>6</t>
        </is>
      </c>
      <c r="J898" t="inlineStr">
        <is>
          <t>0,6</t>
        </is>
      </c>
      <c r="K898" t="inlineStr">
        <is>
          <t>.</t>
        </is>
      </c>
      <c r="L898">
        <f>HYPERLINK("https://www.ncbi.nlm.nih.gov/snp/rs281862200", "rs281862200")</f>
        <v/>
      </c>
      <c r="M898">
        <f>HYPERLINK("https://www.genecards.org/Search/Keyword?queryString=%5Baliases%5D(%20HLA-DQB1%20)&amp;keywords=HLA-DQB1", "HLA-DQB1")</f>
        <v/>
      </c>
      <c r="N898" t="inlineStr">
        <is>
          <t>intronic</t>
        </is>
      </c>
      <c r="O898" t="inlineStr">
        <is>
          <t>.</t>
        </is>
      </c>
      <c r="P898" t="inlineStr">
        <is>
          <t>.</t>
        </is>
      </c>
      <c r="Q898" t="n">
        <v>3.84e-05</v>
      </c>
      <c r="R898" t="n">
        <v>-1</v>
      </c>
      <c r="S898" t="n">
        <v>-1</v>
      </c>
      <c r="T898" t="n">
        <v>-1</v>
      </c>
      <c r="U898" t="n">
        <v>-1</v>
      </c>
      <c r="V898" t="inlineStr">
        <is>
          <t>.</t>
        </is>
      </c>
      <c r="W898" t="inlineStr">
        <is>
          <t>.</t>
        </is>
      </c>
      <c r="X898" t="inlineStr">
        <is>
          <t>D</t>
        </is>
      </c>
      <c r="Y898" t="inlineStr">
        <is>
          <t>off</t>
        </is>
      </c>
      <c r="Z898" t="inlineStr">
        <is>
          <t>.</t>
        </is>
      </c>
      <c r="AA898" t="inlineStr">
        <is>
          <t>.</t>
        </is>
      </c>
      <c r="AB898" t="inlineStr">
        <is>
          <t>.</t>
        </is>
      </c>
      <c r="AC898" t="inlineStr">
        <is>
          <t>.</t>
        </is>
      </c>
      <c r="AD898" t="inlineStr">
        <is>
          <t>4</t>
        </is>
      </c>
      <c r="AE898" t="inlineStr">
        <is>
          <t>0.353015151654053</t>
        </is>
      </c>
      <c r="AF898" t="inlineStr">
        <is>
          <t>major histocompatibility complex, class II, DQ beta 1</t>
        </is>
      </c>
      <c r="AG898" t="inlineStr">
        <is>
          <t xml:space="preserve">FUNCTION: Binds peptides derived from antigens that access the endocytic route of antigen presenting cells (APC) and presents them on the cell surface for recognition by the CD4 T-cells. The peptide binding cleft accommodates peptides of 10-30 residues. The peptides presented by MHC class II molecules are generated mostly by degradation of proteins that access the endocytic route, where they are processed by lysosomal proteases and other hydrolases. Exogenous antigens that have been endocytosed by the APC are thus readily available for presentation via MHC II molecules, and for this reason this antigen presentation pathway is usually referred to as exogenous. As membrane proteins on their way to degradation in lysosomes as part of their normal turn-over are also contained in the endosomal/lysosomal compartments, exogenous antigens must compete with those derived from endogenous components. Autophagy is also a source of endogenous peptides, autophagosomes constitutively fuse with MHC class II loading compartments. In addition to APCs, other cells of the gastrointestinal tract, such as epithelial cells, express MHC class II molecules and CD74 and act as APCs, which is an unusual trait of the GI tract. To produce a MHC class II molecule that presents an antigen, three MHC class II molecules (heterodimers of an alpha and a beta chain) associate with a CD74 trimer in the ER to form a heterononamer. Soon after the entry of this complex into the endosomal/lysosomal system where antigen processing occurs, CD74 undergoes a sequential degradation by various proteases, including CTSS and CTSL, leaving a small fragment termed CLIP (class-II-associated invariant chain peptide). The removal of CLIP is facilitated by HLA-DM via direct binding to the alpha-beta-CLIP complex so that CLIP is released. HLA-DM stabilizes MHC class II molecules until primary high affinity antigenic peptides are bound. The MHC II molecule bound to a peptide is then transported to the cell membrane surface. In B-cells, the interaction between HLA-DM and MHC class II molecules is regulated by HLA-DO. Primary dendritic cells (DCs) also to express HLA-DO. Lysosomal microenvironment has been implicated in the regulation of antigen loading into MHC II molecules, increased acidification produces increased proteolysis and efficient peptide loading.; </t>
        </is>
      </c>
      <c r="AH898" t="inlineStr">
        <is>
          <t>.</t>
        </is>
      </c>
      <c r="AI898" t="inlineStr">
        <is>
          <t>.</t>
        </is>
      </c>
      <c r="AJ898" t="inlineStr">
        <is>
          <t>.</t>
        </is>
      </c>
      <c r="AK898" t="inlineStr">
        <is>
          <t>MHC</t>
        </is>
      </c>
      <c r="AL898" t="inlineStr">
        <is>
          <t>.</t>
        </is>
      </c>
    </row>
    <row r="899">
      <c r="A899" t="inlineStr"/>
      <c r="B899">
        <f>HYPERLINK("https://genome.ucsc.edu/cgi-bin/hgTracks?db=hg19&amp;position=chr6%3A32632445%2D32632445", "chr6:32632445")</f>
        <v/>
      </c>
      <c r="C899" t="inlineStr">
        <is>
          <t>chr6</t>
        </is>
      </c>
      <c r="D899" t="n">
        <v>32632445</v>
      </c>
      <c r="E899" t="n">
        <v>32632445</v>
      </c>
      <c r="F899" t="inlineStr">
        <is>
          <t>C</t>
        </is>
      </c>
      <c r="G899" t="inlineStr">
        <is>
          <t>T</t>
        </is>
      </c>
      <c r="H899" t="inlineStr">
        <is>
          <t>255.97</t>
        </is>
      </c>
      <c r="I899" t="inlineStr">
        <is>
          <t>6</t>
        </is>
      </c>
      <c r="J899" t="inlineStr">
        <is>
          <t>0,6</t>
        </is>
      </c>
      <c r="K899" t="inlineStr">
        <is>
          <t>.</t>
        </is>
      </c>
      <c r="L899">
        <f>HYPERLINK("https://www.ncbi.nlm.nih.gov/snp/rs9274355", "rs9274355")</f>
        <v/>
      </c>
      <c r="M899">
        <f>HYPERLINK("https://www.genecards.org/Search/Keyword?queryString=%5Baliases%5D(%20HLA-DQB1%20)&amp;keywords=HLA-DQB1", "HLA-DQB1")</f>
        <v/>
      </c>
      <c r="N899" t="inlineStr">
        <is>
          <t>intronic</t>
        </is>
      </c>
      <c r="O899" t="inlineStr">
        <is>
          <t>.</t>
        </is>
      </c>
      <c r="P899" t="inlineStr">
        <is>
          <t>.</t>
        </is>
      </c>
      <c r="Q899" t="n">
        <v>0.0028047</v>
      </c>
      <c r="R899" t="n">
        <v>-1</v>
      </c>
      <c r="S899" t="n">
        <v>-1</v>
      </c>
      <c r="T899" t="n">
        <v>-1</v>
      </c>
      <c r="U899" t="n">
        <v>-1</v>
      </c>
      <c r="V899" t="inlineStr">
        <is>
          <t>.</t>
        </is>
      </c>
      <c r="W899" t="inlineStr">
        <is>
          <t>.</t>
        </is>
      </c>
      <c r="X899" t="inlineStr">
        <is>
          <t>PD</t>
        </is>
      </c>
      <c r="Y899" t="inlineStr">
        <is>
          <t>off</t>
        </is>
      </c>
      <c r="Z899" t="inlineStr">
        <is>
          <t>.</t>
        </is>
      </c>
      <c r="AA899" t="inlineStr">
        <is>
          <t>.</t>
        </is>
      </c>
      <c r="AB899" t="inlineStr">
        <is>
          <t>.</t>
        </is>
      </c>
      <c r="AC899" t="inlineStr">
        <is>
          <t>.</t>
        </is>
      </c>
      <c r="AD899" t="inlineStr">
        <is>
          <t>4</t>
        </is>
      </c>
      <c r="AE899" t="inlineStr">
        <is>
          <t>0.353015151654053</t>
        </is>
      </c>
      <c r="AF899" t="inlineStr">
        <is>
          <t>major histocompatibility complex, class II, DQ beta 1</t>
        </is>
      </c>
      <c r="AG899" t="inlineStr">
        <is>
          <t xml:space="preserve">FUNCTION: Binds peptides derived from antigens that access the endocytic route of antigen presenting cells (APC) and presents them on the cell surface for recognition by the CD4 T-cells. The peptide binding cleft accommodates peptides of 10-30 residues. The peptides presented by MHC class II molecules are generated mostly by degradation of proteins that access the endocytic route, where they are processed by lysosomal proteases and other hydrolases. Exogenous antigens that have been endocytosed by the APC are thus readily available for presentation via MHC II molecules, and for this reason this antigen presentation pathway is usually referred to as exogenous. As membrane proteins on their way to degradation in lysosomes as part of their normal turn-over are also contained in the endosomal/lysosomal compartments, exogenous antigens must compete with those derived from endogenous components. Autophagy is also a source of endogenous peptides, autophagosomes constitutively fuse with MHC class II loading compartments. In addition to APCs, other cells of the gastrointestinal tract, such as epithelial cells, express MHC class II molecules and CD74 and act as APCs, which is an unusual trait of the GI tract. To produce a MHC class II molecule that presents an antigen, three MHC class II molecules (heterodimers of an alpha and a beta chain) associate with a CD74 trimer in the ER to form a heterononamer. Soon after the entry of this complex into the endosomal/lysosomal system where antigen processing occurs, CD74 undergoes a sequential degradation by various proteases, including CTSS and CTSL, leaving a small fragment termed CLIP (class-II-associated invariant chain peptide). The removal of CLIP is facilitated by HLA-DM via direct binding to the alpha-beta-CLIP complex so that CLIP is released. HLA-DM stabilizes MHC class II molecules until primary high affinity antigenic peptides are bound. The MHC II molecule bound to a peptide is then transported to the cell membrane surface. In B-cells, the interaction between HLA-DM and MHC class II molecules is regulated by HLA-DO. Primary dendritic cells (DCs) also to express HLA-DO. Lysosomal microenvironment has been implicated in the regulation of antigen loading into MHC II molecules, increased acidification produces increased proteolysis and efficient peptide loading.; </t>
        </is>
      </c>
      <c r="AH899" t="inlineStr">
        <is>
          <t>.</t>
        </is>
      </c>
      <c r="AI899" t="inlineStr">
        <is>
          <t>GenotypeConflict</t>
        </is>
      </c>
      <c r="AJ899" t="inlineStr">
        <is>
          <t>.</t>
        </is>
      </c>
      <c r="AK899" t="inlineStr">
        <is>
          <t>MHC</t>
        </is>
      </c>
      <c r="AL899" t="inlineStr">
        <is>
          <t>.</t>
        </is>
      </c>
    </row>
    <row r="900">
      <c r="A900" t="inlineStr"/>
      <c r="B900">
        <f>HYPERLINK("https://genome.ucsc.edu/cgi-bin/hgTracks?db=hg19&amp;position=chr6%3A32632457%2D32632457", "chr6:32632457")</f>
        <v/>
      </c>
      <c r="C900" t="inlineStr">
        <is>
          <t>chr6</t>
        </is>
      </c>
      <c r="D900" t="n">
        <v>32632457</v>
      </c>
      <c r="E900" t="n">
        <v>32632457</v>
      </c>
      <c r="F900" t="inlineStr">
        <is>
          <t>C</t>
        </is>
      </c>
      <c r="G900" t="inlineStr">
        <is>
          <t>T</t>
        </is>
      </c>
      <c r="H900" t="inlineStr">
        <is>
          <t>210.96</t>
        </is>
      </c>
      <c r="I900" t="inlineStr">
        <is>
          <t>5</t>
        </is>
      </c>
      <c r="J900" t="inlineStr">
        <is>
          <t>0,5</t>
        </is>
      </c>
      <c r="K900" t="inlineStr">
        <is>
          <t>.</t>
        </is>
      </c>
      <c r="L900">
        <f>HYPERLINK("https://www.ncbi.nlm.nih.gov/snp/rs9274357", "rs9274357")</f>
        <v/>
      </c>
      <c r="M900">
        <f>HYPERLINK("https://www.genecards.org/Search/Keyword?queryString=%5Baliases%5D(%20HLA-DQB1%20)&amp;keywords=HLA-DQB1", "HLA-DQB1")</f>
        <v/>
      </c>
      <c r="N900" t="inlineStr">
        <is>
          <t>intronic</t>
        </is>
      </c>
      <c r="O900" t="inlineStr">
        <is>
          <t>.</t>
        </is>
      </c>
      <c r="P900" t="inlineStr">
        <is>
          <t>.</t>
        </is>
      </c>
      <c r="Q900" t="n">
        <v>0.0019978</v>
      </c>
      <c r="R900" t="n">
        <v>-1</v>
      </c>
      <c r="S900" t="n">
        <v>-1</v>
      </c>
      <c r="T900" t="n">
        <v>-1</v>
      </c>
      <c r="U900" t="n">
        <v>-1</v>
      </c>
      <c r="V900" t="inlineStr">
        <is>
          <t>.</t>
        </is>
      </c>
      <c r="W900" t="inlineStr">
        <is>
          <t>.</t>
        </is>
      </c>
      <c r="X900" t="inlineStr">
        <is>
          <t>D</t>
        </is>
      </c>
      <c r="Y900" t="inlineStr">
        <is>
          <t>off</t>
        </is>
      </c>
      <c r="Z900" t="inlineStr">
        <is>
          <t>.</t>
        </is>
      </c>
      <c r="AA900" t="inlineStr">
        <is>
          <t>.</t>
        </is>
      </c>
      <c r="AB900" t="inlineStr">
        <is>
          <t>.</t>
        </is>
      </c>
      <c r="AC900" t="inlineStr">
        <is>
          <t>.</t>
        </is>
      </c>
      <c r="AD900" t="inlineStr">
        <is>
          <t>4</t>
        </is>
      </c>
      <c r="AE900" t="inlineStr">
        <is>
          <t>0.353015151654053</t>
        </is>
      </c>
      <c r="AF900" t="inlineStr">
        <is>
          <t>major histocompatibility complex, class II, DQ beta 1</t>
        </is>
      </c>
      <c r="AG900" t="inlineStr">
        <is>
          <t xml:space="preserve">FUNCTION: Binds peptides derived from antigens that access the endocytic route of antigen presenting cells (APC) and presents them on the cell surface for recognition by the CD4 T-cells. The peptide binding cleft accommodates peptides of 10-30 residues. The peptides presented by MHC class II molecules are generated mostly by degradation of proteins that access the endocytic route, where they are processed by lysosomal proteases and other hydrolases. Exogenous antigens that have been endocytosed by the APC are thus readily available for presentation via MHC II molecules, and for this reason this antigen presentation pathway is usually referred to as exogenous. As membrane proteins on their way to degradation in lysosomes as part of their normal turn-over are also contained in the endosomal/lysosomal compartments, exogenous antigens must compete with those derived from endogenous components. Autophagy is also a source of endogenous peptides, autophagosomes constitutively fuse with MHC class II loading compartments. In addition to APCs, other cells of the gastrointestinal tract, such as epithelial cells, express MHC class II molecules and CD74 and act as APCs, which is an unusual trait of the GI tract. To produce a MHC class II molecule that presents an antigen, three MHC class II molecules (heterodimers of an alpha and a beta chain) associate with a CD74 trimer in the ER to form a heterononamer. Soon after the entry of this complex into the endosomal/lysosomal system where antigen processing occurs, CD74 undergoes a sequential degradation by various proteases, including CTSS and CTSL, leaving a small fragment termed CLIP (class-II-associated invariant chain peptide). The removal of CLIP is facilitated by HLA-DM via direct binding to the alpha-beta-CLIP complex so that CLIP is released. HLA-DM stabilizes MHC class II molecules until primary high affinity antigenic peptides are bound. The MHC II molecule bound to a peptide is then transported to the cell membrane surface. In B-cells, the interaction between HLA-DM and MHC class II molecules is regulated by HLA-DO. Primary dendritic cells (DCs) also to express HLA-DO. Lysosomal microenvironment has been implicated in the regulation of antigen loading into MHC II molecules, increased acidification produces increased proteolysis and efficient peptide loading.; </t>
        </is>
      </c>
      <c r="AH900" t="inlineStr">
        <is>
          <t>.</t>
        </is>
      </c>
      <c r="AI900" t="inlineStr">
        <is>
          <t>GenotypeConflict</t>
        </is>
      </c>
      <c r="AJ900" t="inlineStr">
        <is>
          <t>.</t>
        </is>
      </c>
      <c r="AK900" t="inlineStr">
        <is>
          <t>MHC</t>
        </is>
      </c>
      <c r="AL900" t="inlineStr">
        <is>
          <t>.</t>
        </is>
      </c>
    </row>
    <row r="901">
      <c r="A901" t="inlineStr"/>
      <c r="B901">
        <f>HYPERLINK("https://genome.ucsc.edu/cgi-bin/hgTracks?db=hg19&amp;position=chr6%3A34029580%2D34029580", "chr6:34029580")</f>
        <v/>
      </c>
      <c r="C901" t="inlineStr">
        <is>
          <t>chr6</t>
        </is>
      </c>
      <c r="D901" t="n">
        <v>34029580</v>
      </c>
      <c r="E901" t="n">
        <v>34029580</v>
      </c>
      <c r="F901" t="inlineStr">
        <is>
          <t>G</t>
        </is>
      </c>
      <c r="G901" t="inlineStr">
        <is>
          <t>A</t>
        </is>
      </c>
      <c r="H901" t="inlineStr">
        <is>
          <t>864.06</t>
        </is>
      </c>
      <c r="I901" t="inlineStr">
        <is>
          <t>24</t>
        </is>
      </c>
      <c r="J901" t="inlineStr">
        <is>
          <t>1,23</t>
        </is>
      </c>
      <c r="K901" t="inlineStr">
        <is>
          <t>.</t>
        </is>
      </c>
      <c r="L901">
        <f>HYPERLINK("https://www.ncbi.nlm.nih.gov/snp/rs148995261", "rs148995261")</f>
        <v/>
      </c>
      <c r="M901">
        <f>HYPERLINK("https://www.genecards.org/Search/Keyword?queryString=%5Baliases%5D(%20GRM4%20)&amp;keywords=GRM4", "GRM4")</f>
        <v/>
      </c>
      <c r="N901" t="inlineStr">
        <is>
          <t>intronic</t>
        </is>
      </c>
      <c r="O901" t="inlineStr">
        <is>
          <t>.</t>
        </is>
      </c>
      <c r="P901" t="inlineStr">
        <is>
          <t>.</t>
        </is>
      </c>
      <c r="Q901" t="n">
        <v>0.0141</v>
      </c>
      <c r="R901" t="n">
        <v>0.0149</v>
      </c>
      <c r="S901" t="n">
        <v>0.0144</v>
      </c>
      <c r="T901" t="n">
        <v>-1</v>
      </c>
      <c r="U901" t="n">
        <v>0.0203</v>
      </c>
      <c r="V901" t="inlineStr">
        <is>
          <t>.</t>
        </is>
      </c>
      <c r="W901" t="inlineStr">
        <is>
          <t>.</t>
        </is>
      </c>
      <c r="X901" t="inlineStr">
        <is>
          <t>D</t>
        </is>
      </c>
      <c r="Y901" t="inlineStr">
        <is>
          <t>off</t>
        </is>
      </c>
      <c r="Z901" t="inlineStr">
        <is>
          <t>.</t>
        </is>
      </c>
      <c r="AA901" t="inlineStr">
        <is>
          <t>.</t>
        </is>
      </c>
      <c r="AB901" t="inlineStr">
        <is>
          <t>.</t>
        </is>
      </c>
      <c r="AC901" t="inlineStr">
        <is>
          <t>HOMO</t>
        </is>
      </c>
      <c r="AD901" t="inlineStr">
        <is>
          <t>1</t>
        </is>
      </c>
      <c r="AE901" t="inlineStr">
        <is>
          <t>0.979350085369263</t>
        </is>
      </c>
      <c r="AF901" t="inlineStr">
        <is>
          <t>glutamate receptor, metabotropic 4</t>
        </is>
      </c>
      <c r="AG901" t="inlineStr">
        <is>
          <t xml:space="preserve">FUNCTION: G-protein coupled receptor for glutamate. Ligand binding causes a conformation change that triggers signaling via guanine nucleotide-binding proteins (G proteins) and modulates the activity of down-stream effectors. Signaling inhibits adenylate cyclase activity. {ECO:0000269|PubMed:7617140, ECO:0000269|PubMed:8738157, ECO:0000269|PubMed:9473604}.; </t>
        </is>
      </c>
      <c r="AH901" t="inlineStr">
        <is>
          <t>.</t>
        </is>
      </c>
      <c r="AI901" t="inlineStr">
        <is>
          <t>.</t>
        </is>
      </c>
      <c r="AJ901" t="inlineStr">
        <is>
          <t>.</t>
        </is>
      </c>
      <c r="AK901" t="inlineStr">
        <is>
          <t>.</t>
        </is>
      </c>
      <c r="AL901" t="inlineStr">
        <is>
          <t>.</t>
        </is>
      </c>
    </row>
    <row r="902">
      <c r="A902" t="inlineStr"/>
      <c r="B902">
        <f>HYPERLINK("https://genome.ucsc.edu/cgi-bin/hgTracks?db=hg19&amp;position=chr6%3A35259488%2D35259488", "chr6:35259488")</f>
        <v/>
      </c>
      <c r="C902" t="inlineStr">
        <is>
          <t>chr6</t>
        </is>
      </c>
      <c r="D902" t="n">
        <v>35259488</v>
      </c>
      <c r="E902" t="n">
        <v>35259488</v>
      </c>
      <c r="F902" t="inlineStr">
        <is>
          <t>A</t>
        </is>
      </c>
      <c r="G902" t="inlineStr">
        <is>
          <t>G</t>
        </is>
      </c>
      <c r="H902" t="inlineStr">
        <is>
          <t>834.64</t>
        </is>
      </c>
      <c r="I902" t="inlineStr">
        <is>
          <t>116</t>
        </is>
      </c>
      <c r="J902" t="inlineStr">
        <is>
          <t>75,41</t>
        </is>
      </c>
      <c r="K902" t="inlineStr">
        <is>
          <t>.</t>
        </is>
      </c>
      <c r="L902">
        <f>HYPERLINK("https://www.ncbi.nlm.nih.gov/snp/rs200373705", "rs200373705")</f>
        <v/>
      </c>
      <c r="M902">
        <f>HYPERLINK("https://www.genecards.org/Search/Keyword?queryString=%5Baliases%5D(%20ZNF76%20)&amp;keywords=ZNF76", "ZNF76")</f>
        <v/>
      </c>
      <c r="N902" t="inlineStr">
        <is>
          <t>exonic</t>
        </is>
      </c>
      <c r="O902" t="inlineStr">
        <is>
          <t>nonsynonymous SNV</t>
        </is>
      </c>
      <c r="P902" t="inlineStr">
        <is>
          <t>ZNF76:NM_001292032:exon9:c.A905G:p.Y302C,ZNF76:NM_003427:exon9:c.A905G:p.Y302C;ZNF76:uc003oki.1:exon9:c.A905G:p.Y302C,ZNF76:uc003okj.1:exon9:c.A905G:p.Y302C,ZNF76:uc011dsy.1:exon9:c.A905G:p.Y302C,ZNF76:uc011dsz.1:exon9:c.A905G:p.Y302C;ZNF76:ENST00000339411.5_3:exon9:c.A905G:p.Y302C,ZNF76:ENST00000373953.8_6:exon9:c.A905G:p.Y302C</t>
        </is>
      </c>
      <c r="Q902" t="n">
        <v>0.003049</v>
      </c>
      <c r="R902" t="n">
        <v>0.0001</v>
      </c>
      <c r="S902" t="n">
        <v>0.0001</v>
      </c>
      <c r="T902" t="n">
        <v>-1</v>
      </c>
      <c r="U902" t="n">
        <v>-1</v>
      </c>
      <c r="V902" t="inlineStr">
        <is>
          <t>4/11</t>
        </is>
      </c>
      <c r="W902" t="inlineStr">
        <is>
          <t>.</t>
        </is>
      </c>
      <c r="X902" t="inlineStr">
        <is>
          <t>.</t>
        </is>
      </c>
      <c r="Y902" t="inlineStr">
        <is>
          <t>.</t>
        </is>
      </c>
      <c r="Z902" t="inlineStr">
        <is>
          <t>5/7</t>
        </is>
      </c>
      <c r="AA902" t="inlineStr">
        <is>
          <t>Uncertain significance</t>
        </is>
      </c>
      <c r="AB902" t="inlineStr">
        <is>
          <t>.</t>
        </is>
      </c>
      <c r="AC902" t="inlineStr">
        <is>
          <t>0/1</t>
        </is>
      </c>
      <c r="AD902" t="inlineStr">
        <is>
          <t>1</t>
        </is>
      </c>
      <c r="AE902" t="inlineStr">
        <is>
          <t>5.07288621916122e-16</t>
        </is>
      </c>
      <c r="AF902" t="inlineStr">
        <is>
          <t>zinc finger protein 76</t>
        </is>
      </c>
      <c r="AG902" t="inlineStr">
        <is>
          <t xml:space="preserve">FUNCTION: May be involved in transcriptional regulation.; </t>
        </is>
      </c>
      <c r="AH902" t="inlineStr">
        <is>
          <t>.</t>
        </is>
      </c>
      <c r="AI902" t="inlineStr">
        <is>
          <t>.</t>
        </is>
      </c>
      <c r="AJ902" t="inlineStr">
        <is>
          <t>.</t>
        </is>
      </c>
      <c r="AK902" t="inlineStr">
        <is>
          <t>.</t>
        </is>
      </c>
      <c r="AL902" t="inlineStr">
        <is>
          <t>.</t>
        </is>
      </c>
    </row>
    <row r="903">
      <c r="A903" t="inlineStr"/>
      <c r="B903">
        <f>HYPERLINK("https://genome.ucsc.edu/cgi-bin/hgTracks?db=hg19&amp;position=chr6%3A42018936%2D42018936", "chr6:42018936")</f>
        <v/>
      </c>
      <c r="C903" t="inlineStr">
        <is>
          <t>chr6</t>
        </is>
      </c>
      <c r="D903" t="n">
        <v>42018936</v>
      </c>
      <c r="E903" t="n">
        <v>42018936</v>
      </c>
      <c r="F903" t="inlineStr">
        <is>
          <t>A</t>
        </is>
      </c>
      <c r="G903" t="inlineStr">
        <is>
          <t>G</t>
        </is>
      </c>
      <c r="H903" t="inlineStr">
        <is>
          <t>56.64</t>
        </is>
      </c>
      <c r="I903" t="inlineStr">
        <is>
          <t>6</t>
        </is>
      </c>
      <c r="J903" t="inlineStr">
        <is>
          <t>4,2</t>
        </is>
      </c>
      <c r="K903" t="inlineStr">
        <is>
          <t>.</t>
        </is>
      </c>
      <c r="L903">
        <f>HYPERLINK("https://www.ncbi.nlm.nih.gov/snp/rs149515714", "rs149515714")</f>
        <v/>
      </c>
      <c r="M903">
        <f>HYPERLINK("https://www.genecards.org/Search/Keyword?queryString=%5Baliases%5D(%20TAF8%20)&amp;keywords=TAF8", "TAF8")</f>
        <v/>
      </c>
      <c r="N903" t="inlineStr">
        <is>
          <t>UTR5;intronic</t>
        </is>
      </c>
      <c r="O903" t="inlineStr">
        <is>
          <t>.</t>
        </is>
      </c>
      <c r="P903" t="inlineStr">
        <is>
          <t>ENST00000687266.1_1:c.-303A&gt;G</t>
        </is>
      </c>
      <c r="Q903" t="n">
        <v>0.001</v>
      </c>
      <c r="R903" t="n">
        <v>0.0007</v>
      </c>
      <c r="S903" t="n">
        <v>0.0005999999999999999</v>
      </c>
      <c r="T903" t="n">
        <v>-1</v>
      </c>
      <c r="U903" t="n">
        <v>0.0004</v>
      </c>
      <c r="V903" t="inlineStr">
        <is>
          <t>.</t>
        </is>
      </c>
      <c r="W903" t="inlineStr">
        <is>
          <t>.</t>
        </is>
      </c>
      <c r="X903" t="inlineStr">
        <is>
          <t>PD</t>
        </is>
      </c>
      <c r="Y903" t="inlineStr">
        <is>
          <t>off</t>
        </is>
      </c>
      <c r="Z903" t="inlineStr">
        <is>
          <t>.</t>
        </is>
      </c>
      <c r="AA903" t="inlineStr">
        <is>
          <t>.</t>
        </is>
      </c>
      <c r="AB903" t="inlineStr">
        <is>
          <t>.</t>
        </is>
      </c>
      <c r="AC903" t="inlineStr">
        <is>
          <t>0/1</t>
        </is>
      </c>
      <c r="AD903" t="inlineStr">
        <is>
          <t>1</t>
        </is>
      </c>
      <c r="AE903" t="inlineStr">
        <is>
          <t>3.04223621180909e-09</t>
        </is>
      </c>
      <c r="AF903" t="inlineStr">
        <is>
          <t>TATA-box binding protein associated factor 8</t>
        </is>
      </c>
      <c r="AG903" t="inlineStr">
        <is>
          <t xml:space="preserve">FUNCTION: Transcription factor TFIID is one of the general factors required for accurate and regulated initiation by RNA polymerase II. Mediates both basal and activator-dependent transcription. Plays a role in the differentiation of preadipocyte fibroblasts to adipocytes, however, does not seem to play a role in differentiation of myoblasts. Required for the integration of TAF10 in the TAF complex. May be important for survival of cells of the inner cell mass which constitute the pluripotent cell population of the early embryo (By similarity). {ECO:0000250, ECO:0000269|PubMed:14580349}.; </t>
        </is>
      </c>
      <c r="AH903" t="inlineStr">
        <is>
          <t>.</t>
        </is>
      </c>
      <c r="AI903" t="inlineStr">
        <is>
          <t>.</t>
        </is>
      </c>
      <c r="AJ903" t="inlineStr">
        <is>
          <t>.</t>
        </is>
      </c>
      <c r="AK903" t="inlineStr">
        <is>
          <t>.</t>
        </is>
      </c>
      <c r="AL903" t="inlineStr">
        <is>
          <t>.</t>
        </is>
      </c>
    </row>
    <row r="904">
      <c r="A904" t="inlineStr"/>
      <c r="B904">
        <f>HYPERLINK("https://genome.ucsc.edu/cgi-bin/hgTracks?db=hg19&amp;position=chr6%3A42613547%2D42613547", "chr6:42613547")</f>
        <v/>
      </c>
      <c r="C904" t="inlineStr">
        <is>
          <t>chr6</t>
        </is>
      </c>
      <c r="D904" t="n">
        <v>42613547</v>
      </c>
      <c r="E904" t="n">
        <v>42613547</v>
      </c>
      <c r="F904" t="inlineStr">
        <is>
          <t>G</t>
        </is>
      </c>
      <c r="G904" t="inlineStr">
        <is>
          <t>T</t>
        </is>
      </c>
      <c r="H904" t="inlineStr">
        <is>
          <t>48.64</t>
        </is>
      </c>
      <c r="I904" t="inlineStr">
        <is>
          <t>7</t>
        </is>
      </c>
      <c r="J904" t="inlineStr">
        <is>
          <t>5,2</t>
        </is>
      </c>
      <c r="K904" t="inlineStr">
        <is>
          <t>.</t>
        </is>
      </c>
      <c r="L904" t="inlineStr">
        <is>
          <t>.</t>
        </is>
      </c>
      <c r="M904">
        <f>HYPERLINK("https://www.genecards.org/Search/Keyword?queryString=%5Baliases%5D(%20UBR2%20)&amp;keywords=UBR2", "UBR2")</f>
        <v/>
      </c>
      <c r="N904" t="inlineStr">
        <is>
          <t>intronic</t>
        </is>
      </c>
      <c r="O904" t="inlineStr">
        <is>
          <t>.</t>
        </is>
      </c>
      <c r="P904" t="inlineStr">
        <is>
          <t>.</t>
        </is>
      </c>
      <c r="Q904" t="n">
        <v>-1</v>
      </c>
      <c r="R904" t="n">
        <v>-1</v>
      </c>
      <c r="S904" t="n">
        <v>-1</v>
      </c>
      <c r="T904" t="n">
        <v>-1</v>
      </c>
      <c r="U904" t="n">
        <v>-1</v>
      </c>
      <c r="V904" t="inlineStr">
        <is>
          <t>.</t>
        </is>
      </c>
      <c r="W904" t="inlineStr">
        <is>
          <t>.</t>
        </is>
      </c>
      <c r="X904" t="inlineStr">
        <is>
          <t>PD</t>
        </is>
      </c>
      <c r="Y904" t="inlineStr">
        <is>
          <t>off</t>
        </is>
      </c>
      <c r="Z904" t="inlineStr">
        <is>
          <t>.</t>
        </is>
      </c>
      <c r="AA904" t="inlineStr">
        <is>
          <t>.</t>
        </is>
      </c>
      <c r="AB904" t="inlineStr">
        <is>
          <t>.</t>
        </is>
      </c>
      <c r="AC904" t="inlineStr">
        <is>
          <t>0/1</t>
        </is>
      </c>
      <c r="AD904" t="inlineStr">
        <is>
          <t>1</t>
        </is>
      </c>
      <c r="AE904" t="inlineStr">
        <is>
          <t>0.999999880132158</t>
        </is>
      </c>
      <c r="AF904" t="inlineStr">
        <is>
          <t>ubiquitin protein ligase E3 component n-recognin 2</t>
        </is>
      </c>
      <c r="AG904" t="inlineStr">
        <is>
          <t xml:space="preserve">FUNCTION: E3 ubiquitin-protein ligase which is a component of the N-end rule pathway. Recognizes and binds to proteins bearing specific N-terminal residues that are destabilizing according to the N-end rule, leading to their ubiquitination and subsequent degradation. Plays a critical role in chromatin inactivation and chromosome-wide transcriptional silencing during meiosis via ubiquitination of histone H2A. Binds leucine and is a negative regulator of the leucine-mTOR signaling pathway, thereby controlling cell growth. {ECO:0000269|PubMed:15548684, ECO:0000269|PubMed:20298436, ECO:0000269|PubMed:20835242}.; </t>
        </is>
      </c>
      <c r="AH904" t="inlineStr">
        <is>
          <t>.</t>
        </is>
      </c>
      <c r="AI904" t="inlineStr">
        <is>
          <t>.</t>
        </is>
      </c>
      <c r="AJ904" t="inlineStr">
        <is>
          <t>.</t>
        </is>
      </c>
      <c r="AK904" t="inlineStr">
        <is>
          <t>.</t>
        </is>
      </c>
      <c r="AL904" t="inlineStr">
        <is>
          <t>.</t>
        </is>
      </c>
    </row>
    <row r="905">
      <c r="A905" t="inlineStr"/>
      <c r="B905">
        <f>HYPERLINK("https://genome.ucsc.edu/cgi-bin/hgTracks?db=hg19&amp;position=chr6%3A42977079%2D42977079", "chr6:42977079")</f>
        <v/>
      </c>
      <c r="C905" t="inlineStr">
        <is>
          <t>chr6</t>
        </is>
      </c>
      <c r="D905" t="n">
        <v>42977079</v>
      </c>
      <c r="E905" t="n">
        <v>42977079</v>
      </c>
      <c r="F905" t="inlineStr">
        <is>
          <t>-</t>
        </is>
      </c>
      <c r="G905" t="inlineStr">
        <is>
          <t>T</t>
        </is>
      </c>
      <c r="H905" t="inlineStr">
        <is>
          <t>565.60</t>
        </is>
      </c>
      <c r="I905" t="inlineStr">
        <is>
          <t>117</t>
        </is>
      </c>
      <c r="J905" t="inlineStr">
        <is>
          <t>91,26</t>
        </is>
      </c>
      <c r="K905" t="inlineStr">
        <is>
          <t>.</t>
        </is>
      </c>
      <c r="L905" t="inlineStr">
        <is>
          <t>.</t>
        </is>
      </c>
      <c r="M905">
        <f>HYPERLINK("https://www.genecards.org/Search/Keyword?queryString=%5Baliases%5D(%20PPP2R5D%20)&amp;keywords=PPP2R5D", "PPP2R5D")</f>
        <v/>
      </c>
      <c r="N905" t="inlineStr">
        <is>
          <t>exonic</t>
        </is>
      </c>
      <c r="O905" t="inlineStr">
        <is>
          <t>frameshift insertion</t>
        </is>
      </c>
      <c r="P905" t="inlineStr">
        <is>
          <t>PPP2R5D:NM_180977:exon10:c.954dupT:p.Y319Lfs*5,PPP2R5D:NM_001270476:exon12:c.819dupT:p.Y274Lfs*5,PPP2R5D:NM_006245:exon12:c.1272dupT:p.Y425Lfs*5,PPP2R5D:NM_180976:exon12:c.1176dupT:p.Y393Lfs*5;PPP2R5D:uc003otj.4:exon9:c.765dupT:p.Y256Lfs*5,PPP2R5D:uc010jyd.4:exon10:c.954dupT:p.Y319Lfs*5,PPP2R5D:uc003oth.4:exon12:c.1272dupT:p.Y425Lfs*5,PPP2R5D:uc003oti.4:exon12:c.819dupT:p.Y274Lfs*5,PPP2R5D:uc011dva.3:exon12:c.819dupT:p.Y274Lfs*5,PPP2R5D:uc021yzq.2:exon12:c.1176dupT:p.Y393Lfs*5;PPP2R5D:ENST00000461010.5_3:exon10:c.954dupT:p.Y319Lfs*5,PPP2R5D:ENST00000394110.7_3:exon12:c.1176dupT:p.Y393Lfs*5,PPP2R5D:ENST00000472118.5_4:exon12:c.1248dupT:p.Y417Lfs*5,PPP2R5D:ENST00000485511.6_5:exon12:c.1272dupT:p.Y425Lfs*5</t>
        </is>
      </c>
      <c r="Q905" t="n">
        <v>-1</v>
      </c>
      <c r="R905" t="n">
        <v>-1</v>
      </c>
      <c r="S905" t="n">
        <v>-1</v>
      </c>
      <c r="T905" t="n">
        <v>-1</v>
      </c>
      <c r="U905" t="n">
        <v>-1</v>
      </c>
      <c r="V905" t="inlineStr">
        <is>
          <t>.</t>
        </is>
      </c>
      <c r="W905" t="inlineStr">
        <is>
          <t>.</t>
        </is>
      </c>
      <c r="X905" t="inlineStr">
        <is>
          <t>.</t>
        </is>
      </c>
      <c r="Y905" t="inlineStr">
        <is>
          <t>.</t>
        </is>
      </c>
      <c r="Z905" t="inlineStr">
        <is>
          <t>.</t>
        </is>
      </c>
      <c r="AA905" t="inlineStr">
        <is>
          <t>.</t>
        </is>
      </c>
      <c r="AB905" t="inlineStr">
        <is>
          <t>.</t>
        </is>
      </c>
      <c r="AC905" t="inlineStr">
        <is>
          <t>0/1</t>
        </is>
      </c>
      <c r="AD905" t="inlineStr">
        <is>
          <t>1</t>
        </is>
      </c>
      <c r="AE905" t="inlineStr">
        <is>
          <t>0.997520078948917</t>
        </is>
      </c>
      <c r="AF905" t="inlineStr">
        <is>
          <t>protein phosphatase 2 regulatory subunit B', delta</t>
        </is>
      </c>
      <c r="AG905" t="inlineStr">
        <is>
          <t xml:space="preserve">FUNCTION: The B regulatory subunit might modulate substrate selectivity and catalytic activity, and also might direct the localization of the catalytic enzyme to a particular subcellular compartment.; </t>
        </is>
      </c>
      <c r="AH905" t="inlineStr">
        <is>
          <t xml:space="preserve">DISEASE: Mental retardation, autosomal dominant 35 (MRD35) [MIM:616355]: A form of mental retardation, a disorder characterized by significantly below average general intellectual functioning associated with impairments in adaptive behavior and manifested during the developmental period. {ECO:0000269|PubMed:25533962, ECO:0000269|PubMed:26168268}. Note=The disease is caused by mutations affecting the gene represented in this entry.; </t>
        </is>
      </c>
      <c r="AI905" t="inlineStr">
        <is>
          <t>.</t>
        </is>
      </c>
      <c r="AJ905" t="inlineStr">
        <is>
          <t>.</t>
        </is>
      </c>
      <c r="AK905" t="inlineStr">
        <is>
          <t>.</t>
        </is>
      </c>
      <c r="AL905" t="inlineStr">
        <is>
          <t>.</t>
        </is>
      </c>
    </row>
    <row r="906">
      <c r="A906" t="inlineStr"/>
      <c r="B906">
        <f>HYPERLINK("https://genome.ucsc.edu/cgi-bin/hgTracks?db=hg19&amp;position=chr6%3A44329579%2D44329579", "chr6:44329579")</f>
        <v/>
      </c>
      <c r="C906" t="inlineStr">
        <is>
          <t>chr6</t>
        </is>
      </c>
      <c r="D906" t="n">
        <v>44329579</v>
      </c>
      <c r="E906" t="n">
        <v>44329579</v>
      </c>
      <c r="F906" t="inlineStr">
        <is>
          <t>C</t>
        </is>
      </c>
      <c r="G906" t="inlineStr">
        <is>
          <t>T</t>
        </is>
      </c>
      <c r="H906" t="inlineStr">
        <is>
          <t>276.64</t>
        </is>
      </c>
      <c r="I906" t="inlineStr">
        <is>
          <t>112</t>
        </is>
      </c>
      <c r="J906" t="inlineStr">
        <is>
          <t>92,20</t>
        </is>
      </c>
      <c r="K906" t="inlineStr">
        <is>
          <t>.</t>
        </is>
      </c>
      <c r="L906">
        <f>HYPERLINK("https://www.ncbi.nlm.nih.gov/snp/rs145942181", "rs145942181")</f>
        <v/>
      </c>
      <c r="M906">
        <f>HYPERLINK("https://www.genecards.org/Search/Keyword?queryString=%5Baliases%5D(%20SPATS1%20)&amp;keywords=SPATS1", "SPATS1")</f>
        <v/>
      </c>
      <c r="N906" t="inlineStr">
        <is>
          <t>exonic</t>
        </is>
      </c>
      <c r="O906" t="inlineStr">
        <is>
          <t>nonsynonymous SNV</t>
        </is>
      </c>
      <c r="P906" t="inlineStr">
        <is>
          <t>SPATS1:NM_001372081:exon5:c.C424T:p.R142C,SPATS1:NM_145026:exon5:c.C424T:p.R142C;SPATS1:uc003oxk.3:exon4:c.C424T:p.R142C,SPATS1:uc010jzb.3:exon5:c.C79T:p.R27C,SPATS1:uc021yzz.1:exon5:c.C424T:p.R142C;SPATS1:ENST00000288390.2_2:exon4:c.C424T:p.R142C,SPATS1:ENST00000323108.12_2:exon5:c.C424T:p.R142C,SPATS1:ENST00000674044.1_3:exon5:c.C424T:p.R142C</t>
        </is>
      </c>
      <c r="Q906" t="n">
        <v>0.010101</v>
      </c>
      <c r="R906" t="n">
        <v>0.0025</v>
      </c>
      <c r="S906" t="n">
        <v>0.0025</v>
      </c>
      <c r="T906" t="n">
        <v>-1</v>
      </c>
      <c r="U906" t="n">
        <v>0.0024</v>
      </c>
      <c r="V906" t="inlineStr">
        <is>
          <t>5/11</t>
        </is>
      </c>
      <c r="W906" t="inlineStr">
        <is>
          <t>.</t>
        </is>
      </c>
      <c r="X906" t="inlineStr">
        <is>
          <t>.</t>
        </is>
      </c>
      <c r="Y906" t="inlineStr">
        <is>
          <t>.</t>
        </is>
      </c>
      <c r="Z906" t="inlineStr">
        <is>
          <t>0/7</t>
        </is>
      </c>
      <c r="AA906" t="inlineStr">
        <is>
          <t>Uncertain significance</t>
        </is>
      </c>
      <c r="AB906" t="inlineStr">
        <is>
          <t>.</t>
        </is>
      </c>
      <c r="AC906" t="inlineStr">
        <is>
          <t>0/1</t>
        </is>
      </c>
      <c r="AD906" t="inlineStr">
        <is>
          <t>1</t>
        </is>
      </c>
      <c r="AE906" t="inlineStr">
        <is>
          <t>0.000191249661738644</t>
        </is>
      </c>
      <c r="AF906" t="inlineStr">
        <is>
          <t>spermatogenesis associated serine rich 1</t>
        </is>
      </c>
      <c r="AG906" t="inlineStr">
        <is>
          <t>.</t>
        </is>
      </c>
      <c r="AH906" t="inlineStr">
        <is>
          <t>.</t>
        </is>
      </c>
      <c r="AI906" t="inlineStr">
        <is>
          <t>.</t>
        </is>
      </c>
      <c r="AJ906" t="inlineStr">
        <is>
          <t>.</t>
        </is>
      </c>
      <c r="AK906" t="inlineStr">
        <is>
          <t>.</t>
        </is>
      </c>
      <c r="AL906" t="inlineStr">
        <is>
          <t>.</t>
        </is>
      </c>
    </row>
    <row r="907">
      <c r="A907" t="inlineStr"/>
      <c r="B907">
        <f>HYPERLINK("https://genome.ucsc.edu/cgi-bin/hgTracks?db=hg19&amp;position=chr6%3A46826187%2D46826187", "chr6:46826187")</f>
        <v/>
      </c>
      <c r="C907" t="inlineStr">
        <is>
          <t>chr6</t>
        </is>
      </c>
      <c r="D907" t="n">
        <v>46826187</v>
      </c>
      <c r="E907" t="n">
        <v>46826187</v>
      </c>
      <c r="F907" t="inlineStr">
        <is>
          <t>C</t>
        </is>
      </c>
      <c r="G907" t="inlineStr">
        <is>
          <t>A</t>
        </is>
      </c>
      <c r="H907" t="inlineStr">
        <is>
          <t>473.64</t>
        </is>
      </c>
      <c r="I907" t="inlineStr">
        <is>
          <t>103</t>
        </is>
      </c>
      <c r="J907" t="inlineStr">
        <is>
          <t>80,23</t>
        </is>
      </c>
      <c r="K907" t="inlineStr">
        <is>
          <t>.</t>
        </is>
      </c>
      <c r="L907" t="inlineStr">
        <is>
          <t>.</t>
        </is>
      </c>
      <c r="M907">
        <f>HYPERLINK("https://www.genecards.org/Search/Keyword?queryString=%5Baliases%5D(%20ADGRF5%20)%20OR%20%5Baliases%5D(%20GPR116%20)&amp;keywords=ADGRF5,GPR116", "ADGRF5;GPR116")</f>
        <v/>
      </c>
      <c r="N907" t="inlineStr">
        <is>
          <t>exonic</t>
        </is>
      </c>
      <c r="O907" t="inlineStr">
        <is>
          <t>nonsynonymous SNV</t>
        </is>
      </c>
      <c r="P907" t="inlineStr">
        <is>
          <t>ADGRF5:NM_001098518:exon17:c.G3453T:p.Q1151H,ADGRF5:NM_015234:exon17:c.G3453T:p.Q1151H;GPR116:uc011dwj.1:exon6:c.G2118T:p.Q706H,GPR116:uc011dwk.1:exon7:c.G1740T:p.Q580H,GPR116:uc010jzi.1:exon9:c.G2469T:p.Q823H,GPR116:uc003oyp.3:exon15:c.G3027T:p.Q1009H,GPR116:uc003oyo.3:exon17:c.G3453T:p.Q1151H,GPR116:uc003oyq.3:exon17:c.G3453T:p.Q1151H;ADGRF5:ENST00000265417.7_5:exon17:c.G3453T:p.Q1151H,ADGRF5:ENST00000283296.12_6:exon17:c.G3453T:p.Q1151H</t>
        </is>
      </c>
      <c r="Q907" t="n">
        <v>-1</v>
      </c>
      <c r="R907" t="n">
        <v>-1</v>
      </c>
      <c r="S907" t="n">
        <v>-1</v>
      </c>
      <c r="T907" t="n">
        <v>-1</v>
      </c>
      <c r="U907" t="n">
        <v>-1</v>
      </c>
      <c r="V907" t="inlineStr">
        <is>
          <t>4/12</t>
        </is>
      </c>
      <c r="W907" t="inlineStr">
        <is>
          <t>.</t>
        </is>
      </c>
      <c r="X907" t="inlineStr">
        <is>
          <t>.</t>
        </is>
      </c>
      <c r="Y907" t="inlineStr">
        <is>
          <t>.</t>
        </is>
      </c>
      <c r="Z907" t="inlineStr">
        <is>
          <t>1/7</t>
        </is>
      </c>
      <c r="AA907" t="inlineStr">
        <is>
          <t>Uncertain significance</t>
        </is>
      </c>
      <c r="AB907" t="inlineStr">
        <is>
          <t>.</t>
        </is>
      </c>
      <c r="AC907" t="inlineStr">
        <is>
          <t>0/1</t>
        </is>
      </c>
      <c r="AD907" t="inlineStr">
        <is>
          <t>1;1</t>
        </is>
      </c>
      <c r="AE907" t="inlineStr">
        <is>
          <t>.</t>
        </is>
      </c>
      <c r="AF907" t="inlineStr">
        <is>
          <t>adhesion G protein-coupled receptor F5</t>
        </is>
      </c>
      <c r="AG907" t="inlineStr">
        <is>
          <t xml:space="preserve">FUNCTION: Receptor that plays a critical role in lung surfactant homeostasis. May play a role in controlling adipocyte function. {ECO:0000250|UniProtKB:G5E8Q8}.; </t>
        </is>
      </c>
      <c r="AH907" t="inlineStr">
        <is>
          <t>.</t>
        </is>
      </c>
      <c r="AI907" t="inlineStr">
        <is>
          <t>.</t>
        </is>
      </c>
      <c r="AJ907" t="inlineStr">
        <is>
          <t>.</t>
        </is>
      </c>
      <c r="AK907" t="inlineStr">
        <is>
          <t>.</t>
        </is>
      </c>
      <c r="AL907" t="inlineStr">
        <is>
          <t>NGS_LowStringency</t>
        </is>
      </c>
    </row>
    <row r="908">
      <c r="A908" t="inlineStr"/>
      <c r="B908">
        <f>HYPERLINK("https://genome.ucsc.edu/cgi-bin/hgTracks?db=hg19&amp;position=chr6%3A56354381%2D56354381", "chr6:56354381")</f>
        <v/>
      </c>
      <c r="C908" t="inlineStr">
        <is>
          <t>chr6</t>
        </is>
      </c>
      <c r="D908" t="n">
        <v>56354381</v>
      </c>
      <c r="E908" t="n">
        <v>56354381</v>
      </c>
      <c r="F908" t="inlineStr">
        <is>
          <t>C</t>
        </is>
      </c>
      <c r="G908" t="inlineStr">
        <is>
          <t>G</t>
        </is>
      </c>
      <c r="H908" t="inlineStr">
        <is>
          <t>565.64</t>
        </is>
      </c>
      <c r="I908" t="inlineStr">
        <is>
          <t>118</t>
        </is>
      </c>
      <c r="J908" t="inlineStr">
        <is>
          <t>84,34</t>
        </is>
      </c>
      <c r="K908" t="inlineStr">
        <is>
          <t>.</t>
        </is>
      </c>
      <c r="L908" t="inlineStr">
        <is>
          <t>.</t>
        </is>
      </c>
      <c r="M908">
        <f>HYPERLINK("https://www.genecards.org/Search/Keyword?queryString=%5Baliases%5D(%20DST%20)&amp;keywords=DST", "DST")</f>
        <v/>
      </c>
      <c r="N908" t="inlineStr">
        <is>
          <t>exonic</t>
        </is>
      </c>
      <c r="O908" t="inlineStr">
        <is>
          <t>nonsynonymous SNV;startloss</t>
        </is>
      </c>
      <c r="P908" t="inlineStr">
        <is>
          <t>DST:NM_015548:exon67:c.G12915C:p.M4305I,DST:NM_001374730:exon76:c.G13566C:p.M4522I,DST:NM_183380:exon77:c.G13893C:p.M4631I,DST:NM_001144770:exon78:c.G14013C:p.M4671I,DST:NM_001144769:exon80:c.G14427C:p.M4809I,DST:NM_001374729:exon81:c.G19824C:p.M6608I,DST:NM_001374722:exon86:c.G20784C:p.M6928I,DST:NM_001374734:exon86:c.G20811C:p.M6937I,DST:NM_001374736:exon86:c.G20784C:p.M6928I;DST:uc003pda.4:exon2:c.G3C:p.M1?,DST:uc003pcy.4:exon67:c.G12915C:p.M4305I,DST:uc021zaz.2:exon77:c.G13893C:p.M4631I,DST:uc021zay.2:exon78:c.G14013C:p.M4671I,DST:uc021zba.2:exon80:c.G14427C:p.M4809I;DST:ENST00000340834.10_8:exon26:c.G5469C:p.M1823I,DST:ENST00000244364.10_5:exon67:c.G12915C:p.M4305I,DST:ENST00000370788.6_7:exon76:c.G13566C:p.M4522I,DST:ENST00000421834.6_8:exon77:c.G13893C:p.M4631I,DST:ENST00000520645.6_7:exon77:c.G13686C:p.M4562I,DST:ENST00000312431.10_8:exon78:c.G14013C:p.M4671I,DST:ENST00000361203.7_9:exon81:c.G19824C:p.M6608I,DST:ENST00000680361.1_2:exon86:c.G20784C:p.M6928I</t>
        </is>
      </c>
      <c r="Q908" t="n">
        <v>-1</v>
      </c>
      <c r="R908" t="n">
        <v>-1</v>
      </c>
      <c r="S908" t="n">
        <v>-1</v>
      </c>
      <c r="T908" t="n">
        <v>-1</v>
      </c>
      <c r="U908" t="n">
        <v>-1</v>
      </c>
      <c r="V908" t="inlineStr">
        <is>
          <t>3/10</t>
        </is>
      </c>
      <c r="W908" t="inlineStr">
        <is>
          <t>.</t>
        </is>
      </c>
      <c r="X908" t="inlineStr">
        <is>
          <t>.</t>
        </is>
      </c>
      <c r="Y908" t="inlineStr">
        <is>
          <t>.</t>
        </is>
      </c>
      <c r="Z908" t="inlineStr">
        <is>
          <t>3/7</t>
        </is>
      </c>
      <c r="AA908" t="inlineStr">
        <is>
          <t>Uncertain significance</t>
        </is>
      </c>
      <c r="AB908" t="inlineStr">
        <is>
          <t>.</t>
        </is>
      </c>
      <c r="AC908" t="inlineStr">
        <is>
          <t>0/1</t>
        </is>
      </c>
      <c r="AD908" t="inlineStr">
        <is>
          <t>1</t>
        </is>
      </c>
      <c r="AE908" t="inlineStr">
        <is>
          <t>0.99999999999999</t>
        </is>
      </c>
      <c r="AF908" t="inlineStr">
        <is>
          <t>dystonin</t>
        </is>
      </c>
      <c r="AG908" t="inlineStr">
        <is>
          <t xml:space="preserve">FUNCTION: Cytoskeletal linker protein. Acts as an integrator of intermediate filaments, actin and microtubule cytoskeleton networks. Required for anchoring either intermediate filaments to the actin cytoskeleton in neural and muscle cells or keratin- containing intermediate filaments to hemidesmosomes in epithelial cells. The proteins may self-aggregate to form filaments or a two- dimensional mesh.; FUNCTION: Isoform 6: required for bundling actin filaments around the nucleus. {ECO:0000250, ECO:0000269|PubMed:10428034, ECO:0000269|PubMed:12482924, ECO:0000269|PubMed:19403692}.; </t>
        </is>
      </c>
      <c r="AH908" t="inlineStr">
        <is>
          <t xml:space="preserve">DISEASE: Neuropathy, hereditary sensory and autonomic, 6 (HSAN6) [MIM:614653]: A form of hereditary sensory and autonomic neuropathy, a genetically and clinically heterogeneous group of disorders characterized by degeneration of dorsal root and autonomic ganglion cells, and by sensory and/or autonomic abnormalities. HSAN6 is a severe autosomal recessive disorder characterized by neonatal hypotonia, respiratory and feeding difficulties, lack of psychomotor development, and autonomic abnormalities including labile cardiovascular function, lack of corneal reflexes leading to corneal scarring, areflexia, and absent axonal flare response after intradermal histamine injection. {ECO:0000269|PubMed:22522446}. Note=The disease is caused by mutations affecting the gene represented in this entry.; DISEASE: Epidermolysis bullosa simplex, autosomal recessive 2 (EBSB2) [MIM:615425]: A form of epidermolysis bullosa, a dermatologic disorder characterized by localized blistering on the dorsal, lateral and plantar surfaces of the feet. EBSB2 is characterized by trauma-induced blistering mainly occurring on the feet and ankles. Ultrastructural analysis of skin biopsy shows abnormal hemidesmosomes with poorly formed inner plaques. {ECO:0000269|PubMed:20164846, ECO:0000269|PubMed:22113475}. Note=The disease is caused by mutations affecting the gene represented in this entry.; </t>
        </is>
      </c>
      <c r="AI908" t="inlineStr">
        <is>
          <t>.</t>
        </is>
      </c>
      <c r="AJ908" t="inlineStr">
        <is>
          <t>.</t>
        </is>
      </c>
      <c r="AK908" t="inlineStr">
        <is>
          <t>.</t>
        </is>
      </c>
      <c r="AL908" t="inlineStr">
        <is>
          <t>.</t>
        </is>
      </c>
    </row>
    <row r="909">
      <c r="A909" t="inlineStr"/>
      <c r="B909">
        <f>HYPERLINK("https://genome.ucsc.edu/cgi-bin/hgTracks?db=hg19&amp;position=chr6%3A78172750%2D78172750", "chr6:78172750")</f>
        <v/>
      </c>
      <c r="C909" t="inlineStr">
        <is>
          <t>chr6</t>
        </is>
      </c>
      <c r="D909" t="n">
        <v>78172750</v>
      </c>
      <c r="E909" t="n">
        <v>78172750</v>
      </c>
      <c r="F909" t="inlineStr">
        <is>
          <t>A</t>
        </is>
      </c>
      <c r="G909" t="inlineStr">
        <is>
          <t>C</t>
        </is>
      </c>
      <c r="H909" t="inlineStr">
        <is>
          <t>1795.64</t>
        </is>
      </c>
      <c r="I909" t="inlineStr">
        <is>
          <t>106</t>
        </is>
      </c>
      <c r="J909" t="inlineStr">
        <is>
          <t>41,65</t>
        </is>
      </c>
      <c r="K909" t="inlineStr">
        <is>
          <t>CM004480</t>
        </is>
      </c>
      <c r="L909">
        <f>HYPERLINK("https://www.ncbi.nlm.nih.gov/snp/rs130060", "rs130060")</f>
        <v/>
      </c>
      <c r="M909">
        <f>HYPERLINK("https://www.genecards.org/Search/Keyword?queryString=%5Baliases%5D(%20HTR1B%20)&amp;keywords=HTR1B", "HTR1B")</f>
        <v/>
      </c>
      <c r="N909" t="inlineStr">
        <is>
          <t>exonic</t>
        </is>
      </c>
      <c r="O909" t="inlineStr">
        <is>
          <t>nonsynonymous SNV</t>
        </is>
      </c>
      <c r="P909" t="inlineStr">
        <is>
          <t>HTR1B:NM_000863:exon1:c.T371G:p.F124C;HTR1B:uc003pil.1:exon1:c.T371G:p.F124C;HTR1B:ENST00000369947.5_5:exon1:c.T371G:p.F124C</t>
        </is>
      </c>
      <c r="Q909" t="n">
        <v>0.0153</v>
      </c>
      <c r="R909" t="n">
        <v>0.016</v>
      </c>
      <c r="S909" t="n">
        <v>0.0199</v>
      </c>
      <c r="T909" t="n">
        <v>-1</v>
      </c>
      <c r="U909" t="n">
        <v>0.0122</v>
      </c>
      <c r="V909" t="inlineStr">
        <is>
          <t>5/10</t>
        </is>
      </c>
      <c r="W909" t="inlineStr">
        <is>
          <t>.</t>
        </is>
      </c>
      <c r="X909" t="inlineStr">
        <is>
          <t>.</t>
        </is>
      </c>
      <c r="Y909" t="inlineStr">
        <is>
          <t>.</t>
        </is>
      </c>
      <c r="Z909" t="inlineStr">
        <is>
          <t>5/7</t>
        </is>
      </c>
      <c r="AA909" t="inlineStr">
        <is>
          <t>Uncertain significance</t>
        </is>
      </c>
      <c r="AB909" t="inlineStr">
        <is>
          <t>.</t>
        </is>
      </c>
      <c r="AC909" t="inlineStr">
        <is>
          <t>0/1</t>
        </is>
      </c>
      <c r="AD909" t="inlineStr">
        <is>
          <t>1</t>
        </is>
      </c>
      <c r="AE909" t="inlineStr">
        <is>
          <t>0.645559516982246</t>
        </is>
      </c>
      <c r="AF909" t="inlineStr">
        <is>
          <t>5-hydroxytryptamine receptor 1B</t>
        </is>
      </c>
      <c r="AG909" t="inlineStr">
        <is>
          <t xml:space="preserve">FUNCTION: G-protein coupled receptor for 5-hydroxytryptamine (serotonin). Also functions as a receptor for ergot alkaloid derivatives, various anxiolytic and antidepressant drugs and other psychoactive substances, such as lysergic acid diethylamide (LSD). Ligand binding causes a conformation change that triggers signaling via guanine nucleotide-binding proteins (G proteins) and modulates the activity of down-stream effectors, such as adenylate cyclase. Signaling inhibits adenylate cyclase activity. Arrestin family members inhibit signaling via G proteins and mediate activation of alternative signaling pathways. Regulates the release of 5-hydroxytryptamine, dopamine and acetylcholine in the brain, and thereby affects neural activity, nociceptive processing, pain perception, mood and behavior. Besides, plays a role in vasoconstriction of cerebral arteries. {ECO:0000269|PubMed:10452531, ECO:0000269|PubMed:1315531, ECO:0000269|PubMed:1328844, ECO:0000269|PubMed:1348246, ECO:0000269|PubMed:1351684, ECO:0000269|PubMed:1559993, ECO:0000269|PubMed:1565658, ECO:0000269|PubMed:15853772, ECO:0000269|PubMed:1610347, ECO:0000269|PubMed:23519210, ECO:0000269|PubMed:23519215, ECO:0000269|PubMed:8218242}.; </t>
        </is>
      </c>
      <c r="AH909" t="inlineStr">
        <is>
          <t>.</t>
        </is>
      </c>
      <c r="AI909" t="inlineStr">
        <is>
          <t>.</t>
        </is>
      </c>
      <c r="AJ909" t="inlineStr">
        <is>
          <t>.</t>
        </is>
      </c>
      <c r="AK909" t="inlineStr">
        <is>
          <t>.</t>
        </is>
      </c>
      <c r="AL909" t="inlineStr">
        <is>
          <t>.</t>
        </is>
      </c>
    </row>
    <row r="910">
      <c r="A910" t="inlineStr"/>
      <c r="B910">
        <f>HYPERLINK("https://genome.ucsc.edu/cgi-bin/hgTracks?db=hg19&amp;position=chr6%3A80195605%2D80195607", "chr6:80195605")</f>
        <v/>
      </c>
      <c r="C910" t="inlineStr">
        <is>
          <t>chr6</t>
        </is>
      </c>
      <c r="D910" t="n">
        <v>80195605</v>
      </c>
      <c r="E910" t="n">
        <v>80195607</v>
      </c>
      <c r="F910" t="inlineStr">
        <is>
          <t>CAA</t>
        </is>
      </c>
      <c r="G910" t="inlineStr">
        <is>
          <t>-</t>
        </is>
      </c>
      <c r="H910" t="inlineStr">
        <is>
          <t>1597.60</t>
        </is>
      </c>
      <c r="I910" t="inlineStr">
        <is>
          <t>145</t>
        </is>
      </c>
      <c r="J910" t="inlineStr">
        <is>
          <t>99,46</t>
        </is>
      </c>
      <c r="K910" t="inlineStr">
        <is>
          <t>.</t>
        </is>
      </c>
      <c r="L910">
        <f>HYPERLINK("https://www.ncbi.nlm.nih.gov/snp/rs531553621", "rs531553621")</f>
        <v/>
      </c>
      <c r="M910">
        <f>HYPERLINK("https://www.genecards.org/Search/Keyword?queryString=%5Baliases%5D(%20LCA5%20)&amp;keywords=LCA5", "LCA5")</f>
        <v/>
      </c>
      <c r="N910" t="inlineStr">
        <is>
          <t>UTR3;ncRNA_intronic</t>
        </is>
      </c>
      <c r="O910" t="inlineStr">
        <is>
          <t>.</t>
        </is>
      </c>
      <c r="P910" t="inlineStr">
        <is>
          <t>NM_001122769:c.*1116_*1114delTTG;NM_181714:c.*1116_*1114delTTG;uc003piy.3:c.*1116_*1114delTTG;uc003pix.3:c.*1116_*1114delTTG</t>
        </is>
      </c>
      <c r="Q910" t="n">
        <v>0.0233</v>
      </c>
      <c r="R910" t="n">
        <v>0.0137</v>
      </c>
      <c r="S910" t="n">
        <v>0.0126</v>
      </c>
      <c r="T910" t="n">
        <v>-1</v>
      </c>
      <c r="U910" t="n">
        <v>0.0188</v>
      </c>
      <c r="V910" t="inlineStr">
        <is>
          <t>.</t>
        </is>
      </c>
      <c r="W910" t="inlineStr">
        <is>
          <t>.</t>
        </is>
      </c>
      <c r="X910" t="inlineStr">
        <is>
          <t>.</t>
        </is>
      </c>
      <c r="Y910" t="inlineStr">
        <is>
          <t>.</t>
        </is>
      </c>
      <c r="Z910" t="inlineStr">
        <is>
          <t>.</t>
        </is>
      </c>
      <c r="AA910" t="inlineStr">
        <is>
          <t>.</t>
        </is>
      </c>
      <c r="AB910" t="inlineStr">
        <is>
          <t>.</t>
        </is>
      </c>
      <c r="AC910" t="inlineStr">
        <is>
          <t>0/1</t>
        </is>
      </c>
      <c r="AD910" t="inlineStr">
        <is>
          <t>1</t>
        </is>
      </c>
      <c r="AE910" t="inlineStr">
        <is>
          <t>0.00428217416197877</t>
        </is>
      </c>
      <c r="AF910" t="inlineStr">
        <is>
          <t>Leber congenital amaurosis 5</t>
        </is>
      </c>
      <c r="AG910" t="inlineStr">
        <is>
          <t xml:space="preserve">FUNCTION: Might be involved in minus end-directed microtubule transport.; </t>
        </is>
      </c>
      <c r="AH910" t="inlineStr">
        <is>
          <t xml:space="preserve">DISEASE: Leber congenital amaurosis 5 (LCA5) [MIM:604537]: A severe dystrophy of the retina, typically becoming evident in the first years of life. Visual function is usually poor and often accompanied by nystagmus, sluggish or near-absent pupillary responses, photophobia, high hyperopia and keratoconus. {ECO:0000269|PubMed:17546029, ECO:0000269|PubMed:18000884, ECO:0000269|PubMed:18334959}. Note=The disease is caused by mutations affecting the gene represented in this entry.; </t>
        </is>
      </c>
      <c r="AI910" t="inlineStr">
        <is>
          <t>.</t>
        </is>
      </c>
      <c r="AJ910" t="inlineStr">
        <is>
          <t>.</t>
        </is>
      </c>
      <c r="AK910" t="inlineStr">
        <is>
          <t>.</t>
        </is>
      </c>
      <c r="AL910" t="inlineStr">
        <is>
          <t>.</t>
        </is>
      </c>
    </row>
    <row r="911">
      <c r="A911" t="inlineStr"/>
      <c r="B911">
        <f>HYPERLINK("https://genome.ucsc.edu/cgi-bin/hgTracks?db=hg19&amp;position=chr6%3A82462105%2D82462105", "chr6:82462105")</f>
        <v/>
      </c>
      <c r="C911" t="inlineStr">
        <is>
          <t>chr6</t>
        </is>
      </c>
      <c r="D911" t="n">
        <v>82462105</v>
      </c>
      <c r="E911" t="n">
        <v>82462105</v>
      </c>
      <c r="F911" t="inlineStr">
        <is>
          <t>-</t>
        </is>
      </c>
      <c r="G911" t="inlineStr">
        <is>
          <t>G</t>
        </is>
      </c>
      <c r="H911" t="inlineStr">
        <is>
          <t>540.60</t>
        </is>
      </c>
      <c r="I911" t="inlineStr">
        <is>
          <t>54</t>
        </is>
      </c>
      <c r="J911" t="inlineStr">
        <is>
          <t>35,19</t>
        </is>
      </c>
      <c r="K911" t="inlineStr">
        <is>
          <t>.</t>
        </is>
      </c>
      <c r="L911">
        <f>HYPERLINK("https://www.ncbi.nlm.nih.gov/snp/rs764124842", "rs764124842")</f>
        <v/>
      </c>
      <c r="M911">
        <f>HYPERLINK("https://www.genecards.org/Search/Keyword?queryString=%5Baliases%5D(%20FAM46A%20)%20OR%20%5Baliases%5D(%20TENT5A%20)&amp;keywords=FAM46A,TENT5A", "FAM46A;TENT5A")</f>
        <v/>
      </c>
      <c r="N911" t="inlineStr">
        <is>
          <t>exonic;intronic</t>
        </is>
      </c>
      <c r="O911" t="inlineStr">
        <is>
          <t>frameshift insertion</t>
        </is>
      </c>
      <c r="P911" t="inlineStr">
        <is>
          <t>FAM46A:uc003pjf.3:exon1:c.7dupC:p.Q3Pfs*7;TENT5A:ENST00000369754.7_9:exon1:c.7dupC:p.Q3Pfs*7</t>
        </is>
      </c>
      <c r="Q911" t="n">
        <v>0.0009</v>
      </c>
      <c r="R911" t="n">
        <v>0.0001</v>
      </c>
      <c r="S911" t="n">
        <v>7.406000000000001e-05</v>
      </c>
      <c r="T911" t="n">
        <v>-1</v>
      </c>
      <c r="U911" t="n">
        <v>-1</v>
      </c>
      <c r="V911" t="inlineStr">
        <is>
          <t>.</t>
        </is>
      </c>
      <c r="W911" t="inlineStr">
        <is>
          <t>.</t>
        </is>
      </c>
      <c r="X911" t="inlineStr">
        <is>
          <t>.</t>
        </is>
      </c>
      <c r="Y911" t="inlineStr">
        <is>
          <t>.</t>
        </is>
      </c>
      <c r="Z911" t="inlineStr">
        <is>
          <t>.</t>
        </is>
      </c>
      <c r="AA911" t="inlineStr">
        <is>
          <t>.</t>
        </is>
      </c>
      <c r="AB911" t="inlineStr">
        <is>
          <t>.</t>
        </is>
      </c>
      <c r="AC911" t="inlineStr">
        <is>
          <t>0/1</t>
        </is>
      </c>
      <c r="AD911" t="inlineStr">
        <is>
          <t>1;1</t>
        </is>
      </c>
      <c r="AE911" t="inlineStr">
        <is>
          <t>0.34745796945762</t>
        </is>
      </c>
      <c r="AF911" t="inlineStr">
        <is>
          <t>family with sequence similarity 46 member A</t>
        </is>
      </c>
      <c r="AG911" t="inlineStr">
        <is>
          <t>.</t>
        </is>
      </c>
      <c r="AH911" t="inlineStr">
        <is>
          <t>.</t>
        </is>
      </c>
      <c r="AI911" t="inlineStr">
        <is>
          <t>.</t>
        </is>
      </c>
      <c r="AJ911" t="inlineStr">
        <is>
          <t>.</t>
        </is>
      </c>
      <c r="AK911" t="inlineStr">
        <is>
          <t>.</t>
        </is>
      </c>
      <c r="AL911" t="inlineStr">
        <is>
          <t>.</t>
        </is>
      </c>
    </row>
    <row r="912">
      <c r="A912" t="inlineStr"/>
      <c r="B912">
        <f>HYPERLINK("https://genome.ucsc.edu/cgi-bin/hgTracks?db=hg19&amp;position=chr6%3A90338912%2D90338912", "chr6:90338912")</f>
        <v/>
      </c>
      <c r="C912" t="inlineStr">
        <is>
          <t>chr6</t>
        </is>
      </c>
      <c r="D912" t="n">
        <v>90338912</v>
      </c>
      <c r="E912" t="n">
        <v>90338912</v>
      </c>
      <c r="F912" t="inlineStr">
        <is>
          <t>G</t>
        </is>
      </c>
      <c r="G912" t="inlineStr">
        <is>
          <t>C</t>
        </is>
      </c>
      <c r="H912" t="inlineStr">
        <is>
          <t>1021.64</t>
        </is>
      </c>
      <c r="I912" t="inlineStr">
        <is>
          <t>150</t>
        </is>
      </c>
      <c r="J912" t="inlineStr">
        <is>
          <t>102,48</t>
        </is>
      </c>
      <c r="K912" t="inlineStr">
        <is>
          <t>.</t>
        </is>
      </c>
      <c r="L912">
        <f>HYPERLINK("https://www.ncbi.nlm.nih.gov/snp/rs145469631", "rs145469631")</f>
        <v/>
      </c>
      <c r="M912">
        <f>HYPERLINK("https://www.genecards.org/Search/Keyword?queryString=%5Baliases%5D(%20ANKRD6%20)&amp;keywords=ANKRD6", "ANKRD6")</f>
        <v/>
      </c>
      <c r="N912" t="inlineStr">
        <is>
          <t>exonic</t>
        </is>
      </c>
      <c r="O912" t="inlineStr">
        <is>
          <t>nonsynonymous SNV</t>
        </is>
      </c>
      <c r="P912" t="inlineStr">
        <is>
          <t>ANKRD6:NM_001242814:exon12:c.G1390C:p.A464P,ANKRD6:NM_001242813:exon14:c.G1462C:p.A488P,ANKRD6:NM_001242809:exon15:c.G1567C:p.A523P,ANKRD6:NM_001242811:exon15:c.G1567C:p.A523P,ANKRD6:NM_014942:exon15:c.G1567C:p.A523P;ANKRD6:uc003pnj.4:exon6:c.G355C:p.A119P,ANKRD6:uc010kcd.3:exon12:c.G1390C:p.A464P,ANKRD6:uc003pnf.4:exon14:c.G1462C:p.A488P,ANKRD6:uc003pne.4:exon15:c.G1567C:p.A523P,ANKRD6:uc003pni.4:exon15:c.G1567C:p.A523P,ANKRD6:uc011dzy.2:exon15:c.G1567C:p.A523P;ANKRD6:ENST00000520793.5_1:exon12:c.G1390C:p.A464P,ANKRD6:ENST00000369408.9_3:exon14:c.G1462C:p.A488P,ANKRD6:ENST00000339746.9_10:exon15:c.G1567C:p.A523P,ANKRD6:ENST00000447838.6_8:exon15:c.G1567C:p.A523P,ANKRD6:ENST00000522441.5_9:exon15:c.G1567C:p.A523P</t>
        </is>
      </c>
      <c r="Q912" t="n">
        <v>0.0037</v>
      </c>
      <c r="R912" t="n">
        <v>0.0016</v>
      </c>
      <c r="S912" t="n">
        <v>0.0014</v>
      </c>
      <c r="T912" t="n">
        <v>-1</v>
      </c>
      <c r="U912" t="n">
        <v>0.0011</v>
      </c>
      <c r="V912" t="inlineStr">
        <is>
          <t>3/11</t>
        </is>
      </c>
      <c r="W912" t="inlineStr">
        <is>
          <t>.</t>
        </is>
      </c>
      <c r="X912" t="inlineStr">
        <is>
          <t>.</t>
        </is>
      </c>
      <c r="Y912" t="inlineStr">
        <is>
          <t>.</t>
        </is>
      </c>
      <c r="Z912" t="inlineStr">
        <is>
          <t>0/7</t>
        </is>
      </c>
      <c r="AA912" t="inlineStr">
        <is>
          <t>Uncertain significance</t>
        </is>
      </c>
      <c r="AB912" t="inlineStr">
        <is>
          <t>.</t>
        </is>
      </c>
      <c r="AC912" t="inlineStr">
        <is>
          <t>0/1</t>
        </is>
      </c>
      <c r="AD912" t="inlineStr">
        <is>
          <t>1</t>
        </is>
      </c>
      <c r="AE912" t="inlineStr">
        <is>
          <t>3.48769137996221e-07</t>
        </is>
      </c>
      <c r="AF912" t="inlineStr">
        <is>
          <t>ankyrin repeat domain 6</t>
        </is>
      </c>
      <c r="AG912" t="inlineStr">
        <is>
          <t xml:space="preserve">FUNCTION: Recruits CKI-epsilon to the beta-catenin degradation complex that consists of AXN1 or AXN2 and GSK3-beta and allows efficient phosphorylation of beta-catenin, thereby inhibiting beta-catenin/Tcf signals. {ECO:0000250}.; </t>
        </is>
      </c>
      <c r="AH912" t="inlineStr">
        <is>
          <t>.</t>
        </is>
      </c>
      <c r="AI912" t="inlineStr">
        <is>
          <t>.</t>
        </is>
      </c>
      <c r="AJ912" t="inlineStr">
        <is>
          <t>.</t>
        </is>
      </c>
      <c r="AK912" t="inlineStr">
        <is>
          <t>.</t>
        </is>
      </c>
      <c r="AL912" t="inlineStr">
        <is>
          <t>.</t>
        </is>
      </c>
    </row>
    <row r="913">
      <c r="A913" t="inlineStr"/>
      <c r="B913">
        <f>HYPERLINK("https://genome.ucsc.edu/cgi-bin/hgTracks?db=hg19&amp;position=chr6%3A90371215%2D90371215", "chr6:90371215")</f>
        <v/>
      </c>
      <c r="C913" t="inlineStr">
        <is>
          <t>chr6</t>
        </is>
      </c>
      <c r="D913" t="n">
        <v>90371215</v>
      </c>
      <c r="E913" t="n">
        <v>90371215</v>
      </c>
      <c r="F913" t="inlineStr">
        <is>
          <t>T</t>
        </is>
      </c>
      <c r="G913" t="inlineStr">
        <is>
          <t>C</t>
        </is>
      </c>
      <c r="H913" t="inlineStr">
        <is>
          <t>2335.64</t>
        </is>
      </c>
      <c r="I913" t="inlineStr">
        <is>
          <t>153</t>
        </is>
      </c>
      <c r="J913" t="inlineStr">
        <is>
          <t>60,93</t>
        </is>
      </c>
      <c r="K913" t="inlineStr">
        <is>
          <t>.</t>
        </is>
      </c>
      <c r="L913">
        <f>HYPERLINK("https://www.ncbi.nlm.nih.gov/snp/rs114646660", "rs114646660")</f>
        <v/>
      </c>
      <c r="M913">
        <f>HYPERLINK("https://www.genecards.org/Search/Keyword?queryString=%5Baliases%5D(%20MDN1%20)&amp;keywords=MDN1", "MDN1")</f>
        <v/>
      </c>
      <c r="N913" t="inlineStr">
        <is>
          <t>exonic</t>
        </is>
      </c>
      <c r="O913" t="inlineStr">
        <is>
          <t>nonsynonymous SNV</t>
        </is>
      </c>
      <c r="P913" t="inlineStr">
        <is>
          <t>MDN1:NM_014611:exon88:c.A14648G:p.D4883G;MDN1:uc003pnn.1:exon88:c.A14648G:p.D4883G;MDN1:ENST00000369393.8_5:exon88:c.A14648G:p.D4883G</t>
        </is>
      </c>
      <c r="Q913" t="n">
        <v>0.027439</v>
      </c>
      <c r="R913" t="n">
        <v>0.0113</v>
      </c>
      <c r="S913" t="n">
        <v>0.0115</v>
      </c>
      <c r="T913" t="n">
        <v>-1</v>
      </c>
      <c r="U913" t="n">
        <v>0.009599999999999999</v>
      </c>
      <c r="V913" t="inlineStr">
        <is>
          <t>7/10</t>
        </is>
      </c>
      <c r="W913" t="inlineStr">
        <is>
          <t>.</t>
        </is>
      </c>
      <c r="X913" t="inlineStr">
        <is>
          <t>.</t>
        </is>
      </c>
      <c r="Y913" t="inlineStr">
        <is>
          <t>.</t>
        </is>
      </c>
      <c r="Z913" t="inlineStr">
        <is>
          <t>4/7</t>
        </is>
      </c>
      <c r="AA913" t="inlineStr">
        <is>
          <t>Uncertain significance</t>
        </is>
      </c>
      <c r="AB913" t="inlineStr">
        <is>
          <t>.</t>
        </is>
      </c>
      <c r="AC913" t="inlineStr">
        <is>
          <t>0/1</t>
        </is>
      </c>
      <c r="AD913" t="inlineStr">
        <is>
          <t>1</t>
        </is>
      </c>
      <c r="AE913" t="inlineStr">
        <is>
          <t>0.999999999489064</t>
        </is>
      </c>
      <c r="AF913" t="inlineStr">
        <is>
          <t>midasin AAA ATPase 1</t>
        </is>
      </c>
      <c r="AG913" t="inlineStr">
        <is>
          <t xml:space="preserve">FUNCTION: Nuclear chaperone required for maturation and nuclear export of pre-60S ribosome subunits. {ECO:0000250}.; </t>
        </is>
      </c>
      <c r="AH913" t="inlineStr">
        <is>
          <t>.</t>
        </is>
      </c>
      <c r="AI913" t="inlineStr">
        <is>
          <t>.</t>
        </is>
      </c>
      <c r="AJ913" t="inlineStr">
        <is>
          <t>.</t>
        </is>
      </c>
      <c r="AK913" t="inlineStr">
        <is>
          <t>.</t>
        </is>
      </c>
      <c r="AL913" t="inlineStr">
        <is>
          <t>.</t>
        </is>
      </c>
    </row>
    <row r="914">
      <c r="A914" t="inlineStr"/>
      <c r="B914">
        <f>HYPERLINK("https://genome.ucsc.edu/cgi-bin/hgTracks?db=hg19&amp;position=chr6%3A99930627%2D99930627", "chr6:99930627")</f>
        <v/>
      </c>
      <c r="C914" t="inlineStr">
        <is>
          <t>chr6</t>
        </is>
      </c>
      <c r="D914" t="n">
        <v>99930627</v>
      </c>
      <c r="E914" t="n">
        <v>99930627</v>
      </c>
      <c r="F914" t="inlineStr">
        <is>
          <t>A</t>
        </is>
      </c>
      <c r="G914" t="inlineStr">
        <is>
          <t>G</t>
        </is>
      </c>
      <c r="H914" t="inlineStr">
        <is>
          <t>662.64</t>
        </is>
      </c>
      <c r="I914" t="inlineStr">
        <is>
          <t>105</t>
        </is>
      </c>
      <c r="J914" t="inlineStr">
        <is>
          <t>66,39</t>
        </is>
      </c>
      <c r="K914" t="inlineStr">
        <is>
          <t>.</t>
        </is>
      </c>
      <c r="L914">
        <f>HYPERLINK("https://www.ncbi.nlm.nih.gov/snp/rs17850034", "rs17850034")</f>
        <v/>
      </c>
      <c r="M914">
        <f>HYPERLINK("https://www.genecards.org/Search/Keyword?queryString=%5Baliases%5D(%20USP45%20)&amp;keywords=USP45", "USP45")</f>
        <v/>
      </c>
      <c r="N914" t="inlineStr">
        <is>
          <t>exonic;splicing</t>
        </is>
      </c>
      <c r="O914" t="inlineStr">
        <is>
          <t>nonsynonymous SNV</t>
        </is>
      </c>
      <c r="P914" t="inlineStr">
        <is>
          <t>NM_001346023:exon8:c.842+2T&gt;C;NM_001346024:exon8:c.845+2T&gt;C;NM_001346028:exon8:UTR5;NM_001346027:exon8:UTR5;NM_001080481:exon8:c.845+2T&gt;C;NM_001346021:exon8:c.845+2T&gt;C;NM_001346026:exon8:c.845+2T&gt;C;NM_001346025:exon8:c.842+2T&gt;C;NM_001346029:exon8:UTR5;NM_001346022:exon8:c.845+2T&gt;C;NM_001346030:exon8:c.845+2T&gt;C;USP45:NM_001346033:exon8:c.T847C:p.W283R,USP45:NM_032929:exon8:c.T847C:p.W283R;uc003ppx.2:exon8:c.845+2T&gt;C;uc010kcq.2:exon8:c.845+2T&gt;C;USP45:uc003pqa.3:exon8:c.T847C:p.W283R;ENST00000500704.7_8:exon8:c.845+2T&gt;C;ENST00000327681.10_7:exon8:c.845+2T&gt;C;ENST00000369233.6_6:exon8:c.845+2T&gt;C;USP45:ENST00000329966.10_4:exon8:c.T847C:p.W283R,USP45:ENST00000472914.6_4:exon8:c.T847C:p.W283R</t>
        </is>
      </c>
      <c r="Q914" t="n">
        <v>0.0147</v>
      </c>
      <c r="R914" t="n">
        <v>0.0137</v>
      </c>
      <c r="S914" t="n">
        <v>0.015</v>
      </c>
      <c r="T914" t="n">
        <v>-1</v>
      </c>
      <c r="U914" t="n">
        <v>0.0163</v>
      </c>
      <c r="V914" t="inlineStr">
        <is>
          <t>4/8</t>
        </is>
      </c>
      <c r="W914" t="inlineStr">
        <is>
          <t>D</t>
        </is>
      </c>
      <c r="X914" t="inlineStr">
        <is>
          <t>.</t>
        </is>
      </c>
      <c r="Y914" t="inlineStr">
        <is>
          <t>.</t>
        </is>
      </c>
      <c r="Z914" t="inlineStr">
        <is>
          <t>5/7</t>
        </is>
      </c>
      <c r="AA914" t="inlineStr">
        <is>
          <t>.</t>
        </is>
      </c>
      <c r="AB914" t="inlineStr">
        <is>
          <t>Benign</t>
        </is>
      </c>
      <c r="AC914" t="inlineStr">
        <is>
          <t>0/1</t>
        </is>
      </c>
      <c r="AD914" t="inlineStr">
        <is>
          <t>1</t>
        </is>
      </c>
      <c r="AE914" t="inlineStr">
        <is>
          <t>8.69749163787703e-14</t>
        </is>
      </c>
      <c r="AF914" t="inlineStr">
        <is>
          <t>ubiquitin specific peptidase 45</t>
        </is>
      </c>
      <c r="AG914" t="inlineStr">
        <is>
          <t>.</t>
        </is>
      </c>
      <c r="AH914" t="inlineStr">
        <is>
          <t>.</t>
        </is>
      </c>
      <c r="AI914" t="inlineStr">
        <is>
          <t>.</t>
        </is>
      </c>
      <c r="AJ914" t="inlineStr">
        <is>
          <t>.</t>
        </is>
      </c>
      <c r="AK914" t="inlineStr">
        <is>
          <t>.</t>
        </is>
      </c>
      <c r="AL914" t="inlineStr">
        <is>
          <t>.</t>
        </is>
      </c>
    </row>
    <row r="915">
      <c r="A915" t="inlineStr"/>
      <c r="B915">
        <f>HYPERLINK("https://genome.ucsc.edu/cgi-bin/hgTracks?db=hg19&amp;position=chr6%3A100006295%2D100006295", "chr6:100006295")</f>
        <v/>
      </c>
      <c r="C915" t="inlineStr">
        <is>
          <t>chr6</t>
        </is>
      </c>
      <c r="D915" t="n">
        <v>100006295</v>
      </c>
      <c r="E915" t="n">
        <v>100006295</v>
      </c>
      <c r="F915" t="inlineStr">
        <is>
          <t>-</t>
        </is>
      </c>
      <c r="G915" t="inlineStr">
        <is>
          <t>A</t>
        </is>
      </c>
      <c r="H915" t="inlineStr">
        <is>
          <t>140.60</t>
        </is>
      </c>
      <c r="I915" t="inlineStr">
        <is>
          <t>73</t>
        </is>
      </c>
      <c r="J915" t="inlineStr">
        <is>
          <t>54,14</t>
        </is>
      </c>
      <c r="K915" t="inlineStr">
        <is>
          <t>.</t>
        </is>
      </c>
      <c r="L915">
        <f>HYPERLINK("https://www.ncbi.nlm.nih.gov/snp/rs772147120", "rs772147120")</f>
        <v/>
      </c>
      <c r="M915">
        <f>HYPERLINK("https://www.genecards.org/Search/Keyword?queryString=%5Baliases%5D(%20CCNC%20)&amp;keywords=CCNC", "CCNC")</f>
        <v/>
      </c>
      <c r="N915" t="inlineStr">
        <is>
          <t>exonic;intronic</t>
        </is>
      </c>
      <c r="O915" t="inlineStr">
        <is>
          <t>stopgain</t>
        </is>
      </c>
      <c r="P915" t="inlineStr">
        <is>
          <t>CCNC:uc003pqf.3:exon5:c.423dupT:p.S142*;CCNC:ENST00000482541.2_3:exon5:c.423dupT:p.S142*</t>
        </is>
      </c>
      <c r="Q915" t="n">
        <v>0.0135</v>
      </c>
      <c r="R915" t="n">
        <v>0.0066</v>
      </c>
      <c r="S915" t="n">
        <v>0.0105</v>
      </c>
      <c r="T915" t="n">
        <v>-1</v>
      </c>
      <c r="U915" t="n">
        <v>0.0541</v>
      </c>
      <c r="V915" t="inlineStr">
        <is>
          <t>.</t>
        </is>
      </c>
      <c r="W915" t="inlineStr">
        <is>
          <t>.</t>
        </is>
      </c>
      <c r="X915" t="inlineStr">
        <is>
          <t>.</t>
        </is>
      </c>
      <c r="Y915" t="inlineStr">
        <is>
          <t>.</t>
        </is>
      </c>
      <c r="Z915" t="inlineStr">
        <is>
          <t>.</t>
        </is>
      </c>
      <c r="AA915" t="inlineStr">
        <is>
          <t>.</t>
        </is>
      </c>
      <c r="AB915" t="inlineStr">
        <is>
          <t>not_provided</t>
        </is>
      </c>
      <c r="AC915" t="inlineStr">
        <is>
          <t>0/1</t>
        </is>
      </c>
      <c r="AD915" t="inlineStr">
        <is>
          <t>1</t>
        </is>
      </c>
      <c r="AE915" t="inlineStr">
        <is>
          <t>0.990104533528106</t>
        </is>
      </c>
      <c r="AF915" t="inlineStr">
        <is>
          <t>cyclin C</t>
        </is>
      </c>
      <c r="AG915" t="inlineStr">
        <is>
          <t xml:space="preserve">FUNCTION: Component of the Mediator complex, a coactivator involved in regulated gene transcription of nearly all RNA polymerase II-dependent genes. Mediator functions as a bridge to convey information from gene-specific regulatory proteins to the basal RNA polymerase II transcription machinery. Mediator is recruited to promoters by direct interactions with regulatory proteins and serves as a scaffold for the assembly of a functional preinitiation complex with RNA polymerase II and the general transcription factors. Binds to and activates cyclin-dependent kinase CDK8 that phosphorylates the CTD (C-terminal domain) of the large subunit of RNA polymerase II (RNAp II), which may inhibit the formation of a transcription initiation complex. {ECO:0000269|PubMed:16595664, ECO:0000269|PubMed:8700522}.; </t>
        </is>
      </c>
      <c r="AH915" t="inlineStr">
        <is>
          <t>.</t>
        </is>
      </c>
      <c r="AI915" t="inlineStr">
        <is>
          <t>.</t>
        </is>
      </c>
      <c r="AJ915" t="inlineStr">
        <is>
          <t>.</t>
        </is>
      </c>
      <c r="AK915" t="inlineStr">
        <is>
          <t>.</t>
        </is>
      </c>
      <c r="AL915" t="inlineStr">
        <is>
          <t>.</t>
        </is>
      </c>
    </row>
    <row r="916">
      <c r="A916" t="inlineStr"/>
      <c r="B916">
        <f>HYPERLINK("https://genome.ucsc.edu/cgi-bin/hgTracks?db=hg19&amp;position=chr6%3A105243643%2D105243643", "chr6:105243643")</f>
        <v/>
      </c>
      <c r="C916" t="inlineStr">
        <is>
          <t>chr6</t>
        </is>
      </c>
      <c r="D916" t="n">
        <v>105243643</v>
      </c>
      <c r="E916" t="n">
        <v>105243643</v>
      </c>
      <c r="F916" t="inlineStr">
        <is>
          <t>T</t>
        </is>
      </c>
      <c r="G916" t="inlineStr">
        <is>
          <t>C</t>
        </is>
      </c>
      <c r="H916" t="inlineStr">
        <is>
          <t>37.64</t>
        </is>
      </c>
      <c r="I916" t="inlineStr">
        <is>
          <t>15</t>
        </is>
      </c>
      <c r="J916" t="inlineStr">
        <is>
          <t>13,2</t>
        </is>
      </c>
      <c r="K916" t="inlineStr">
        <is>
          <t>.</t>
        </is>
      </c>
      <c r="L916" t="inlineStr">
        <is>
          <t>.</t>
        </is>
      </c>
      <c r="M916">
        <f>HYPERLINK("https://www.genecards.org/Search/Keyword?queryString=%5Baliases%5D(%20HACE1%20)&amp;keywords=HACE1", "HACE1")</f>
        <v/>
      </c>
      <c r="N916" t="inlineStr">
        <is>
          <t>intronic</t>
        </is>
      </c>
      <c r="O916" t="inlineStr">
        <is>
          <t>.</t>
        </is>
      </c>
      <c r="P916" t="inlineStr">
        <is>
          <t>.</t>
        </is>
      </c>
      <c r="Q916" t="n">
        <v>-1</v>
      </c>
      <c r="R916" t="n">
        <v>-1</v>
      </c>
      <c r="S916" t="n">
        <v>-1</v>
      </c>
      <c r="T916" t="n">
        <v>-1</v>
      </c>
      <c r="U916" t="n">
        <v>-1</v>
      </c>
      <c r="V916" t="inlineStr">
        <is>
          <t>.</t>
        </is>
      </c>
      <c r="W916" t="inlineStr">
        <is>
          <t>.</t>
        </is>
      </c>
      <c r="X916" t="inlineStr">
        <is>
          <t>D</t>
        </is>
      </c>
      <c r="Y916" t="inlineStr">
        <is>
          <t>off</t>
        </is>
      </c>
      <c r="Z916" t="inlineStr">
        <is>
          <t>.</t>
        </is>
      </c>
      <c r="AA916" t="inlineStr">
        <is>
          <t>.</t>
        </is>
      </c>
      <c r="AB916" t="inlineStr">
        <is>
          <t>.</t>
        </is>
      </c>
      <c r="AC916" t="inlineStr">
        <is>
          <t>.</t>
        </is>
      </c>
      <c r="AD916" t="inlineStr">
        <is>
          <t>2</t>
        </is>
      </c>
      <c r="AE916" t="inlineStr">
        <is>
          <t>0.00159566252447192</t>
        </is>
      </c>
      <c r="AF916" t="inlineStr">
        <is>
          <t>HECT domain and ankyrin repeat containing E3 ubiquitin protein ligase 1</t>
        </is>
      </c>
      <c r="AG916" t="inlineStr">
        <is>
          <t xml:space="preserve">FUNCTION: E3 ubiquitin-protein ligase involved in Golgi membrane fusion and regulation of small GTPases. Acts as a regulator of Golgi membrane dynamics during the cell cycle: recruited to Golgi membrane by Rab proteins and regulates postmitotic Golgi membrane fusion. Acts by mediating ubiquitination during mitotic Golgi disassembly, ubiquitination serving as a signal for Golgi reassembly later, after cell division. Specifically interacts with GTP-bound RAC1, mediating ubiquitination and subsequent degradation of active RAC1, thereby playing a role in host defense against pathogens. May also act as a transcription regulator via its interaction with RARB. {ECO:0000269|PubMed:15254018, ECO:0000269|PubMed:21988917, ECO:0000269|PubMed:22036506}.; </t>
        </is>
      </c>
      <c r="AH916" t="inlineStr">
        <is>
          <t xml:space="preserve">DISEASE: Note=Defects in HACE1 are a cause of Wilms tumor (WT). WT is a pediatric malignancy of kidney and one of the most common solid cancers in childhood. HACE1 is epigenetically down-regulated in sporadic Wilms tumor. Moreover, a t(5;6)(q21;q21) translocation that truncates HACE1 has been found in a child with bilateral, young-onset Wilms tumor (PubMed:19948536). {ECO:0000269|PubMed:17694067, ECO:0000269|PubMed:19948536}.; </t>
        </is>
      </c>
      <c r="AI916" t="inlineStr">
        <is>
          <t>.</t>
        </is>
      </c>
      <c r="AJ916" t="inlineStr">
        <is>
          <t>.</t>
        </is>
      </c>
      <c r="AK916" t="inlineStr">
        <is>
          <t>.</t>
        </is>
      </c>
      <c r="AL916" t="inlineStr">
        <is>
          <t>.</t>
        </is>
      </c>
    </row>
    <row r="917">
      <c r="A917" t="inlineStr"/>
      <c r="B917">
        <f>HYPERLINK("https://genome.ucsc.edu/cgi-bin/hgTracks?db=hg19&amp;position=chr6%3A105243647%2D105243647", "chr6:105243647")</f>
        <v/>
      </c>
      <c r="C917" t="inlineStr">
        <is>
          <t>chr6</t>
        </is>
      </c>
      <c r="D917" t="n">
        <v>105243647</v>
      </c>
      <c r="E917" t="n">
        <v>105243647</v>
      </c>
      <c r="F917" t="inlineStr">
        <is>
          <t>A</t>
        </is>
      </c>
      <c r="G917" t="inlineStr">
        <is>
          <t>T</t>
        </is>
      </c>
      <c r="H917" t="inlineStr">
        <is>
          <t>40.64</t>
        </is>
      </c>
      <c r="I917" t="inlineStr">
        <is>
          <t>14</t>
        </is>
      </c>
      <c r="J917" t="inlineStr">
        <is>
          <t>12,2</t>
        </is>
      </c>
      <c r="K917" t="inlineStr">
        <is>
          <t>.</t>
        </is>
      </c>
      <c r="L917" t="inlineStr">
        <is>
          <t>.</t>
        </is>
      </c>
      <c r="M917">
        <f>HYPERLINK("https://www.genecards.org/Search/Keyword?queryString=%5Baliases%5D(%20HACE1%20)&amp;keywords=HACE1", "HACE1")</f>
        <v/>
      </c>
      <c r="N917" t="inlineStr">
        <is>
          <t>intronic</t>
        </is>
      </c>
      <c r="O917" t="inlineStr">
        <is>
          <t>.</t>
        </is>
      </c>
      <c r="P917" t="inlineStr">
        <is>
          <t>.</t>
        </is>
      </c>
      <c r="Q917" t="n">
        <v>-1</v>
      </c>
      <c r="R917" t="n">
        <v>-1</v>
      </c>
      <c r="S917" t="n">
        <v>-1</v>
      </c>
      <c r="T917" t="n">
        <v>-1</v>
      </c>
      <c r="U917" t="n">
        <v>-1</v>
      </c>
      <c r="V917" t="inlineStr">
        <is>
          <t>.</t>
        </is>
      </c>
      <c r="W917" t="inlineStr">
        <is>
          <t>.</t>
        </is>
      </c>
      <c r="X917" t="inlineStr">
        <is>
          <t>PD</t>
        </is>
      </c>
      <c r="Y917" t="inlineStr">
        <is>
          <t>off</t>
        </is>
      </c>
      <c r="Z917" t="inlineStr">
        <is>
          <t>.</t>
        </is>
      </c>
      <c r="AA917" t="inlineStr">
        <is>
          <t>.</t>
        </is>
      </c>
      <c r="AB917" t="inlineStr">
        <is>
          <t>.</t>
        </is>
      </c>
      <c r="AC917" t="inlineStr">
        <is>
          <t>.</t>
        </is>
      </c>
      <c r="AD917" t="inlineStr">
        <is>
          <t>2</t>
        </is>
      </c>
      <c r="AE917" t="inlineStr">
        <is>
          <t>0.00159566252447192</t>
        </is>
      </c>
      <c r="AF917" t="inlineStr">
        <is>
          <t>HECT domain and ankyrin repeat containing E3 ubiquitin protein ligase 1</t>
        </is>
      </c>
      <c r="AG917" t="inlineStr">
        <is>
          <t xml:space="preserve">FUNCTION: E3 ubiquitin-protein ligase involved in Golgi membrane fusion and regulation of small GTPases. Acts as a regulator of Golgi membrane dynamics during the cell cycle: recruited to Golgi membrane by Rab proteins and regulates postmitotic Golgi membrane fusion. Acts by mediating ubiquitination during mitotic Golgi disassembly, ubiquitination serving as a signal for Golgi reassembly later, after cell division. Specifically interacts with GTP-bound RAC1, mediating ubiquitination and subsequent degradation of active RAC1, thereby playing a role in host defense against pathogens. May also act as a transcription regulator via its interaction with RARB. {ECO:0000269|PubMed:15254018, ECO:0000269|PubMed:21988917, ECO:0000269|PubMed:22036506}.; </t>
        </is>
      </c>
      <c r="AH917" t="inlineStr">
        <is>
          <t xml:space="preserve">DISEASE: Note=Defects in HACE1 are a cause of Wilms tumor (WT). WT is a pediatric malignancy of kidney and one of the most common solid cancers in childhood. HACE1 is epigenetically down-regulated in sporadic Wilms tumor. Moreover, a t(5;6)(q21;q21) translocation that truncates HACE1 has been found in a child with bilateral, young-onset Wilms tumor (PubMed:19948536). {ECO:0000269|PubMed:17694067, ECO:0000269|PubMed:19948536}.; </t>
        </is>
      </c>
      <c r="AI917" t="inlineStr">
        <is>
          <t>.</t>
        </is>
      </c>
      <c r="AJ917" t="inlineStr">
        <is>
          <t>.</t>
        </is>
      </c>
      <c r="AK917" t="inlineStr">
        <is>
          <t>.</t>
        </is>
      </c>
      <c r="AL917" t="inlineStr">
        <is>
          <t>.</t>
        </is>
      </c>
    </row>
    <row r="918">
      <c r="A918" t="inlineStr"/>
      <c r="B918">
        <f>HYPERLINK("https://genome.ucsc.edu/cgi-bin/hgTracks?db=hg19&amp;position=chr6%3A109197409%2D109197409", "chr6:109197409")</f>
        <v/>
      </c>
      <c r="C918" t="inlineStr">
        <is>
          <t>chr6</t>
        </is>
      </c>
      <c r="D918" t="n">
        <v>109197409</v>
      </c>
      <c r="E918" t="n">
        <v>109197409</v>
      </c>
      <c r="F918" t="inlineStr">
        <is>
          <t>G</t>
        </is>
      </c>
      <c r="G918" t="inlineStr">
        <is>
          <t>T</t>
        </is>
      </c>
      <c r="H918" t="inlineStr">
        <is>
          <t>2912.64</t>
        </is>
      </c>
      <c r="I918" t="inlineStr">
        <is>
          <t>167</t>
        </is>
      </c>
      <c r="J918" t="inlineStr">
        <is>
          <t>53,114</t>
        </is>
      </c>
      <c r="K918" t="inlineStr">
        <is>
          <t>.</t>
        </is>
      </c>
      <c r="L918">
        <f>HYPERLINK("https://www.ncbi.nlm.nih.gov/snp/rs765449268", "rs765449268")</f>
        <v/>
      </c>
      <c r="M918">
        <f>HYPERLINK("https://www.genecards.org/Search/Keyword?queryString=%5Baliases%5D(%20ARMC2%20)&amp;keywords=ARMC2", "ARMC2")</f>
        <v/>
      </c>
      <c r="N918" t="inlineStr">
        <is>
          <t>exonic</t>
        </is>
      </c>
      <c r="O918" t="inlineStr">
        <is>
          <t>nonsynonymous SNV</t>
        </is>
      </c>
      <c r="P918" t="inlineStr">
        <is>
          <t>ARMC2:NM_001286609:exon4:c.G32T:p.G11V,ARMC2:NM_032131:exon5:c.G527T:p.G176V;ARMC2:uc011eao.2:exon4:c.G32T:p.G11V,ARMC2:uc003pss.4:exon5:c.G527T:p.G176V;ARMC2:ENST00000368972.7_5:exon4:c.G32T:p.G11V,ARMC2:ENST00000392644.9_9:exon5:c.G527T:p.G176V</t>
        </is>
      </c>
      <c r="Q918" t="n">
        <v>0.0001</v>
      </c>
      <c r="R918" t="n">
        <v>0.0001</v>
      </c>
      <c r="S918" t="n">
        <v>7.344e-05</v>
      </c>
      <c r="T918" t="n">
        <v>-1</v>
      </c>
      <c r="U918" t="n">
        <v>-1</v>
      </c>
      <c r="V918" t="inlineStr">
        <is>
          <t>6/12</t>
        </is>
      </c>
      <c r="W918" t="inlineStr">
        <is>
          <t>.</t>
        </is>
      </c>
      <c r="X918" t="inlineStr">
        <is>
          <t>.</t>
        </is>
      </c>
      <c r="Y918" t="inlineStr">
        <is>
          <t>.</t>
        </is>
      </c>
      <c r="Z918" t="inlineStr">
        <is>
          <t>0/7</t>
        </is>
      </c>
      <c r="AA918" t="inlineStr">
        <is>
          <t>Uncertain significance</t>
        </is>
      </c>
      <c r="AB918" t="inlineStr">
        <is>
          <t>.</t>
        </is>
      </c>
      <c r="AC918" t="inlineStr">
        <is>
          <t>0/1</t>
        </is>
      </c>
      <c r="AD918" t="inlineStr">
        <is>
          <t>1</t>
        </is>
      </c>
      <c r="AE918" t="inlineStr">
        <is>
          <t>2.20161046716889e-08</t>
        </is>
      </c>
      <c r="AF918" t="inlineStr">
        <is>
          <t>armadillo repeat containing 2</t>
        </is>
      </c>
      <c r="AG918" t="inlineStr">
        <is>
          <t>.</t>
        </is>
      </c>
      <c r="AH918" t="inlineStr">
        <is>
          <t>.</t>
        </is>
      </c>
      <c r="AI918" t="inlineStr">
        <is>
          <t>.</t>
        </is>
      </c>
      <c r="AJ918" t="inlineStr">
        <is>
          <t>.</t>
        </is>
      </c>
      <c r="AK918" t="inlineStr">
        <is>
          <t>.</t>
        </is>
      </c>
      <c r="AL918" t="inlineStr">
        <is>
          <t>.</t>
        </is>
      </c>
    </row>
    <row r="919">
      <c r="A919" t="inlineStr"/>
      <c r="B919">
        <f>HYPERLINK("https://genome.ucsc.edu/cgi-bin/hgTracks?db=hg19&amp;position=chr6%3A111896792%2D111896794", "chr6:111896792")</f>
        <v/>
      </c>
      <c r="C919" t="inlineStr">
        <is>
          <t>chr6</t>
        </is>
      </c>
      <c r="D919" t="n">
        <v>111896792</v>
      </c>
      <c r="E919" t="n">
        <v>111896794</v>
      </c>
      <c r="F919" t="inlineStr">
        <is>
          <t>AAA</t>
        </is>
      </c>
      <c r="G919" t="inlineStr">
        <is>
          <t>-</t>
        </is>
      </c>
      <c r="H919" t="inlineStr">
        <is>
          <t>668.02</t>
        </is>
      </c>
      <c r="I919" t="inlineStr">
        <is>
          <t>27</t>
        </is>
      </c>
      <c r="J919" t="inlineStr">
        <is>
          <t>2,12,8</t>
        </is>
      </c>
      <c r="K919" t="inlineStr">
        <is>
          <t>.</t>
        </is>
      </c>
      <c r="L919" t="inlineStr">
        <is>
          <t>.</t>
        </is>
      </c>
      <c r="M919">
        <f>HYPERLINK("https://www.genecards.org/Search/Keyword?queryString=%5Baliases%5D(%20TRAF3IP2%20)%20OR%20%5Baliases%5D(%20TRAF3IP2-AS1%20)&amp;keywords=TRAF3IP2,TRAF3IP2-AS1", "TRAF3IP2;TRAF3IP2-AS1")</f>
        <v/>
      </c>
      <c r="N919" t="inlineStr">
        <is>
          <t>intronic;ncRNA_intronic</t>
        </is>
      </c>
      <c r="O919" t="inlineStr">
        <is>
          <t>.</t>
        </is>
      </c>
      <c r="P919" t="inlineStr">
        <is>
          <t>.</t>
        </is>
      </c>
      <c r="Q919" t="n">
        <v>-1</v>
      </c>
      <c r="R919" t="n">
        <v>-1</v>
      </c>
      <c r="S919" t="n">
        <v>-1</v>
      </c>
      <c r="T919" t="n">
        <v>-1</v>
      </c>
      <c r="U919" t="n">
        <v>-1</v>
      </c>
      <c r="V919" t="inlineStr">
        <is>
          <t>.</t>
        </is>
      </c>
      <c r="W919" t="inlineStr">
        <is>
          <t>.</t>
        </is>
      </c>
      <c r="X919" t="inlineStr">
        <is>
          <t>.</t>
        </is>
      </c>
      <c r="Y919" t="inlineStr">
        <is>
          <t>.</t>
        </is>
      </c>
      <c r="Z919" t="inlineStr">
        <is>
          <t>.</t>
        </is>
      </c>
      <c r="AA919" t="inlineStr">
        <is>
          <t>.</t>
        </is>
      </c>
      <c r="AB919" t="inlineStr">
        <is>
          <t>.</t>
        </is>
      </c>
      <c r="AC919" t="inlineStr">
        <is>
          <t>1/2</t>
        </is>
      </c>
      <c r="AD919" t="inlineStr">
        <is>
          <t>1;1</t>
        </is>
      </c>
      <c r="AE919" t="inlineStr">
        <is>
          <t>7.10960921485341e-05</t>
        </is>
      </c>
      <c r="AF919" t="inlineStr">
        <is>
          <t>TRAF3 interacting protein 2;TRAF3IP2 antisense RNA 1</t>
        </is>
      </c>
      <c r="AG919" t="inlineStr">
        <is>
          <t xml:space="preserve">FUNCTION: Could be involved in the activation of both NF-kappa-B via a NF-kappa-B inhibitor kinase (IKK)-dependent mechanism and stress-activated protein kinase (SAPK)/JNK.; </t>
        </is>
      </c>
      <c r="AH919" t="inlineStr">
        <is>
          <t xml:space="preserve">DISEASE: Candidiasis, familial, 8 (CANDF8) [MIM:615527]: A primary immunodeficiency disorder with altered immune responses and impaired clearance of fungal infections, selective against Candida. It is characterized by persistent and/or recurrent infections of the skin, nails and mucous membranes caused by organisms of the genus Candida, mainly Candida albicans. {ECO:0000269|PubMed:24120361}. Note=The disease is caused by mutations affecting the gene represented in this entry.; </t>
        </is>
      </c>
      <c r="AI919" t="inlineStr">
        <is>
          <t>.</t>
        </is>
      </c>
      <c r="AJ919" t="inlineStr">
        <is>
          <t>.</t>
        </is>
      </c>
      <c r="AK919" t="inlineStr">
        <is>
          <t>.</t>
        </is>
      </c>
      <c r="AL919" t="inlineStr">
        <is>
          <t>.</t>
        </is>
      </c>
    </row>
    <row r="920">
      <c r="A920" t="inlineStr"/>
      <c r="B920">
        <f>HYPERLINK("https://genome.ucsc.edu/cgi-bin/hgTracks?db=hg19&amp;position=chr6%3A112460365%2D112460365", "chr6:112460365")</f>
        <v/>
      </c>
      <c r="C920" t="inlineStr">
        <is>
          <t>chr6</t>
        </is>
      </c>
      <c r="D920" t="n">
        <v>112460365</v>
      </c>
      <c r="E920" t="n">
        <v>112460365</v>
      </c>
      <c r="F920" t="inlineStr">
        <is>
          <t>C</t>
        </is>
      </c>
      <c r="G920" t="inlineStr">
        <is>
          <t>T</t>
        </is>
      </c>
      <c r="H920" t="inlineStr">
        <is>
          <t>2072.64</t>
        </is>
      </c>
      <c r="I920" t="inlineStr">
        <is>
          <t>124</t>
        </is>
      </c>
      <c r="J920" t="inlineStr">
        <is>
          <t>42,82</t>
        </is>
      </c>
      <c r="K920" t="inlineStr">
        <is>
          <t>.</t>
        </is>
      </c>
      <c r="L920">
        <f>HYPERLINK("https://www.ncbi.nlm.nih.gov/snp/rs41289902", "rs41289902")</f>
        <v/>
      </c>
      <c r="M920">
        <f>HYPERLINK("https://www.genecards.org/Search/Keyword?queryString=%5Baliases%5D(%20LAMA4%20)&amp;keywords=LAMA4", "LAMA4")</f>
        <v/>
      </c>
      <c r="N920" t="inlineStr">
        <is>
          <t>exonic</t>
        </is>
      </c>
      <c r="O920" t="inlineStr">
        <is>
          <t>nonsynonymous SNV</t>
        </is>
      </c>
      <c r="P920" t="inlineStr">
        <is>
          <t>LAMA4:NM_001105206:exon24:c.G3239A:p.R1080Q,LAMA4:NM_001105207:exon24:c.G3218A:p.R1073Q,LAMA4:NM_002290:exon24:c.G3218A:p.R1073Q;LAMA4:uc003pvt.3:exon24:c.G3218A:p.R1073Q,LAMA4:uc003pvu.3:exon24:c.G3239A:p.R1080Q,LAMA4:uc003pvv.3:exon24:c.G3218A:p.R1073Q;LAMA4:ENST00000424408.6_8:exon23:c.G3218A:p.R1073Q,LAMA4:ENST00000230538.12_9:exon24:c.G3239A:p.R1080Q,LAMA4:ENST00000389463.9_9:exon24:c.G3218A:p.R1073Q,LAMA4:ENST00000522006.5_7:exon24:c.G3218A:p.R1073Q</t>
        </is>
      </c>
      <c r="Q920" t="n">
        <v>0.023</v>
      </c>
      <c r="R920" t="n">
        <v>0.0134</v>
      </c>
      <c r="S920" t="n">
        <v>0.0137</v>
      </c>
      <c r="T920" t="n">
        <v>-1</v>
      </c>
      <c r="U920" t="n">
        <v>0.0127</v>
      </c>
      <c r="V920" t="inlineStr">
        <is>
          <t>7/10</t>
        </is>
      </c>
      <c r="W920" t="inlineStr">
        <is>
          <t>.</t>
        </is>
      </c>
      <c r="X920" t="inlineStr">
        <is>
          <t>.</t>
        </is>
      </c>
      <c r="Y920" t="inlineStr">
        <is>
          <t>.</t>
        </is>
      </c>
      <c r="Z920" t="inlineStr">
        <is>
          <t>5/7</t>
        </is>
      </c>
      <c r="AA920" t="inlineStr">
        <is>
          <t>Likely benign</t>
        </is>
      </c>
      <c r="AB920" t="inlineStr">
        <is>
          <t>Benign</t>
        </is>
      </c>
      <c r="AC920" t="inlineStr">
        <is>
          <t>0/1</t>
        </is>
      </c>
      <c r="AD920" t="inlineStr">
        <is>
          <t>2</t>
        </is>
      </c>
      <c r="AE920" t="inlineStr">
        <is>
          <t>9.75012432919925e-09</t>
        </is>
      </c>
      <c r="AF920" t="inlineStr">
        <is>
          <t>laminin subunit alpha 4</t>
        </is>
      </c>
      <c r="AG920" t="inlineStr">
        <is>
          <t xml:space="preserve">FUNCTION: Binding to cells via a high affinity receptor, laminin is thought to mediate the attachment, migration and organization of cells into tissues during embryonic development by interacting with other extracellular matrix components.; </t>
        </is>
      </c>
      <c r="AH920" t="inlineStr">
        <is>
          <t xml:space="preserve">DISEASE: Cardiomyopathy, dilated 1JJ (CMD1JJ) [MIM:615235]: A disorder characterized by ventricular dilation and impaired systolic function, resulting in congestive heart failure and arrhythmia. Patients are at risk of premature death. {ECO:0000269|PubMed:17646580}. Note=The disease is caused by mutations affecting the gene represented in this entry.; </t>
        </is>
      </c>
      <c r="AI920" t="inlineStr">
        <is>
          <t>.</t>
        </is>
      </c>
      <c r="AJ920" t="inlineStr">
        <is>
          <t>.</t>
        </is>
      </c>
      <c r="AK920" t="inlineStr">
        <is>
          <t>.</t>
        </is>
      </c>
      <c r="AL920" t="inlineStr">
        <is>
          <t>.</t>
        </is>
      </c>
    </row>
    <row r="921">
      <c r="A921" t="inlineStr"/>
      <c r="B921">
        <f>HYPERLINK("https://genome.ucsc.edu/cgi-bin/hgTracks?db=hg19&amp;position=chr6%3A112575497%2D112575497", "chr6:112575497")</f>
        <v/>
      </c>
      <c r="C921" t="inlineStr">
        <is>
          <t>chr6</t>
        </is>
      </c>
      <c r="D921" t="n">
        <v>112575497</v>
      </c>
      <c r="E921" t="n">
        <v>112575497</v>
      </c>
      <c r="F921" t="inlineStr">
        <is>
          <t>A</t>
        </is>
      </c>
      <c r="G921" t="inlineStr">
        <is>
          <t>G</t>
        </is>
      </c>
      <c r="H921" t="inlineStr">
        <is>
          <t>283.64</t>
        </is>
      </c>
      <c r="I921" t="inlineStr">
        <is>
          <t>12</t>
        </is>
      </c>
      <c r="J921" t="inlineStr">
        <is>
          <t>4,8</t>
        </is>
      </c>
      <c r="K921" t="inlineStr">
        <is>
          <t>.</t>
        </is>
      </c>
      <c r="L921" t="inlineStr">
        <is>
          <t>.</t>
        </is>
      </c>
      <c r="M921">
        <f>HYPERLINK("https://www.genecards.org/Search/Keyword?queryString=%5Baliases%5D(%20LAMA4%20)%20OR%20%5Baliases%5D(%20LAMA4-AS1%20)&amp;keywords=LAMA4,LAMA4-AS1", "LAMA4;LAMA4-AS1")</f>
        <v/>
      </c>
      <c r="N921" t="inlineStr">
        <is>
          <t>intronic;ncRNA_intronic</t>
        </is>
      </c>
      <c r="O921" t="inlineStr">
        <is>
          <t>.</t>
        </is>
      </c>
      <c r="P921" t="inlineStr">
        <is>
          <t>.</t>
        </is>
      </c>
      <c r="Q921" t="n">
        <v>0.0001</v>
      </c>
      <c r="R921" t="n">
        <v>0.0001</v>
      </c>
      <c r="S921" t="n">
        <v>7.35e-05</v>
      </c>
      <c r="T921" t="n">
        <v>-1</v>
      </c>
      <c r="U921" t="n">
        <v>-1</v>
      </c>
      <c r="V921" t="inlineStr">
        <is>
          <t>.</t>
        </is>
      </c>
      <c r="W921" t="inlineStr">
        <is>
          <t>T</t>
        </is>
      </c>
      <c r="X921" t="inlineStr">
        <is>
          <t>.</t>
        </is>
      </c>
      <c r="Y921" t="inlineStr">
        <is>
          <t>.</t>
        </is>
      </c>
      <c r="Z921" t="inlineStr">
        <is>
          <t>.</t>
        </is>
      </c>
      <c r="AA921" t="inlineStr">
        <is>
          <t>.</t>
        </is>
      </c>
      <c r="AB921" t="inlineStr">
        <is>
          <t>.</t>
        </is>
      </c>
      <c r="AC921" t="inlineStr">
        <is>
          <t>0/1</t>
        </is>
      </c>
      <c r="AD921" t="inlineStr">
        <is>
          <t>2;1</t>
        </is>
      </c>
      <c r="AE921" t="inlineStr">
        <is>
          <t>9.75012432919925e-09</t>
        </is>
      </c>
      <c r="AF921" t="inlineStr">
        <is>
          <t>laminin subunit alpha 4</t>
        </is>
      </c>
      <c r="AG921" t="inlineStr">
        <is>
          <t xml:space="preserve">FUNCTION: Binding to cells via a high affinity receptor, laminin is thought to mediate the attachment, migration and organization of cells into tissues during embryonic development by interacting with other extracellular matrix components.; </t>
        </is>
      </c>
      <c r="AH921" t="inlineStr">
        <is>
          <t xml:space="preserve">DISEASE: Cardiomyopathy, dilated 1JJ (CMD1JJ) [MIM:615235]: A disorder characterized by ventricular dilation and impaired systolic function, resulting in congestive heart failure and arrhythmia. Patients are at risk of premature death. {ECO:0000269|PubMed:17646580}. Note=The disease is caused by mutations affecting the gene represented in this entry.; </t>
        </is>
      </c>
      <c r="AI921" t="inlineStr">
        <is>
          <t>.</t>
        </is>
      </c>
      <c r="AJ921" t="inlineStr">
        <is>
          <t>.</t>
        </is>
      </c>
      <c r="AK921" t="inlineStr">
        <is>
          <t>.</t>
        </is>
      </c>
      <c r="AL921" t="inlineStr">
        <is>
          <t>.</t>
        </is>
      </c>
    </row>
    <row r="922">
      <c r="A922" t="inlineStr"/>
      <c r="B922">
        <f>HYPERLINK("https://genome.ucsc.edu/cgi-bin/hgTracks?db=hg19&amp;position=chr6%3A117715410%2D117715410", "chr6:117715410")</f>
        <v/>
      </c>
      <c r="C922" t="inlineStr">
        <is>
          <t>chr6</t>
        </is>
      </c>
      <c r="D922" t="n">
        <v>117715410</v>
      </c>
      <c r="E922" t="n">
        <v>117715410</v>
      </c>
      <c r="F922" t="inlineStr">
        <is>
          <t>C</t>
        </is>
      </c>
      <c r="G922" t="inlineStr">
        <is>
          <t>A</t>
        </is>
      </c>
      <c r="H922" t="inlineStr">
        <is>
          <t>1067.64</t>
        </is>
      </c>
      <c r="I922" t="inlineStr">
        <is>
          <t>169</t>
        </is>
      </c>
      <c r="J922" t="inlineStr">
        <is>
          <t>113,56</t>
        </is>
      </c>
      <c r="K922" t="inlineStr">
        <is>
          <t>.</t>
        </is>
      </c>
      <c r="L922">
        <f>HYPERLINK("https://www.ncbi.nlm.nih.gov/snp/rs769599473", "rs769599473")</f>
        <v/>
      </c>
      <c r="M922">
        <f>HYPERLINK("https://www.genecards.org/Search/Keyword?queryString=%5Baliases%5D(%20ROS1%20)&amp;keywords=ROS1", "ROS1")</f>
        <v/>
      </c>
      <c r="N922" t="inlineStr">
        <is>
          <t>exonic</t>
        </is>
      </c>
      <c r="O922" t="inlineStr">
        <is>
          <t>nonsynonymous SNV</t>
        </is>
      </c>
      <c r="P922" t="inlineStr">
        <is>
          <t>ROS1:NM_002944:exon10:c.G1079T:p.R360I,ROS1:NM_001378891:exon11:c.G1106T:p.R369I,ROS1:NM_001378902:exon11:c.G1106T:p.R369I;ROS1:uc003pxp.1:exon10:c.G1079T:p.R360I;ROS1:ENST00000368508.7_5:exon10:c.G1079T:p.R360I,ROS1:ENST00000368507.8_6:exon11:c.G1106T:p.R369I</t>
        </is>
      </c>
      <c r="Q922" t="n">
        <v>6.5e-06</v>
      </c>
      <c r="R922" t="n">
        <v>-1</v>
      </c>
      <c r="S922" t="n">
        <v>-1</v>
      </c>
      <c r="T922" t="n">
        <v>-1</v>
      </c>
      <c r="U922" t="n">
        <v>-1</v>
      </c>
      <c r="V922" t="inlineStr">
        <is>
          <t>3/12</t>
        </is>
      </c>
      <c r="W922" t="inlineStr">
        <is>
          <t>.</t>
        </is>
      </c>
      <c r="X922" t="inlineStr">
        <is>
          <t>.</t>
        </is>
      </c>
      <c r="Y922" t="inlineStr">
        <is>
          <t>.</t>
        </is>
      </c>
      <c r="Z922" t="inlineStr">
        <is>
          <t>0/7</t>
        </is>
      </c>
      <c r="AA922" t="inlineStr">
        <is>
          <t>Uncertain significance</t>
        </is>
      </c>
      <c r="AB922" t="inlineStr">
        <is>
          <t>.</t>
        </is>
      </c>
      <c r="AC922" t="inlineStr">
        <is>
          <t>0/1</t>
        </is>
      </c>
      <c r="AD922" t="inlineStr">
        <is>
          <t>1</t>
        </is>
      </c>
      <c r="AE922" t="inlineStr">
        <is>
          <t>1.78016845315113e-44</t>
        </is>
      </c>
      <c r="AF922" t="inlineStr">
        <is>
          <t>ROS proto-oncogene 1 , receptor tyrosine kinase</t>
        </is>
      </c>
      <c r="AG922" t="inlineStr">
        <is>
          <t xml:space="preserve">FUNCTION: Orphan receptor tyrosine kinase (RTK) that plays a role in epithelial cell differentiation and regionalization of the proximal epididymal epithelium. May activate several downstream signaling pathways related to cell differentiation, proliferation, growth and survival including the PI3 kinase-mTOR signaling pathway. Mediates the phosphorylation of PTPN11, an activator of this pathway. May also phosphorylate and activate the transcription factor STAT3 to control anchorage-independent cell growth. Mediates the phosphorylation and the activation of VAV3, a guanine nucleotide exchange factor regulating cell morphology. May activate other downstream signaling proteins including AKT1, MAPK1, MAPK3, IRS1 and PLCG2. {ECO:0000269|PubMed:11094073, ECO:0000269|PubMed:16885344}.; </t>
        </is>
      </c>
      <c r="AH922" t="inlineStr">
        <is>
          <t xml:space="preserve">DISEASE: Note=A chromosomal aberration involving ROS1 is found in a glioblastoma multiforme sample. An intra-chromosomal deletion del(6)(q21q21) is responsible for the formation of GOPC-ROS1 chimeric protein which is localized to the Golgi and has a constitutive receptor tyrosine kinase activity. A SLC34A2-ROS1 chimeric protein produced in non-small cell lung cancer cells also retains a constitutive kinase activity. A third type of chimeric protein CD74-ROS1 was also identified in those cells. {ECO:0000269|PubMed:12661006}.; </t>
        </is>
      </c>
      <c r="AI922" t="inlineStr">
        <is>
          <t>.</t>
        </is>
      </c>
      <c r="AJ922" t="inlineStr">
        <is>
          <t>.</t>
        </is>
      </c>
      <c r="AK922" t="inlineStr">
        <is>
          <t>.</t>
        </is>
      </c>
      <c r="AL922" t="inlineStr">
        <is>
          <t>.</t>
        </is>
      </c>
    </row>
    <row r="923">
      <c r="A923" t="inlineStr"/>
      <c r="B923">
        <f>HYPERLINK("https://genome.ucsc.edu/cgi-bin/hgTracks?db=hg19&amp;position=chr6%3A123850358%2D123850378", "chr6:123850358")</f>
        <v/>
      </c>
      <c r="C923" t="inlineStr">
        <is>
          <t>chr6</t>
        </is>
      </c>
      <c r="D923" t="n">
        <v>123850358</v>
      </c>
      <c r="E923" t="n">
        <v>123850378</v>
      </c>
      <c r="F923" t="inlineStr">
        <is>
          <t>AACCTTCAGCAGATAGAAACA</t>
        </is>
      </c>
      <c r="G923" t="inlineStr">
        <is>
          <t>-</t>
        </is>
      </c>
      <c r="H923" t="inlineStr">
        <is>
          <t>70.60</t>
        </is>
      </c>
      <c r="I923" t="inlineStr">
        <is>
          <t>34</t>
        </is>
      </c>
      <c r="J923" t="inlineStr">
        <is>
          <t>30,4</t>
        </is>
      </c>
      <c r="K923" t="inlineStr">
        <is>
          <t>.</t>
        </is>
      </c>
      <c r="L923" t="inlineStr">
        <is>
          <t>.</t>
        </is>
      </c>
      <c r="M923">
        <f>HYPERLINK("https://www.genecards.org/Search/Keyword?queryString=%5Baliases%5D(%20TRDN%20)&amp;keywords=TRDN", "TRDN")</f>
        <v/>
      </c>
      <c r="N923" t="inlineStr">
        <is>
          <t>UTR3;ncRNA_intronic</t>
        </is>
      </c>
      <c r="O923" t="inlineStr">
        <is>
          <t>.</t>
        </is>
      </c>
      <c r="P923" t="inlineStr">
        <is>
          <t>NM_001256022:c.*61_*41delTGTTTCTATCTGCTGAAGGTT;uc010keo.2:c.*61_*41delTGTTTCTATCTGCTGAAGGTT</t>
        </is>
      </c>
      <c r="Q923" t="n">
        <v>-1</v>
      </c>
      <c r="R923" t="n">
        <v>-1</v>
      </c>
      <c r="S923" t="n">
        <v>-1</v>
      </c>
      <c r="T923" t="n">
        <v>-1</v>
      </c>
      <c r="U923" t="n">
        <v>-1</v>
      </c>
      <c r="V923" t="inlineStr">
        <is>
          <t>.</t>
        </is>
      </c>
      <c r="W923" t="inlineStr">
        <is>
          <t>.</t>
        </is>
      </c>
      <c r="X923" t="inlineStr">
        <is>
          <t>.</t>
        </is>
      </c>
      <c r="Y923" t="inlineStr">
        <is>
          <t>.</t>
        </is>
      </c>
      <c r="Z923" t="inlineStr">
        <is>
          <t>.</t>
        </is>
      </c>
      <c r="AA923" t="inlineStr">
        <is>
          <t>.</t>
        </is>
      </c>
      <c r="AB923" t="inlineStr">
        <is>
          <t>.</t>
        </is>
      </c>
      <c r="AC923" t="inlineStr">
        <is>
          <t>0/1</t>
        </is>
      </c>
      <c r="AD923" t="inlineStr">
        <is>
          <t>1</t>
        </is>
      </c>
      <c r="AE923" t="inlineStr">
        <is>
          <t>1.81677623808329e-10</t>
        </is>
      </c>
      <c r="AF923" t="inlineStr">
        <is>
          <t>triadin</t>
        </is>
      </c>
      <c r="AG923" t="inlineStr">
        <is>
          <t xml:space="preserve">FUNCTION: Contributes to the regulation of lumenal Ca2+ release via the sarcoplasmic reticulum calcium release channels RYR1 and RYR2, a key step in triggering skeletal and heart muscle contraction. Required for normal organization of the triad junction, where T-tubules and the sarcoplasmic reticulum terminal cisternae are in close contact (By similarity). Required for normal skeletal muscle strength. Plays a role in excitation- contraction coupling in the heart and in regulating the rate of heart beats. {ECO:0000250|UniProtKB:E9Q9K5, ECO:0000269|PubMed:22422768}.; </t>
        </is>
      </c>
      <c r="AH923" t="inlineStr">
        <is>
          <t xml:space="preserve">DISEASE: Ventricular tachycardia, catecholaminergic polymorphic, 5, with or without muscle weakness (CPVT5) [MIM:615441]: An arrhythmogenic disorder characterized by stress-induced, bidirectional ventricular tachycardia that may degenerate into cardiac arrest and cause sudden death. Patients present with recurrent syncope, or sudden death after physical activity or emotional stress. Some patients have muscle weakness. {ECO:0000269|PubMed:22422768}. Note=The disease is caused by mutations affecting the gene represented in this entry.; </t>
        </is>
      </c>
      <c r="AI923" t="inlineStr">
        <is>
          <t>.</t>
        </is>
      </c>
      <c r="AJ923" t="inlineStr">
        <is>
          <t>.</t>
        </is>
      </c>
      <c r="AK923" t="inlineStr">
        <is>
          <t>.</t>
        </is>
      </c>
      <c r="AL923" t="inlineStr">
        <is>
          <t>.</t>
        </is>
      </c>
    </row>
    <row r="924">
      <c r="A924" t="inlineStr"/>
      <c r="B924">
        <f>HYPERLINK("https://genome.ucsc.edu/cgi-bin/hgTracks?db=hg19&amp;position=chr6%3A129926865%2D129926865", "chr6:129926865")</f>
        <v/>
      </c>
      <c r="C924" t="inlineStr">
        <is>
          <t>chr6</t>
        </is>
      </c>
      <c r="D924" t="n">
        <v>129926865</v>
      </c>
      <c r="E924" t="n">
        <v>129926865</v>
      </c>
      <c r="F924" t="inlineStr">
        <is>
          <t>G</t>
        </is>
      </c>
      <c r="G924" t="inlineStr">
        <is>
          <t>C</t>
        </is>
      </c>
      <c r="H924" t="inlineStr">
        <is>
          <t>58.64</t>
        </is>
      </c>
      <c r="I924" t="inlineStr">
        <is>
          <t>6</t>
        </is>
      </c>
      <c r="J924" t="inlineStr">
        <is>
          <t>4,2</t>
        </is>
      </c>
      <c r="K924" t="inlineStr">
        <is>
          <t>.</t>
        </is>
      </c>
      <c r="L924" t="inlineStr">
        <is>
          <t>.</t>
        </is>
      </c>
      <c r="M924">
        <f>HYPERLINK("https://www.genecards.org/Search/Keyword?queryString=%5Baliases%5D(%20ARHGAP18%20)&amp;keywords=ARHGAP18", "ARHGAP18")</f>
        <v/>
      </c>
      <c r="N924" t="inlineStr">
        <is>
          <t>intronic</t>
        </is>
      </c>
      <c r="O924" t="inlineStr">
        <is>
          <t>.</t>
        </is>
      </c>
      <c r="P924" t="inlineStr">
        <is>
          <t>.</t>
        </is>
      </c>
      <c r="Q924" t="n">
        <v>-1</v>
      </c>
      <c r="R924" t="n">
        <v>-1</v>
      </c>
      <c r="S924" t="n">
        <v>-1</v>
      </c>
      <c r="T924" t="n">
        <v>-1</v>
      </c>
      <c r="U924" t="n">
        <v>-1</v>
      </c>
      <c r="V924" t="inlineStr">
        <is>
          <t>.</t>
        </is>
      </c>
      <c r="W924" t="inlineStr">
        <is>
          <t>.</t>
        </is>
      </c>
      <c r="X924" t="inlineStr">
        <is>
          <t>PD</t>
        </is>
      </c>
      <c r="Y924" t="inlineStr">
        <is>
          <t>off</t>
        </is>
      </c>
      <c r="Z924" t="inlineStr">
        <is>
          <t>.</t>
        </is>
      </c>
      <c r="AA924" t="inlineStr">
        <is>
          <t>.</t>
        </is>
      </c>
      <c r="AB924" t="inlineStr">
        <is>
          <t>.</t>
        </is>
      </c>
      <c r="AC924" t="inlineStr">
        <is>
          <t>0/1</t>
        </is>
      </c>
      <c r="AD924" t="inlineStr">
        <is>
          <t>1</t>
        </is>
      </c>
      <c r="AE924" t="inlineStr">
        <is>
          <t>2.45958437535249e-06</t>
        </is>
      </c>
      <c r="AF924" t="inlineStr">
        <is>
          <t>Rho GTPase activating protein 18</t>
        </is>
      </c>
      <c r="AG924" t="inlineStr">
        <is>
          <t xml:space="preserve">FUNCTION: Rho GTPase activating protein that suppresses F-actin polymerization by inhibiting Rho. Rho GTPase activating proteins act by converting Rho-type GTPases to an inactive GDP-bound state (PubMed:21865595). Plays a key role in tissue tension and 3D tissue shape by regulating cortical actomyosin network formation. Acts downstream of YAP1 and inhibits actin polymerization, which in turn reduces nuclear localization of YAP1 (PubMed:25778702). Regulates cell shape, spreading, and migration (PubMed:21865595). {ECO:0000269|PubMed:21865595, ECO:0000269|PubMed:25778702}.; </t>
        </is>
      </c>
      <c r="AH924" t="inlineStr">
        <is>
          <t>.</t>
        </is>
      </c>
      <c r="AI924" t="inlineStr">
        <is>
          <t>.</t>
        </is>
      </c>
      <c r="AJ924" t="inlineStr">
        <is>
          <t>.</t>
        </is>
      </c>
      <c r="AK924" t="inlineStr">
        <is>
          <t>.</t>
        </is>
      </c>
      <c r="AL924" t="inlineStr">
        <is>
          <t>.</t>
        </is>
      </c>
    </row>
    <row r="925">
      <c r="A925" t="inlineStr"/>
      <c r="B925">
        <f>HYPERLINK("https://genome.ucsc.edu/cgi-bin/hgTracks?db=hg19&amp;position=chr6%3A131335099%2D131335099", "chr6:131335099")</f>
        <v/>
      </c>
      <c r="C925" t="inlineStr">
        <is>
          <t>chr6</t>
        </is>
      </c>
      <c r="D925" t="n">
        <v>131335099</v>
      </c>
      <c r="E925" t="n">
        <v>131335099</v>
      </c>
      <c r="F925" t="inlineStr">
        <is>
          <t>G</t>
        </is>
      </c>
      <c r="G925" t="inlineStr">
        <is>
          <t>C</t>
        </is>
      </c>
      <c r="H925" t="inlineStr">
        <is>
          <t>70.14</t>
        </is>
      </c>
      <c r="I925" t="inlineStr">
        <is>
          <t>4</t>
        </is>
      </c>
      <c r="J925" t="inlineStr">
        <is>
          <t>0,4</t>
        </is>
      </c>
      <c r="K925" t="inlineStr">
        <is>
          <t>.</t>
        </is>
      </c>
      <c r="L925" t="inlineStr">
        <is>
          <t>.</t>
        </is>
      </c>
      <c r="M925">
        <f>HYPERLINK("https://www.genecards.org/Search/Keyword?queryString=%5Baliases%5D(%20EPB41L2%20)&amp;keywords=EPB41L2", "EPB41L2")</f>
        <v/>
      </c>
      <c r="N925" t="inlineStr">
        <is>
          <t>intronic</t>
        </is>
      </c>
      <c r="O925" t="inlineStr">
        <is>
          <t>.</t>
        </is>
      </c>
      <c r="P925" t="inlineStr">
        <is>
          <t>.</t>
        </is>
      </c>
      <c r="Q925" t="n">
        <v>-1</v>
      </c>
      <c r="R925" t="n">
        <v>-1</v>
      </c>
      <c r="S925" t="n">
        <v>-1</v>
      </c>
      <c r="T925" t="n">
        <v>-1</v>
      </c>
      <c r="U925" t="n">
        <v>-1</v>
      </c>
      <c r="V925" t="inlineStr">
        <is>
          <t>.</t>
        </is>
      </c>
      <c r="W925" t="inlineStr">
        <is>
          <t>.</t>
        </is>
      </c>
      <c r="X925" t="inlineStr">
        <is>
          <t>PD</t>
        </is>
      </c>
      <c r="Y925" t="inlineStr">
        <is>
          <t>off</t>
        </is>
      </c>
      <c r="Z925" t="inlineStr">
        <is>
          <t>.</t>
        </is>
      </c>
      <c r="AA925" t="inlineStr">
        <is>
          <t>.</t>
        </is>
      </c>
      <c r="AB925" t="inlineStr">
        <is>
          <t>.</t>
        </is>
      </c>
      <c r="AC925" t="inlineStr">
        <is>
          <t>HOMO</t>
        </is>
      </c>
      <c r="AD925" t="inlineStr">
        <is>
          <t>1</t>
        </is>
      </c>
      <c r="AE925" t="inlineStr">
        <is>
          <t>0.993883457586741</t>
        </is>
      </c>
      <c r="AF925" t="inlineStr">
        <is>
          <t>erythrocyte membrane protein band 4.1-like 2</t>
        </is>
      </c>
      <c r="AG925" t="inlineStr">
        <is>
          <t>.</t>
        </is>
      </c>
      <c r="AH925" t="inlineStr">
        <is>
          <t>.</t>
        </is>
      </c>
      <c r="AI925" t="inlineStr">
        <is>
          <t>.</t>
        </is>
      </c>
      <c r="AJ925" t="inlineStr">
        <is>
          <t>.</t>
        </is>
      </c>
      <c r="AK925" t="inlineStr">
        <is>
          <t>.</t>
        </is>
      </c>
      <c r="AL925" t="inlineStr">
        <is>
          <t>.</t>
        </is>
      </c>
    </row>
    <row r="926">
      <c r="A926" t="inlineStr"/>
      <c r="B926">
        <f>HYPERLINK("https://genome.ucsc.edu/cgi-bin/hgTracks?db=hg19&amp;position=chr6%3A131602819%2D131602819", "chr6:131602819")</f>
        <v/>
      </c>
      <c r="C926" t="inlineStr">
        <is>
          <t>chr6</t>
        </is>
      </c>
      <c r="D926" t="n">
        <v>131602819</v>
      </c>
      <c r="E926" t="n">
        <v>131602819</v>
      </c>
      <c r="F926" t="inlineStr">
        <is>
          <t>G</t>
        </is>
      </c>
      <c r="G926" t="inlineStr">
        <is>
          <t>A</t>
        </is>
      </c>
      <c r="H926" t="inlineStr">
        <is>
          <t>1509.64</t>
        </is>
      </c>
      <c r="I926" t="inlineStr">
        <is>
          <t>108</t>
        </is>
      </c>
      <c r="J926" t="inlineStr">
        <is>
          <t>48,60</t>
        </is>
      </c>
      <c r="K926" t="inlineStr">
        <is>
          <t>.</t>
        </is>
      </c>
      <c r="L926">
        <f>HYPERLINK("https://www.ncbi.nlm.nih.gov/snp/rs34796711", "rs34796711")</f>
        <v/>
      </c>
      <c r="M926">
        <f>HYPERLINK("https://www.genecards.org/Search/Keyword?queryString=%5Baliases%5D(%20AKAP7%20)&amp;keywords=AKAP7", "AKAP7")</f>
        <v/>
      </c>
      <c r="N926" t="inlineStr">
        <is>
          <t>exonic</t>
        </is>
      </c>
      <c r="O926" t="inlineStr">
        <is>
          <t>nonsynonymous SNV</t>
        </is>
      </c>
      <c r="P926" t="inlineStr">
        <is>
          <t>AKAP7:NM_004842:exon2:c.G199A:p.E67K,AKAP7:NM_138633:exon3:c.G268A:p.E90K,AKAP7:NM_016377:exon8:c.G1000A:p.E334K;AKAP7:uc003qcn.2:exon2:c.G199A:p.E67K,AKAP7:uc003qcm.2:exon3:c.G268A:p.E90K,AKAP7:uc003qck.4:exon8:c.G1000A:p.E334K;AKAP7:ENST00000342266.4_1:exon2:c.G199A:p.E67K,AKAP7:ENST00000263050.3_1:exon3:c.G208A:p.E70K,AKAP7:ENST00000474850.2_1:exon3:c.G268A:p.E90K,AKAP7:ENST00000431975.7_3:exon8:c.G1000A:p.E334K</t>
        </is>
      </c>
      <c r="Q926" t="n">
        <v>0.011364</v>
      </c>
      <c r="R926" t="n">
        <v>0.0045</v>
      </c>
      <c r="S926" t="n">
        <v>0.0048</v>
      </c>
      <c r="T926" t="n">
        <v>-1</v>
      </c>
      <c r="U926" t="n">
        <v>0.0041</v>
      </c>
      <c r="V926" t="inlineStr">
        <is>
          <t>3/11</t>
        </is>
      </c>
      <c r="W926" t="inlineStr">
        <is>
          <t>.</t>
        </is>
      </c>
      <c r="X926" t="inlineStr">
        <is>
          <t>.</t>
        </is>
      </c>
      <c r="Y926" t="inlineStr">
        <is>
          <t>.</t>
        </is>
      </c>
      <c r="Z926" t="inlineStr">
        <is>
          <t>2/7</t>
        </is>
      </c>
      <c r="AA926" t="inlineStr">
        <is>
          <t>Uncertain significance</t>
        </is>
      </c>
      <c r="AB926" t="inlineStr">
        <is>
          <t>.</t>
        </is>
      </c>
      <c r="AC926" t="inlineStr">
        <is>
          <t>0/1</t>
        </is>
      </c>
      <c r="AD926" t="inlineStr">
        <is>
          <t>1</t>
        </is>
      </c>
      <c r="AE926" t="inlineStr">
        <is>
          <t>0.00159877310631196</t>
        </is>
      </c>
      <c r="AF926" t="inlineStr">
        <is>
          <t>A-kinase anchoring protein 7</t>
        </is>
      </c>
      <c r="AG926" t="inlineStr">
        <is>
          <t xml:space="preserve">FUNCTION: Targets the cAMP-dependent protein kinase (PKA) to the plasma membrane, and permits functional coupling to the L-type calcium channel. The membrane-associated form reduces epithelial sodium channel (ENaC) activity, whereas the free cytoplasmic form may negatively regulate ENaC channel feedback inhibition by intracellular sodium. {ECO:0000269|PubMed:10613906, ECO:0000269|PubMed:17244820, ECO:0000269|PubMed:9545239}.; </t>
        </is>
      </c>
      <c r="AH926" t="inlineStr">
        <is>
          <t>.</t>
        </is>
      </c>
      <c r="AI926" t="inlineStr">
        <is>
          <t>.</t>
        </is>
      </c>
      <c r="AJ926" t="inlineStr">
        <is>
          <t>.</t>
        </is>
      </c>
      <c r="AK926" t="inlineStr">
        <is>
          <t>.</t>
        </is>
      </c>
      <c r="AL926" t="inlineStr">
        <is>
          <t>.</t>
        </is>
      </c>
    </row>
    <row r="927">
      <c r="A927" t="inlineStr"/>
      <c r="B927">
        <f>HYPERLINK("https://genome.ucsc.edu/cgi-bin/hgTracks?db=hg19&amp;position=chr6%3A143508752%2D143508778", "chr6:143508752")</f>
        <v/>
      </c>
      <c r="C927" t="inlineStr">
        <is>
          <t>chr6</t>
        </is>
      </c>
      <c r="D927" t="n">
        <v>143508752</v>
      </c>
      <c r="E927" t="n">
        <v>143508778</v>
      </c>
      <c r="F927" t="inlineStr">
        <is>
          <t>CTTTCTTTCTGCAGCATTTCAAAGCTT</t>
        </is>
      </c>
      <c r="G927" t="inlineStr">
        <is>
          <t>-</t>
        </is>
      </c>
      <c r="H927" t="inlineStr">
        <is>
          <t>251.60</t>
        </is>
      </c>
      <c r="I927" t="inlineStr">
        <is>
          <t>120</t>
        </is>
      </c>
      <c r="J927" t="inlineStr">
        <is>
          <t>106,14</t>
        </is>
      </c>
      <c r="K927" t="inlineStr">
        <is>
          <t>.</t>
        </is>
      </c>
      <c r="L927" t="inlineStr">
        <is>
          <t>.</t>
        </is>
      </c>
      <c r="M927">
        <f>HYPERLINK("https://www.genecards.org/Search/Keyword?queryString=%5Baliases%5D(%20AIG1%20)&amp;keywords=AIG1", "AIG1")</f>
        <v/>
      </c>
      <c r="N927" t="inlineStr">
        <is>
          <t>exonic</t>
        </is>
      </c>
      <c r="O927" t="inlineStr">
        <is>
          <t>frameshift deletion</t>
        </is>
      </c>
      <c r="P927" t="inlineStr">
        <is>
          <t>AIG1:NM_001286589:exon4:c.400_412del:p.H134Kfs*29,AIG1:NM_001366356:exon5:c.541_553del:p.H181Kfs*29,AIG1:NM_001366359:exon5:c.388_400del:p.H130Kfs*29;AIG1:uc003qjg.3:exon4:c.400_412del:p.H134Kfs*29;AIG1:ENST00000494282.6_1:exon4:c.400_412del:p.H134Kfs*29</t>
        </is>
      </c>
      <c r="Q927" t="n">
        <v>-1</v>
      </c>
      <c r="R927" t="n">
        <v>-1</v>
      </c>
      <c r="S927" t="n">
        <v>-1</v>
      </c>
      <c r="T927" t="n">
        <v>-1</v>
      </c>
      <c r="U927" t="n">
        <v>-1</v>
      </c>
      <c r="V927" t="inlineStr">
        <is>
          <t>.</t>
        </is>
      </c>
      <c r="W927" t="inlineStr">
        <is>
          <t>.</t>
        </is>
      </c>
      <c r="X927" t="inlineStr">
        <is>
          <t>.</t>
        </is>
      </c>
      <c r="Y927" t="inlineStr">
        <is>
          <t>.</t>
        </is>
      </c>
      <c r="Z927" t="inlineStr">
        <is>
          <t>.</t>
        </is>
      </c>
      <c r="AA927" t="inlineStr">
        <is>
          <t>.</t>
        </is>
      </c>
      <c r="AB927" t="inlineStr">
        <is>
          <t>.</t>
        </is>
      </c>
      <c r="AC927" t="inlineStr">
        <is>
          <t>0/1</t>
        </is>
      </c>
      <c r="AD927" t="inlineStr">
        <is>
          <t>1</t>
        </is>
      </c>
      <c r="AE927" t="inlineStr">
        <is>
          <t>1.90321735888132e-05</t>
        </is>
      </c>
      <c r="AF927" t="inlineStr">
        <is>
          <t>androgen-induced 1</t>
        </is>
      </c>
      <c r="AG927" t="inlineStr">
        <is>
          <t xml:space="preserve">FUNCTION: May play a role in androgen-regulated growth of hair follicles.; </t>
        </is>
      </c>
      <c r="AH927" t="inlineStr">
        <is>
          <t>.</t>
        </is>
      </c>
      <c r="AI927" t="inlineStr">
        <is>
          <t>.</t>
        </is>
      </c>
      <c r="AJ927" t="inlineStr">
        <is>
          <t>.</t>
        </is>
      </c>
      <c r="AK927" t="inlineStr">
        <is>
          <t>.</t>
        </is>
      </c>
      <c r="AL927" t="inlineStr">
        <is>
          <t>.</t>
        </is>
      </c>
    </row>
    <row r="928">
      <c r="A928" t="inlineStr"/>
      <c r="B928">
        <f>HYPERLINK("https://genome.ucsc.edu/cgi-bin/hgTracks?db=hg19&amp;position=chr6%3A143755035%2D143755035", "chr6:143755035")</f>
        <v/>
      </c>
      <c r="C928" t="inlineStr">
        <is>
          <t>chr6</t>
        </is>
      </c>
      <c r="D928" t="n">
        <v>143755035</v>
      </c>
      <c r="E928" t="n">
        <v>143755035</v>
      </c>
      <c r="F928" t="inlineStr">
        <is>
          <t>A</t>
        </is>
      </c>
      <c r="G928" t="inlineStr">
        <is>
          <t>C</t>
        </is>
      </c>
      <c r="H928" t="inlineStr">
        <is>
          <t>1022.64</t>
        </is>
      </c>
      <c r="I928" t="inlineStr">
        <is>
          <t>194</t>
        </is>
      </c>
      <c r="J928" t="inlineStr">
        <is>
          <t>145,49</t>
        </is>
      </c>
      <c r="K928" t="inlineStr">
        <is>
          <t>.</t>
        </is>
      </c>
      <c r="L928" t="inlineStr">
        <is>
          <t>.</t>
        </is>
      </c>
      <c r="M928">
        <f>HYPERLINK("https://www.genecards.org/Search/Keyword?queryString=%5Baliases%5D(%20ADAT2%20)&amp;keywords=ADAT2", "ADAT2")</f>
        <v/>
      </c>
      <c r="N928" t="inlineStr">
        <is>
          <t>exonic</t>
        </is>
      </c>
      <c r="O928" t="inlineStr">
        <is>
          <t>nonsynonymous SNV</t>
        </is>
      </c>
      <c r="P928" t="inlineStr">
        <is>
          <t>ADAT2:NM_001286259:exon3:c.T144G:p.F48L,ADAT2:NM_182503:exon3:c.T285G:p.F95L;ADAT2:uc003qjj.3:exon3:c.T285G:p.F95L;ADAT2:ENST00000237283.9_5:exon3:c.T285G:p.F95L,ADAT2:ENST00000606514.5_3:exon3:c.T144G:p.F48L</t>
        </is>
      </c>
      <c r="Q928" t="n">
        <v>-1</v>
      </c>
      <c r="R928" t="n">
        <v>-1</v>
      </c>
      <c r="S928" t="n">
        <v>-1</v>
      </c>
      <c r="T928" t="n">
        <v>-1</v>
      </c>
      <c r="U928" t="n">
        <v>-1</v>
      </c>
      <c r="V928" t="inlineStr">
        <is>
          <t>3/11</t>
        </is>
      </c>
      <c r="W928" t="inlineStr">
        <is>
          <t>.</t>
        </is>
      </c>
      <c r="X928" t="inlineStr">
        <is>
          <t>.</t>
        </is>
      </c>
      <c r="Y928" t="inlineStr">
        <is>
          <t>.</t>
        </is>
      </c>
      <c r="Z928" t="inlineStr">
        <is>
          <t>1/7</t>
        </is>
      </c>
      <c r="AA928" t="inlineStr">
        <is>
          <t>Uncertain significance</t>
        </is>
      </c>
      <c r="AB928" t="inlineStr">
        <is>
          <t>.</t>
        </is>
      </c>
      <c r="AC928" t="inlineStr">
        <is>
          <t>0/1</t>
        </is>
      </c>
      <c r="AD928" t="inlineStr">
        <is>
          <t>1</t>
        </is>
      </c>
      <c r="AE928" t="inlineStr">
        <is>
          <t>2.09083702776258e-08</t>
        </is>
      </c>
      <c r="AF928" t="inlineStr">
        <is>
          <t>adenosine deaminase, tRNA specific 2</t>
        </is>
      </c>
      <c r="AG928" t="inlineStr">
        <is>
          <t xml:space="preserve">FUNCTION: Probably participates in deamination of adenosine-34 to inosine in many tRNAs. {ECO:0000250}.; </t>
        </is>
      </c>
      <c r="AH928" t="inlineStr">
        <is>
          <t>.</t>
        </is>
      </c>
      <c r="AI928" t="inlineStr">
        <is>
          <t>.</t>
        </is>
      </c>
      <c r="AJ928" t="inlineStr">
        <is>
          <t>.</t>
        </is>
      </c>
      <c r="AK928" t="inlineStr">
        <is>
          <t>.</t>
        </is>
      </c>
      <c r="AL928" t="inlineStr">
        <is>
          <t>.</t>
        </is>
      </c>
    </row>
    <row r="929">
      <c r="A929" t="inlineStr"/>
      <c r="B929">
        <f>HYPERLINK("https://genome.ucsc.edu/cgi-bin/hgTracks?db=hg19&amp;position=chr6%3A143822913%2D143822913", "chr6:143822913")</f>
        <v/>
      </c>
      <c r="C929" t="inlineStr">
        <is>
          <t>chr6</t>
        </is>
      </c>
      <c r="D929" t="n">
        <v>143822913</v>
      </c>
      <c r="E929" t="n">
        <v>143822913</v>
      </c>
      <c r="F929" t="inlineStr">
        <is>
          <t>C</t>
        </is>
      </c>
      <c r="G929" t="inlineStr">
        <is>
          <t>T</t>
        </is>
      </c>
      <c r="H929" t="inlineStr">
        <is>
          <t>130.64</t>
        </is>
      </c>
      <c r="I929" t="inlineStr">
        <is>
          <t>9</t>
        </is>
      </c>
      <c r="J929" t="inlineStr">
        <is>
          <t>5,4</t>
        </is>
      </c>
      <c r="K929" t="inlineStr">
        <is>
          <t>.</t>
        </is>
      </c>
      <c r="L929">
        <f>HYPERLINK("https://www.ncbi.nlm.nih.gov/snp/rs140859475", "rs140859475")</f>
        <v/>
      </c>
      <c r="M929">
        <f>HYPERLINK("https://www.genecards.org/Search/Keyword?queryString=%5Baliases%5D(%20FUCA2%20)&amp;keywords=FUCA2", "FUCA2")</f>
        <v/>
      </c>
      <c r="N929" t="inlineStr">
        <is>
          <t>intronic;ncRNA_intronic</t>
        </is>
      </c>
      <c r="O929" t="inlineStr">
        <is>
          <t>.</t>
        </is>
      </c>
      <c r="P929" t="inlineStr">
        <is>
          <t>.</t>
        </is>
      </c>
      <c r="Q929" t="n">
        <v>0.0141</v>
      </c>
      <c r="R929" t="n">
        <v>0.0092</v>
      </c>
      <c r="S929" t="n">
        <v>0.0092</v>
      </c>
      <c r="T929" t="n">
        <v>-1</v>
      </c>
      <c r="U929" t="n">
        <v>0.012</v>
      </c>
      <c r="V929" t="inlineStr">
        <is>
          <t>.</t>
        </is>
      </c>
      <c r="W929" t="inlineStr">
        <is>
          <t>.</t>
        </is>
      </c>
      <c r="X929" t="inlineStr">
        <is>
          <t>PD</t>
        </is>
      </c>
      <c r="Y929" t="inlineStr">
        <is>
          <t>off</t>
        </is>
      </c>
      <c r="Z929" t="inlineStr">
        <is>
          <t>.</t>
        </is>
      </c>
      <c r="AA929" t="inlineStr">
        <is>
          <t>.</t>
        </is>
      </c>
      <c r="AB929" t="inlineStr">
        <is>
          <t>.</t>
        </is>
      </c>
      <c r="AC929" t="inlineStr">
        <is>
          <t>0/1</t>
        </is>
      </c>
      <c r="AD929" t="inlineStr">
        <is>
          <t>1</t>
        </is>
      </c>
      <c r="AE929" t="inlineStr">
        <is>
          <t>0.000365583505701958</t>
        </is>
      </c>
      <c r="AF929" t="inlineStr">
        <is>
          <t>fucosidase, alpha-L- 2, plasma</t>
        </is>
      </c>
      <c r="AG929" t="inlineStr">
        <is>
          <t xml:space="preserve">FUNCTION: Alpha-L-fucosidase is responsible for hydrolyzing the alpha-1,6-linked fucose joined to the reducing-end N- acetylglucosamine of the carbohydrate moieties of glycoproteins.; </t>
        </is>
      </c>
      <c r="AH929" t="inlineStr">
        <is>
          <t>.</t>
        </is>
      </c>
      <c r="AI929" t="inlineStr">
        <is>
          <t>.</t>
        </is>
      </c>
      <c r="AJ929" t="inlineStr">
        <is>
          <t>.</t>
        </is>
      </c>
      <c r="AK929" t="inlineStr">
        <is>
          <t>.</t>
        </is>
      </c>
      <c r="AL929" t="inlineStr">
        <is>
          <t>.</t>
        </is>
      </c>
    </row>
    <row r="930">
      <c r="A930" t="inlineStr"/>
      <c r="B930">
        <f>HYPERLINK("https://genome.ucsc.edu/cgi-bin/hgTracks?db=hg19&amp;position=chr6%3A147635508%2D147635508", "chr6:147635508")</f>
        <v/>
      </c>
      <c r="C930" t="inlineStr">
        <is>
          <t>chr6</t>
        </is>
      </c>
      <c r="D930" t="n">
        <v>147635508</v>
      </c>
      <c r="E930" t="n">
        <v>147635508</v>
      </c>
      <c r="F930" t="inlineStr">
        <is>
          <t>C</t>
        </is>
      </c>
      <c r="G930" t="inlineStr">
        <is>
          <t>G</t>
        </is>
      </c>
      <c r="H930" t="inlineStr">
        <is>
          <t>68.64</t>
        </is>
      </c>
      <c r="I930" t="inlineStr">
        <is>
          <t>75</t>
        </is>
      </c>
      <c r="J930" t="inlineStr">
        <is>
          <t>66,9</t>
        </is>
      </c>
      <c r="K930" t="inlineStr">
        <is>
          <t>.</t>
        </is>
      </c>
      <c r="L930" t="inlineStr">
        <is>
          <t>.</t>
        </is>
      </c>
      <c r="M930">
        <f>HYPERLINK("https://www.genecards.org/Search/Keyword?queryString=%5Baliases%5D(%20STXBP5%20)&amp;keywords=STXBP5", "STXBP5")</f>
        <v/>
      </c>
      <c r="N930" t="inlineStr">
        <is>
          <t>intronic</t>
        </is>
      </c>
      <c r="O930" t="inlineStr">
        <is>
          <t>.</t>
        </is>
      </c>
      <c r="P930" t="inlineStr">
        <is>
          <t>.</t>
        </is>
      </c>
      <c r="Q930" t="n">
        <v>-1</v>
      </c>
      <c r="R930" t="n">
        <v>-1</v>
      </c>
      <c r="S930" t="n">
        <v>-1</v>
      </c>
      <c r="T930" t="n">
        <v>-1</v>
      </c>
      <c r="U930" t="n">
        <v>-1</v>
      </c>
      <c r="V930" t="inlineStr">
        <is>
          <t>.</t>
        </is>
      </c>
      <c r="W930" t="inlineStr">
        <is>
          <t>.</t>
        </is>
      </c>
      <c r="X930" t="inlineStr">
        <is>
          <t>D</t>
        </is>
      </c>
      <c r="Y930" t="inlineStr">
        <is>
          <t>off</t>
        </is>
      </c>
      <c r="Z930" t="inlineStr">
        <is>
          <t>.</t>
        </is>
      </c>
      <c r="AA930" t="inlineStr">
        <is>
          <t>.</t>
        </is>
      </c>
      <c r="AB930" t="inlineStr">
        <is>
          <t>.</t>
        </is>
      </c>
      <c r="AC930" t="inlineStr">
        <is>
          <t>0/1</t>
        </is>
      </c>
      <c r="AD930" t="inlineStr">
        <is>
          <t>1</t>
        </is>
      </c>
      <c r="AE930" t="inlineStr">
        <is>
          <t>0.999991599632041</t>
        </is>
      </c>
      <c r="AF930" t="inlineStr">
        <is>
          <t>syntaxin binding protein 5</t>
        </is>
      </c>
      <c r="AG930" t="inlineStr">
        <is>
          <t xml:space="preserve">FUNCTION: Plays a regulatory role in calcium-dependent exocytosis and neurotransmitter release. Inhibits membrane fusion between transport vesicles and the plasma membrane. May modulate the assembly of trans-SNARE complexes between transport vesicles and the plasma membrane. Inhibits translocation of GLUT4 from intracellular vesicles to the plasma membrane. Competes with STXBP1 for STX1 binding (By similarity). {ECO:0000250}.; </t>
        </is>
      </c>
      <c r="AH930" t="inlineStr">
        <is>
          <t>.</t>
        </is>
      </c>
      <c r="AI930" t="inlineStr">
        <is>
          <t>.</t>
        </is>
      </c>
      <c r="AJ930" t="inlineStr">
        <is>
          <t>.</t>
        </is>
      </c>
      <c r="AK930" t="inlineStr">
        <is>
          <t>.</t>
        </is>
      </c>
      <c r="AL930" t="inlineStr">
        <is>
          <t>.</t>
        </is>
      </c>
    </row>
    <row r="931">
      <c r="A931" t="inlineStr"/>
      <c r="B931">
        <f>HYPERLINK("https://genome.ucsc.edu/cgi-bin/hgTracks?db=hg19&amp;position=chr6%3A149719261%2D149719261", "chr6:149719261")</f>
        <v/>
      </c>
      <c r="C931" t="inlineStr">
        <is>
          <t>chr6</t>
        </is>
      </c>
      <c r="D931" t="n">
        <v>149719261</v>
      </c>
      <c r="E931" t="n">
        <v>149719261</v>
      </c>
      <c r="F931" t="inlineStr">
        <is>
          <t>G</t>
        </is>
      </c>
      <c r="G931" t="inlineStr">
        <is>
          <t>A</t>
        </is>
      </c>
      <c r="H931" t="inlineStr">
        <is>
          <t>599.64</t>
        </is>
      </c>
      <c r="I931" t="inlineStr">
        <is>
          <t>43</t>
        </is>
      </c>
      <c r="J931" t="inlineStr">
        <is>
          <t>24,19</t>
        </is>
      </c>
      <c r="K931" t="inlineStr">
        <is>
          <t>.</t>
        </is>
      </c>
      <c r="L931">
        <f>HYPERLINK("https://www.ncbi.nlm.nih.gov/snp/rs189756186", "rs189756186")</f>
        <v/>
      </c>
      <c r="M931">
        <f>HYPERLINK("https://www.genecards.org/Search/Keyword?queryString=%5Baliases%5D(%20TAB2%20)&amp;keywords=TAB2", "TAB2")</f>
        <v/>
      </c>
      <c r="N931" t="inlineStr">
        <is>
          <t>intronic</t>
        </is>
      </c>
      <c r="O931" t="inlineStr">
        <is>
          <t>.</t>
        </is>
      </c>
      <c r="P931" t="inlineStr">
        <is>
          <t>.</t>
        </is>
      </c>
      <c r="Q931" t="n">
        <v>0.0103</v>
      </c>
      <c r="R931" t="n">
        <v>0.0035</v>
      </c>
      <c r="S931" t="n">
        <v>0.0032</v>
      </c>
      <c r="T931" t="n">
        <v>-1</v>
      </c>
      <c r="U931" t="n">
        <v>0.0024</v>
      </c>
      <c r="V931" t="inlineStr">
        <is>
          <t>.</t>
        </is>
      </c>
      <c r="W931" t="inlineStr">
        <is>
          <t>.</t>
        </is>
      </c>
      <c r="X931" t="inlineStr">
        <is>
          <t>D</t>
        </is>
      </c>
      <c r="Y931" t="inlineStr">
        <is>
          <t>off</t>
        </is>
      </c>
      <c r="Z931" t="inlineStr">
        <is>
          <t>.</t>
        </is>
      </c>
      <c r="AA931" t="inlineStr">
        <is>
          <t>.</t>
        </is>
      </c>
      <c r="AB931" t="inlineStr">
        <is>
          <t>.</t>
        </is>
      </c>
      <c r="AC931" t="inlineStr">
        <is>
          <t>0/1</t>
        </is>
      </c>
      <c r="AD931" t="inlineStr">
        <is>
          <t>1</t>
        </is>
      </c>
      <c r="AE931" t="inlineStr">
        <is>
          <t>0.99975796201866</t>
        </is>
      </c>
      <c r="AF931" t="inlineStr">
        <is>
          <t>TGF-beta activated kinase 1/MAP3K7 binding protein 2</t>
        </is>
      </c>
      <c r="AG931" t="inlineStr">
        <is>
          <t xml:space="preserve">FUNCTION: Adapter linking MAP3K7/TAK1 and TRAF6. Promotes MAP3K7 activation in the IL1 signaling pathway. The binding of 'Lys-63'- linked polyubiquitin chains to TAB2 promotes autophosphorylation of MAP3K7 at 'Thr-187'. Involved in heart development. {ECO:0000269|PubMed:10882101, ECO:0000269|PubMed:11460167, ECO:0000269|PubMed:20493459}.; </t>
        </is>
      </c>
      <c r="AH931" t="inlineStr">
        <is>
          <t xml:space="preserve">DISEASE: Congenital heart defects, multiple types, 2 (CHTD2) [MIM:614980]: A disease characterized by congenital developmental abnormalities involving structures of the heart. CHTD2 patients have left ventricular outflow tract obstruction, subaortic stenosis, residual aortic regurgitation, atrial fibrillation, bicuspid aortic valve and aortic dilation. {ECO:0000269|PubMed:20493459}. Note=The disease is caused by mutations affecting the gene represented in this entry. A chromosomal aberration involving TAB2 has been found in a family with congenital heart disease. Translocation t(2;6)(q21;q25).; </t>
        </is>
      </c>
      <c r="AI931" t="inlineStr">
        <is>
          <t>.</t>
        </is>
      </c>
      <c r="AJ931" t="inlineStr">
        <is>
          <t>.</t>
        </is>
      </c>
      <c r="AK931" t="inlineStr">
        <is>
          <t>.</t>
        </is>
      </c>
      <c r="AL931" t="inlineStr">
        <is>
          <t>.</t>
        </is>
      </c>
    </row>
    <row r="932">
      <c r="A932" t="inlineStr"/>
      <c r="B932">
        <f>HYPERLINK("https://genome.ucsc.edu/cgi-bin/hgTracks?db=hg19&amp;position=chr6%3A150004634%2D150004634", "chr6:150004634")</f>
        <v/>
      </c>
      <c r="C932" t="inlineStr">
        <is>
          <t>chr6</t>
        </is>
      </c>
      <c r="D932" t="n">
        <v>150004634</v>
      </c>
      <c r="E932" t="n">
        <v>150004634</v>
      </c>
      <c r="F932" t="inlineStr">
        <is>
          <t>G</t>
        </is>
      </c>
      <c r="G932" t="inlineStr">
        <is>
          <t>A</t>
        </is>
      </c>
      <c r="H932" t="inlineStr">
        <is>
          <t>2494.64</t>
        </is>
      </c>
      <c r="I932" t="inlineStr">
        <is>
          <t>207</t>
        </is>
      </c>
      <c r="J932" t="inlineStr">
        <is>
          <t>111,96</t>
        </is>
      </c>
      <c r="K932" t="inlineStr">
        <is>
          <t>.</t>
        </is>
      </c>
      <c r="L932">
        <f>HYPERLINK("https://www.ncbi.nlm.nih.gov/snp/rs55874734", "rs55874734")</f>
        <v/>
      </c>
      <c r="M932">
        <f>HYPERLINK("https://www.genecards.org/Search/Keyword?queryString=%5Baliases%5D(%20LATS1%20)&amp;keywords=LATS1", "LATS1")</f>
        <v/>
      </c>
      <c r="N932" t="inlineStr">
        <is>
          <t>exonic</t>
        </is>
      </c>
      <c r="O932" t="inlineStr">
        <is>
          <t>nonsynonymous SNV</t>
        </is>
      </c>
      <c r="P932" t="inlineStr">
        <is>
          <t>LATS1:NM_001350392:exon3:c.C751T:p.P251S,LATS1:NM_001270519:exon4:c.C1591T:p.P531S,LATS1:NM_004690:exon4:c.C1591T:p.P531S,LATS1:NM_001350339:exon5:c.C1276T:p.P426S,LATS1:NM_001350340:exon5:c.C1276T:p.P426S;LATS1:uc003qmv.2:exon3:c.C1591T:p.P531S,LATS1:uc003qmu.2:exon4:c.C1591T:p.P531S,LATS1:uc003qmw.3:exon4:c.C1591T:p.P531S,LATS1:uc010kif.2:exon5:c.C1276T:p.P426S,LATS1:uc010kig.1:exon5:c.C1276T:p.P426S;LATS1:ENST00000253339.9_3:exon3:c.C1591T:p.P531S,LATS1:ENST00000392273.7_3:exon4:c.C1591T:p.P531S,LATS1:ENST00000543571.6_5:exon4:c.C1591T:p.P531S</t>
        </is>
      </c>
      <c r="Q932" t="n">
        <v>0.009900000000000001</v>
      </c>
      <c r="R932" t="n">
        <v>0.0062</v>
      </c>
      <c r="S932" t="n">
        <v>0.007</v>
      </c>
      <c r="T932" t="n">
        <v>-1</v>
      </c>
      <c r="U932" t="n">
        <v>0.0053</v>
      </c>
      <c r="V932" t="inlineStr">
        <is>
          <t>4/11</t>
        </is>
      </c>
      <c r="W932" t="inlineStr">
        <is>
          <t>.</t>
        </is>
      </c>
      <c r="X932" t="inlineStr">
        <is>
          <t>.</t>
        </is>
      </c>
      <c r="Y932" t="inlineStr">
        <is>
          <t>.</t>
        </is>
      </c>
      <c r="Z932" t="inlineStr">
        <is>
          <t>4/7</t>
        </is>
      </c>
      <c r="AA932" t="inlineStr">
        <is>
          <t>Uncertain significance</t>
        </is>
      </c>
      <c r="AB932" t="inlineStr">
        <is>
          <t>Likely_benign</t>
        </is>
      </c>
      <c r="AC932" t="inlineStr">
        <is>
          <t>0/1</t>
        </is>
      </c>
      <c r="AD932" t="inlineStr">
        <is>
          <t>1</t>
        </is>
      </c>
      <c r="AE932" t="inlineStr">
        <is>
          <t>0.999926526245065</t>
        </is>
      </c>
      <c r="AF932" t="inlineStr">
        <is>
          <t>large tumor suppressor kinase 1</t>
        </is>
      </c>
      <c r="AG932" t="inlineStr">
        <is>
          <t xml:space="preserve">FUNCTION: Negative regulator of YAP1 in the Hippo signaling pathway that plays a pivotal role in organ size control and tumor suppression by restricting proliferation and promoting apoptosis. The core of this pathway is composed of a kinase cascade wherein STK3/MST2 and STK4/MST1, in complex with its regulatory protein SAV1, phosphorylates and activates LATS1/2 in complex with its regulatory protein MOB1, which in turn phosphorylates and inactivates YAP1 oncoprotein and WWTR1/TAZ. Phosphorylation of YAP1 by LATS1 inhibits its translocation into the nucleus to regulate cellular genes important for cell proliferation, cell death, and cell migration. Acts as a tumor suppressor which plays a critical role in maintenance of ploidy through its actions in both mitotic progression and the G1 tetraploidy checkpoint. Negatively regulates G2/M transition by down-regulating CDK1 kinase activity. Involved in the control of p53 expression. Affects cytokinesis by regulating actin polymerization through negative modulation of LIMK1. May also play a role in endocrine function. {ECO:0000269|PubMed:10518011, ECO:0000269|PubMed:10831611, ECO:0000269|PubMed:15122335, ECO:0000269|PubMed:15220930, ECO:0000269|PubMed:18158288, ECO:0000269|PubMed:19927127}.; </t>
        </is>
      </c>
      <c r="AH932" t="inlineStr">
        <is>
          <t>.</t>
        </is>
      </c>
      <c r="AI932" t="inlineStr">
        <is>
          <t>.</t>
        </is>
      </c>
      <c r="AJ932" t="inlineStr">
        <is>
          <t>.</t>
        </is>
      </c>
      <c r="AK932" t="inlineStr">
        <is>
          <t>.</t>
        </is>
      </c>
      <c r="AL932" t="inlineStr">
        <is>
          <t>.</t>
        </is>
      </c>
    </row>
    <row r="933">
      <c r="A933" t="inlineStr"/>
      <c r="B933">
        <f>HYPERLINK("https://genome.ucsc.edu/cgi-bin/hgTracks?db=hg19&amp;position=chr6%3A152494895%2D152494895", "chr6:152494895")</f>
        <v/>
      </c>
      <c r="C933" t="inlineStr">
        <is>
          <t>chr6</t>
        </is>
      </c>
      <c r="D933" t="n">
        <v>152494895</v>
      </c>
      <c r="E933" t="n">
        <v>152494895</v>
      </c>
      <c r="F933" t="inlineStr">
        <is>
          <t>C</t>
        </is>
      </c>
      <c r="G933" t="inlineStr">
        <is>
          <t>A</t>
        </is>
      </c>
      <c r="H933" t="inlineStr">
        <is>
          <t>43.64</t>
        </is>
      </c>
      <c r="I933" t="inlineStr">
        <is>
          <t>6</t>
        </is>
      </c>
      <c r="J933" t="inlineStr">
        <is>
          <t>4,2</t>
        </is>
      </c>
      <c r="K933" t="inlineStr">
        <is>
          <t>.</t>
        </is>
      </c>
      <c r="L933" t="inlineStr">
        <is>
          <t>.</t>
        </is>
      </c>
      <c r="M933">
        <f>HYPERLINK("https://www.genecards.org/Search/Keyword?queryString=%5Baliases%5D(%20MIR3163%20)%20OR%20%5Baliases%5D(%20SYNE1%20)&amp;keywords=MIR3163,SYNE1", "MIR3163;SYNE1")</f>
        <v/>
      </c>
      <c r="N933" t="inlineStr">
        <is>
          <t>intronic;ncRNA_intronic</t>
        </is>
      </c>
      <c r="O933" t="inlineStr">
        <is>
          <t>.</t>
        </is>
      </c>
      <c r="P933" t="inlineStr">
        <is>
          <t>.</t>
        </is>
      </c>
      <c r="Q933" t="n">
        <v>-1</v>
      </c>
      <c r="R933" t="n">
        <v>-1</v>
      </c>
      <c r="S933" t="n">
        <v>-1</v>
      </c>
      <c r="T933" t="n">
        <v>-1</v>
      </c>
      <c r="U933" t="n">
        <v>-1</v>
      </c>
      <c r="V933" t="inlineStr">
        <is>
          <t>.</t>
        </is>
      </c>
      <c r="W933" t="inlineStr">
        <is>
          <t>.</t>
        </is>
      </c>
      <c r="X933" t="inlineStr">
        <is>
          <t>.</t>
        </is>
      </c>
      <c r="Y933" t="inlineStr">
        <is>
          <t>.</t>
        </is>
      </c>
      <c r="Z933" t="inlineStr">
        <is>
          <t>.</t>
        </is>
      </c>
      <c r="AA933" t="inlineStr">
        <is>
          <t>.</t>
        </is>
      </c>
      <c r="AB933" t="inlineStr">
        <is>
          <t>.</t>
        </is>
      </c>
      <c r="AC933" t="inlineStr">
        <is>
          <t>0/1</t>
        </is>
      </c>
      <c r="AD933" t="inlineStr">
        <is>
          <t>3;4</t>
        </is>
      </c>
      <c r="AE933" t="inlineStr">
        <is>
          <t>3.75068139299055e-27</t>
        </is>
      </c>
      <c r="AF933" t="inlineStr">
        <is>
          <t>microRNA 3163;spectrin repeat containing, nuclear envelope 1</t>
        </is>
      </c>
      <c r="AG933" t="inlineStr">
        <is>
          <t xml:space="preserve">FUNCTION: Multi-isomeric modular protein which forms a linking network between organelles and the actin cytoskeleton to maintain the subcellular spatial organization. Component of SUN-protein- containing multivariate complexes also called LINC complexes which link the nucleoskeleton and cytoskeleton by providing versatile outer nuclear membrane attachment sites for cytoskeletal filaments. May be involved in the maintenance of nuclear organization and structural integrity. Connects nuclei to the cytoskeleton by interacting with the nuclear envelope and with F- actin in the cytoplasm. May be required for centrosome migration to the apical cell surface during early ciliogenesis. {ECO:0000269|PubMed:11792814, ECO:0000269|PubMed:18396275}.; </t>
        </is>
      </c>
      <c r="AH933" t="inlineStr">
        <is>
          <t xml:space="preserve">DISEASE: Spinocerebellar ataxia, autosomal recessive, 8 (SCAR8) [MIM:610743]: Spinocerebellar ataxia is a clinically and genetically heterogeneous group of cerebellar disorders. Patients show progressive incoordination of gait and often poor coordination of hands, speech and eye movements, due to degeneration of the cerebellum with variable involvement of the brainstem and spinal cord. SCAR8 is an autosomal recessive form. {ECO:0000269|PubMed:17159980}. Note=The disease is caused by mutations affecting the gene represented in this entry.; DISEASE: Emery-Dreifuss muscular dystrophy 4, autosomal dominant (EDMD4) [MIM:612998]: A form of Emery-Dreifuss muscular dystrophy, a degenerative myopathy characterized by weakness and atrophy of muscle without involvement of the nervous system, early contractures of the elbows, Achilles tendons and spine, and cardiomyopathy associated with cardiac conduction defects. {ECO:0000269|PubMed:17761684}. Note=The disease is caused by mutations affecting the gene represented in this entry.; </t>
        </is>
      </c>
      <c r="AI933" t="inlineStr">
        <is>
          <t>.</t>
        </is>
      </c>
      <c r="AJ933" t="inlineStr">
        <is>
          <t>.</t>
        </is>
      </c>
      <c r="AK933" t="inlineStr">
        <is>
          <t>.</t>
        </is>
      </c>
      <c r="AL933" t="inlineStr">
        <is>
          <t>.</t>
        </is>
      </c>
    </row>
    <row r="934">
      <c r="A934" t="inlineStr"/>
      <c r="B934">
        <f>HYPERLINK("https://genome.ucsc.edu/cgi-bin/hgTracks?db=hg19&amp;position=chr6%3A152539327%2D152539327", "chr6:152539327")</f>
        <v/>
      </c>
      <c r="C934" t="inlineStr">
        <is>
          <t>chr6</t>
        </is>
      </c>
      <c r="D934" t="n">
        <v>152539327</v>
      </c>
      <c r="E934" t="n">
        <v>152539327</v>
      </c>
      <c r="F934" t="inlineStr">
        <is>
          <t>A</t>
        </is>
      </c>
      <c r="G934" t="inlineStr">
        <is>
          <t>-</t>
        </is>
      </c>
      <c r="H934" t="inlineStr">
        <is>
          <t>31.60</t>
        </is>
      </c>
      <c r="I934" t="inlineStr">
        <is>
          <t>25</t>
        </is>
      </c>
      <c r="J934" t="inlineStr">
        <is>
          <t>21,4</t>
        </is>
      </c>
      <c r="K934" t="inlineStr">
        <is>
          <t>.</t>
        </is>
      </c>
      <c r="L934" t="inlineStr">
        <is>
          <t>.</t>
        </is>
      </c>
      <c r="M934">
        <f>HYPERLINK("https://www.genecards.org/Search/Keyword?queryString=%5Baliases%5D(%20MIR3163%20)%20OR%20%5Baliases%5D(%20SYNE1%20)&amp;keywords=MIR3163,SYNE1", "MIR3163;SYNE1")</f>
        <v/>
      </c>
      <c r="N934" t="inlineStr">
        <is>
          <t>intronic;ncRNA_intronic</t>
        </is>
      </c>
      <c r="O934" t="inlineStr">
        <is>
          <t>.</t>
        </is>
      </c>
      <c r="P934" t="inlineStr">
        <is>
          <t>.</t>
        </is>
      </c>
      <c r="Q934" t="n">
        <v>0.0147</v>
      </c>
      <c r="R934" t="n">
        <v>0.0018</v>
      </c>
      <c r="S934" t="n">
        <v>0.0024</v>
      </c>
      <c r="T934" t="n">
        <v>-1</v>
      </c>
      <c r="U934" t="n">
        <v>0.0077</v>
      </c>
      <c r="V934" t="inlineStr">
        <is>
          <t>.</t>
        </is>
      </c>
      <c r="W934" t="inlineStr">
        <is>
          <t>.</t>
        </is>
      </c>
      <c r="X934" t="inlineStr">
        <is>
          <t>.</t>
        </is>
      </c>
      <c r="Y934" t="inlineStr">
        <is>
          <t>.</t>
        </is>
      </c>
      <c r="Z934" t="inlineStr">
        <is>
          <t>.</t>
        </is>
      </c>
      <c r="AA934" t="inlineStr">
        <is>
          <t>.</t>
        </is>
      </c>
      <c r="AB934" t="inlineStr">
        <is>
          <t>.</t>
        </is>
      </c>
      <c r="AC934" t="inlineStr">
        <is>
          <t>.</t>
        </is>
      </c>
      <c r="AD934" t="inlineStr">
        <is>
          <t>3;4</t>
        </is>
      </c>
      <c r="AE934" t="inlineStr">
        <is>
          <t>3.75068139299055e-27</t>
        </is>
      </c>
      <c r="AF934" t="inlineStr">
        <is>
          <t>microRNA 3163;spectrin repeat containing, nuclear envelope 1</t>
        </is>
      </c>
      <c r="AG934" t="inlineStr">
        <is>
          <t xml:space="preserve">FUNCTION: Multi-isomeric modular protein which forms a linking network between organelles and the actin cytoskeleton to maintain the subcellular spatial organization. Component of SUN-protein- containing multivariate complexes also called LINC complexes which link the nucleoskeleton and cytoskeleton by providing versatile outer nuclear membrane attachment sites for cytoskeletal filaments. May be involved in the maintenance of nuclear organization and structural integrity. Connects nuclei to the cytoskeleton by interacting with the nuclear envelope and with F- actin in the cytoplasm. May be required for centrosome migration to the apical cell surface during early ciliogenesis. {ECO:0000269|PubMed:11792814, ECO:0000269|PubMed:18396275}.; </t>
        </is>
      </c>
      <c r="AH934" t="inlineStr">
        <is>
          <t xml:space="preserve">DISEASE: Spinocerebellar ataxia, autosomal recessive, 8 (SCAR8) [MIM:610743]: Spinocerebellar ataxia is a clinically and genetically heterogeneous group of cerebellar disorders. Patients show progressive incoordination of gait and often poor coordination of hands, speech and eye movements, due to degeneration of the cerebellum with variable involvement of the brainstem and spinal cord. SCAR8 is an autosomal recessive form. {ECO:0000269|PubMed:17159980}. Note=The disease is caused by mutations affecting the gene represented in this entry.; DISEASE: Emery-Dreifuss muscular dystrophy 4, autosomal dominant (EDMD4) [MIM:612998]: A form of Emery-Dreifuss muscular dystrophy, a degenerative myopathy characterized by weakness and atrophy of muscle without involvement of the nervous system, early contractures of the elbows, Achilles tendons and spine, and cardiomyopathy associated with cardiac conduction defects. {ECO:0000269|PubMed:17761684}. Note=The disease is caused by mutations affecting the gene represented in this entry.; </t>
        </is>
      </c>
      <c r="AI934" t="inlineStr">
        <is>
          <t>.</t>
        </is>
      </c>
      <c r="AJ934" t="inlineStr">
        <is>
          <t>.</t>
        </is>
      </c>
      <c r="AK934" t="inlineStr">
        <is>
          <t>.</t>
        </is>
      </c>
      <c r="AL934" t="inlineStr">
        <is>
          <t>.</t>
        </is>
      </c>
    </row>
    <row r="935">
      <c r="A935" t="inlineStr"/>
      <c r="B935">
        <f>HYPERLINK("https://genome.ucsc.edu/cgi-bin/hgTracks?db=hg19&amp;position=chr6%3A152539573%2D152539573", "chr6:152539573")</f>
        <v/>
      </c>
      <c r="C935" t="inlineStr">
        <is>
          <t>chr6</t>
        </is>
      </c>
      <c r="D935" t="n">
        <v>152539573</v>
      </c>
      <c r="E935" t="n">
        <v>152539573</v>
      </c>
      <c r="F935" t="inlineStr">
        <is>
          <t>-</t>
        </is>
      </c>
      <c r="G935" t="inlineStr">
        <is>
          <t>A</t>
        </is>
      </c>
      <c r="H935" t="inlineStr">
        <is>
          <t>452.02</t>
        </is>
      </c>
      <c r="I935" t="inlineStr">
        <is>
          <t>31</t>
        </is>
      </c>
      <c r="J935" t="inlineStr">
        <is>
          <t>5,15,11</t>
        </is>
      </c>
      <c r="K935" t="inlineStr">
        <is>
          <t>.</t>
        </is>
      </c>
      <c r="L935" t="inlineStr">
        <is>
          <t>.</t>
        </is>
      </c>
      <c r="M935">
        <f>HYPERLINK("https://www.genecards.org/Search/Keyword?queryString=%5Baliases%5D(%20MIR3163%20)%20OR%20%5Baliases%5D(%20SYNE1%20)&amp;keywords=MIR3163,SYNE1", "MIR3163;SYNE1")</f>
        <v/>
      </c>
      <c r="N935" t="inlineStr">
        <is>
          <t>intronic;ncRNA_intronic</t>
        </is>
      </c>
      <c r="O935" t="inlineStr">
        <is>
          <t>.</t>
        </is>
      </c>
      <c r="P935" t="inlineStr">
        <is>
          <t>.</t>
        </is>
      </c>
      <c r="Q935" t="n">
        <v>-1</v>
      </c>
      <c r="R935" t="n">
        <v>-1</v>
      </c>
      <c r="S935" t="n">
        <v>-1</v>
      </c>
      <c r="T935" t="n">
        <v>-1</v>
      </c>
      <c r="U935" t="n">
        <v>-1</v>
      </c>
      <c r="V935" t="inlineStr">
        <is>
          <t>.</t>
        </is>
      </c>
      <c r="W935" t="inlineStr">
        <is>
          <t>.</t>
        </is>
      </c>
      <c r="X935" t="inlineStr">
        <is>
          <t>.</t>
        </is>
      </c>
      <c r="Y935" t="inlineStr">
        <is>
          <t>.</t>
        </is>
      </c>
      <c r="Z935" t="inlineStr">
        <is>
          <t>.</t>
        </is>
      </c>
      <c r="AA935" t="inlineStr">
        <is>
          <t>.</t>
        </is>
      </c>
      <c r="AB935" t="inlineStr">
        <is>
          <t>.</t>
        </is>
      </c>
      <c r="AC935" t="inlineStr">
        <is>
          <t>1/2</t>
        </is>
      </c>
      <c r="AD935" t="inlineStr">
        <is>
          <t>3;4</t>
        </is>
      </c>
      <c r="AE935" t="inlineStr">
        <is>
          <t>3.75068139299055e-27</t>
        </is>
      </c>
      <c r="AF935" t="inlineStr">
        <is>
          <t>microRNA 3163;spectrin repeat containing, nuclear envelope 1</t>
        </is>
      </c>
      <c r="AG935" t="inlineStr">
        <is>
          <t xml:space="preserve">FUNCTION: Multi-isomeric modular protein which forms a linking network between organelles and the actin cytoskeleton to maintain the subcellular spatial organization. Component of SUN-protein- containing multivariate complexes also called LINC complexes which link the nucleoskeleton and cytoskeleton by providing versatile outer nuclear membrane attachment sites for cytoskeletal filaments. May be involved in the maintenance of nuclear organization and structural integrity. Connects nuclei to the cytoskeleton by interacting with the nuclear envelope and with F- actin in the cytoplasm. May be required for centrosome migration to the apical cell surface during early ciliogenesis. {ECO:0000269|PubMed:11792814, ECO:0000269|PubMed:18396275}.; </t>
        </is>
      </c>
      <c r="AH935" t="inlineStr">
        <is>
          <t xml:space="preserve">DISEASE: Spinocerebellar ataxia, autosomal recessive, 8 (SCAR8) [MIM:610743]: Spinocerebellar ataxia is a clinically and genetically heterogeneous group of cerebellar disorders. Patients show progressive incoordination of gait and often poor coordination of hands, speech and eye movements, due to degeneration of the cerebellum with variable involvement of the brainstem and spinal cord. SCAR8 is an autosomal recessive form. {ECO:0000269|PubMed:17159980}. Note=The disease is caused by mutations affecting the gene represented in this entry.; DISEASE: Emery-Dreifuss muscular dystrophy 4, autosomal dominant (EDMD4) [MIM:612998]: A form of Emery-Dreifuss muscular dystrophy, a degenerative myopathy characterized by weakness and atrophy of muscle without involvement of the nervous system, early contractures of the elbows, Achilles tendons and spine, and cardiomyopathy associated with cardiac conduction defects. {ECO:0000269|PubMed:17761684}. Note=The disease is caused by mutations affecting the gene represented in this entry.; </t>
        </is>
      </c>
      <c r="AI935" t="inlineStr">
        <is>
          <t>.</t>
        </is>
      </c>
      <c r="AJ935" t="inlineStr">
        <is>
          <t>.</t>
        </is>
      </c>
      <c r="AK935" t="inlineStr">
        <is>
          <t>.</t>
        </is>
      </c>
      <c r="AL935" t="inlineStr">
        <is>
          <t>.</t>
        </is>
      </c>
    </row>
    <row r="936">
      <c r="A936" t="inlineStr"/>
      <c r="B936">
        <f>HYPERLINK("https://genome.ucsc.edu/cgi-bin/hgTracks?db=hg19&amp;position=chr6%3A152702063%2D152702063", "chr6:152702063")</f>
        <v/>
      </c>
      <c r="C936" t="inlineStr">
        <is>
          <t>chr6</t>
        </is>
      </c>
      <c r="D936" t="n">
        <v>152702063</v>
      </c>
      <c r="E936" t="n">
        <v>152702063</v>
      </c>
      <c r="F936" t="inlineStr">
        <is>
          <t>T</t>
        </is>
      </c>
      <c r="G936" t="inlineStr">
        <is>
          <t>-</t>
        </is>
      </c>
      <c r="H936" t="inlineStr">
        <is>
          <t>103.60</t>
        </is>
      </c>
      <c r="I936" t="inlineStr">
        <is>
          <t>40</t>
        </is>
      </c>
      <c r="J936" t="inlineStr">
        <is>
          <t>28,8</t>
        </is>
      </c>
      <c r="K936" t="inlineStr">
        <is>
          <t>.</t>
        </is>
      </c>
      <c r="L936">
        <f>HYPERLINK("https://www.ncbi.nlm.nih.gov/snp/rs763377030", "rs763377030")</f>
        <v/>
      </c>
      <c r="M936">
        <f>HYPERLINK("https://www.genecards.org/Search/Keyword?queryString=%5Baliases%5D(%20SYNE1%20)%20OR%20%5Baliases%5D(%20SYNE1-AS1%20)&amp;keywords=SYNE1,SYNE1-AS1", "SYNE1;SYNE1-AS1")</f>
        <v/>
      </c>
      <c r="N936" t="inlineStr">
        <is>
          <t>intronic;ncRNA_intronic</t>
        </is>
      </c>
      <c r="O936" t="inlineStr">
        <is>
          <t>.</t>
        </is>
      </c>
      <c r="P936" t="inlineStr">
        <is>
          <t>.</t>
        </is>
      </c>
      <c r="Q936" t="n">
        <v>0.0167</v>
      </c>
      <c r="R936" t="n">
        <v>0.0171</v>
      </c>
      <c r="S936" t="n">
        <v>0.0167</v>
      </c>
      <c r="T936" t="n">
        <v>-1</v>
      </c>
      <c r="U936" t="n">
        <v>0.0164</v>
      </c>
      <c r="V936" t="inlineStr">
        <is>
          <t>.</t>
        </is>
      </c>
      <c r="W936" t="inlineStr">
        <is>
          <t>.</t>
        </is>
      </c>
      <c r="X936" t="inlineStr">
        <is>
          <t>.</t>
        </is>
      </c>
      <c r="Y936" t="inlineStr">
        <is>
          <t>.</t>
        </is>
      </c>
      <c r="Z936" t="inlineStr">
        <is>
          <t>.</t>
        </is>
      </c>
      <c r="AA936" t="inlineStr">
        <is>
          <t>.</t>
        </is>
      </c>
      <c r="AB936" t="inlineStr">
        <is>
          <t>.</t>
        </is>
      </c>
      <c r="AC936" t="inlineStr">
        <is>
          <t>0/1</t>
        </is>
      </c>
      <c r="AD936" t="inlineStr">
        <is>
          <t>4;1</t>
        </is>
      </c>
      <c r="AE936" t="inlineStr">
        <is>
          <t>3.75068139299055e-27</t>
        </is>
      </c>
      <c r="AF936" t="inlineStr">
        <is>
          <t>SYNE1 antisense RNA 1;spectrin repeat containing, nuclear envelope 1</t>
        </is>
      </c>
      <c r="AG936" t="inlineStr">
        <is>
          <t xml:space="preserve">FUNCTION: Multi-isomeric modular protein which forms a linking network between organelles and the actin cytoskeleton to maintain the subcellular spatial organization. Component of SUN-protein- containing multivariate complexes also called LINC complexes which link the nucleoskeleton and cytoskeleton by providing versatile outer nuclear membrane attachment sites for cytoskeletal filaments. May be involved in the maintenance of nuclear organization and structural integrity. Connects nuclei to the cytoskeleton by interacting with the nuclear envelope and with F- actin in the cytoplasm. May be required for centrosome migration to the apical cell surface during early ciliogenesis. {ECO:0000269|PubMed:11792814, ECO:0000269|PubMed:18396275}.; </t>
        </is>
      </c>
      <c r="AH936" t="inlineStr">
        <is>
          <t xml:space="preserve">DISEASE: Spinocerebellar ataxia, autosomal recessive, 8 (SCAR8) [MIM:610743]: Spinocerebellar ataxia is a clinically and genetically heterogeneous group of cerebellar disorders. Patients show progressive incoordination of gait and often poor coordination of hands, speech and eye movements, due to degeneration of the cerebellum with variable involvement of the brainstem and spinal cord. SCAR8 is an autosomal recessive form. {ECO:0000269|PubMed:17159980}. Note=The disease is caused by mutations affecting the gene represented in this entry.; DISEASE: Emery-Dreifuss muscular dystrophy 4, autosomal dominant (EDMD4) [MIM:612998]: A form of Emery-Dreifuss muscular dystrophy, a degenerative myopathy characterized by weakness and atrophy of muscle without involvement of the nervous system, early contractures of the elbows, Achilles tendons and spine, and cardiomyopathy associated with cardiac conduction defects. {ECO:0000269|PubMed:17761684}. Note=The disease is caused by mutations affecting the gene represented in this entry.; </t>
        </is>
      </c>
      <c r="AI936" t="inlineStr">
        <is>
          <t>.</t>
        </is>
      </c>
      <c r="AJ936" t="inlineStr">
        <is>
          <t>.</t>
        </is>
      </c>
      <c r="AK936" t="inlineStr">
        <is>
          <t>.</t>
        </is>
      </c>
      <c r="AL936" t="inlineStr">
        <is>
          <t>.</t>
        </is>
      </c>
    </row>
    <row r="937">
      <c r="A937" t="inlineStr"/>
      <c r="B937">
        <f>HYPERLINK("https://genome.ucsc.edu/cgi-bin/hgTracks?db=hg19&amp;position=chr6%3A155743875%2D155743875", "chr6:155743875")</f>
        <v/>
      </c>
      <c r="C937" t="inlineStr">
        <is>
          <t>chr6</t>
        </is>
      </c>
      <c r="D937" t="n">
        <v>155743875</v>
      </c>
      <c r="E937" t="n">
        <v>155743875</v>
      </c>
      <c r="F937" t="inlineStr">
        <is>
          <t>T</t>
        </is>
      </c>
      <c r="G937" t="inlineStr">
        <is>
          <t>C</t>
        </is>
      </c>
      <c r="H937" t="inlineStr">
        <is>
          <t>2029.64</t>
        </is>
      </c>
      <c r="I937" t="inlineStr">
        <is>
          <t>180</t>
        </is>
      </c>
      <c r="J937" t="inlineStr">
        <is>
          <t>93,87</t>
        </is>
      </c>
      <c r="K937" t="inlineStr">
        <is>
          <t>.</t>
        </is>
      </c>
      <c r="L937">
        <f>HYPERLINK("https://www.ncbi.nlm.nih.gov/snp/rs148003305", "rs148003305")</f>
        <v/>
      </c>
      <c r="M937">
        <f>HYPERLINK("https://www.genecards.org/Search/Keyword?queryString=%5Baliases%5D(%20NOX3%20)&amp;keywords=NOX3", "NOX3")</f>
        <v/>
      </c>
      <c r="N937" t="inlineStr">
        <is>
          <t>exonic</t>
        </is>
      </c>
      <c r="O937" t="inlineStr">
        <is>
          <t>nonsynonymous SNV</t>
        </is>
      </c>
      <c r="P937" t="inlineStr">
        <is>
          <t>NOX3:NM_015718:exon10:c.A1261G:p.I421V;NOX3:uc003qqm.3:exon10:c.A1261G:p.I421V;NOX3:ENST00000159060.3_5:exon10:c.A1261G:p.I421V</t>
        </is>
      </c>
      <c r="Q937" t="n">
        <v>0.0002</v>
      </c>
      <c r="R937" t="n">
        <v>0.0003</v>
      </c>
      <c r="S937" t="n">
        <v>0.0002</v>
      </c>
      <c r="T937" t="n">
        <v>-1</v>
      </c>
      <c r="U937" t="n">
        <v>0.0004</v>
      </c>
      <c r="V937" t="inlineStr">
        <is>
          <t>3/11</t>
        </is>
      </c>
      <c r="W937" t="inlineStr">
        <is>
          <t>.</t>
        </is>
      </c>
      <c r="X937" t="inlineStr">
        <is>
          <t>.</t>
        </is>
      </c>
      <c r="Y937" t="inlineStr">
        <is>
          <t>.</t>
        </is>
      </c>
      <c r="Z937" t="inlineStr">
        <is>
          <t>0/7</t>
        </is>
      </c>
      <c r="AA937" t="inlineStr">
        <is>
          <t>Uncertain significance</t>
        </is>
      </c>
      <c r="AB937" t="inlineStr">
        <is>
          <t>.</t>
        </is>
      </c>
      <c r="AC937" t="inlineStr">
        <is>
          <t>0/1</t>
        </is>
      </c>
      <c r="AD937" t="inlineStr">
        <is>
          <t>1</t>
        </is>
      </c>
      <c r="AE937" t="inlineStr">
        <is>
          <t>3.57964894206844e-09</t>
        </is>
      </c>
      <c r="AF937" t="inlineStr">
        <is>
          <t>NADPH oxidase 3</t>
        </is>
      </c>
      <c r="AG937" t="inlineStr">
        <is>
          <t xml:space="preserve">FUNCTION: NADPH oxidase which constitutively produces superoxide upon formation of a complex with CYBA/p22phox. Plays a role in the biogenesis of otoconia/otolith, which are crystalline structures of the inner ear involved in the perception of gravity. {ECO:0000269|PubMed:15824103}.; </t>
        </is>
      </c>
      <c r="AH937" t="inlineStr">
        <is>
          <t>.</t>
        </is>
      </c>
      <c r="AI937" t="inlineStr">
        <is>
          <t>.</t>
        </is>
      </c>
      <c r="AJ937" t="inlineStr">
        <is>
          <t>.</t>
        </is>
      </c>
      <c r="AK937" t="inlineStr">
        <is>
          <t>.</t>
        </is>
      </c>
      <c r="AL937" t="inlineStr">
        <is>
          <t>.</t>
        </is>
      </c>
    </row>
    <row r="938">
      <c r="A938" t="inlineStr"/>
      <c r="B938">
        <f>HYPERLINK("https://genome.ucsc.edu/cgi-bin/hgTracks?db=hg19&amp;position=chr6%3A158900683%2D158900683", "chr6:158900683")</f>
        <v/>
      </c>
      <c r="C938" t="inlineStr">
        <is>
          <t>chr6</t>
        </is>
      </c>
      <c r="D938" t="n">
        <v>158900683</v>
      </c>
      <c r="E938" t="n">
        <v>158900683</v>
      </c>
      <c r="F938" t="inlineStr">
        <is>
          <t>A</t>
        </is>
      </c>
      <c r="G938" t="inlineStr">
        <is>
          <t>G</t>
        </is>
      </c>
      <c r="H938" t="inlineStr">
        <is>
          <t>198.64</t>
        </is>
      </c>
      <c r="I938" t="inlineStr">
        <is>
          <t>20</t>
        </is>
      </c>
      <c r="J938" t="inlineStr">
        <is>
          <t>12,8</t>
        </is>
      </c>
      <c r="K938" t="inlineStr">
        <is>
          <t>.</t>
        </is>
      </c>
      <c r="L938" t="inlineStr">
        <is>
          <t>.</t>
        </is>
      </c>
      <c r="M938">
        <f>HYPERLINK("https://www.genecards.org/Search/Keyword?queryString=%5Baliases%5D(%20TULP4%20)&amp;keywords=TULP4", "TULP4")</f>
        <v/>
      </c>
      <c r="N938" t="inlineStr">
        <is>
          <t>intronic</t>
        </is>
      </c>
      <c r="O938" t="inlineStr">
        <is>
          <t>.</t>
        </is>
      </c>
      <c r="P938" t="inlineStr">
        <is>
          <t>.</t>
        </is>
      </c>
      <c r="Q938" t="n">
        <v>-1</v>
      </c>
      <c r="R938" t="n">
        <v>-1</v>
      </c>
      <c r="S938" t="n">
        <v>-1</v>
      </c>
      <c r="T938" t="n">
        <v>-1</v>
      </c>
      <c r="U938" t="n">
        <v>-1</v>
      </c>
      <c r="V938" t="inlineStr">
        <is>
          <t>.</t>
        </is>
      </c>
      <c r="W938" t="inlineStr">
        <is>
          <t>.</t>
        </is>
      </c>
      <c r="X938" t="inlineStr">
        <is>
          <t>PD</t>
        </is>
      </c>
      <c r="Y938" t="inlineStr">
        <is>
          <t>off</t>
        </is>
      </c>
      <c r="Z938" t="inlineStr">
        <is>
          <t>.</t>
        </is>
      </c>
      <c r="AA938" t="inlineStr">
        <is>
          <t>.</t>
        </is>
      </c>
      <c r="AB938" t="inlineStr">
        <is>
          <t>.</t>
        </is>
      </c>
      <c r="AC938" t="inlineStr">
        <is>
          <t>0/1</t>
        </is>
      </c>
      <c r="AD938" t="inlineStr">
        <is>
          <t>1</t>
        </is>
      </c>
      <c r="AE938" t="inlineStr">
        <is>
          <t>0.99993680345815</t>
        </is>
      </c>
      <c r="AF938" t="inlineStr">
        <is>
          <t>tubby like protein 4</t>
        </is>
      </c>
      <c r="AG938" t="inlineStr">
        <is>
          <t xml:space="preserve">FUNCTION: May be a substrate-recognition component of a SCF-like ECS (Elongin-Cullin-SOCS-box protein) E3 ubiquitin ligase complex which mediates the ubiquitination and subsequent proteasomal degradation of target proteins. {ECO:0000250}.; </t>
        </is>
      </c>
      <c r="AH938" t="inlineStr">
        <is>
          <t>.</t>
        </is>
      </c>
      <c r="AI938" t="inlineStr">
        <is>
          <t>.</t>
        </is>
      </c>
      <c r="AJ938" t="inlineStr">
        <is>
          <t>.</t>
        </is>
      </c>
      <c r="AK938" t="inlineStr">
        <is>
          <t>.</t>
        </is>
      </c>
      <c r="AL938" t="inlineStr">
        <is>
          <t>.</t>
        </is>
      </c>
    </row>
    <row r="939">
      <c r="A939" t="inlineStr"/>
      <c r="B939">
        <f>HYPERLINK("https://genome.ucsc.edu/cgi-bin/hgTracks?db=hg19&amp;position=chr6%3A160671737%2D160671737", "chr6:160671737")</f>
        <v/>
      </c>
      <c r="C939" t="inlineStr">
        <is>
          <t>chr6</t>
        </is>
      </c>
      <c r="D939" t="n">
        <v>160671737</v>
      </c>
      <c r="E939" t="n">
        <v>160671737</v>
      </c>
      <c r="F939" t="inlineStr">
        <is>
          <t>G</t>
        </is>
      </c>
      <c r="G939" t="inlineStr">
        <is>
          <t>T</t>
        </is>
      </c>
      <c r="H939" t="inlineStr">
        <is>
          <t>1708.64</t>
        </is>
      </c>
      <c r="I939" t="inlineStr">
        <is>
          <t>142</t>
        </is>
      </c>
      <c r="J939" t="inlineStr">
        <is>
          <t>78,64</t>
        </is>
      </c>
      <c r="K939" t="inlineStr">
        <is>
          <t>.</t>
        </is>
      </c>
      <c r="L939">
        <f>HYPERLINK("https://www.ncbi.nlm.nih.gov/snp/rs512275", "rs512275")</f>
        <v/>
      </c>
      <c r="M939">
        <f>HYPERLINK("https://www.genecards.org/Search/Keyword?queryString=%5Baliases%5D(%20SLC22A2%20)&amp;keywords=SLC22A2", "SLC22A2")</f>
        <v/>
      </c>
      <c r="N939" t="inlineStr">
        <is>
          <t>intronic</t>
        </is>
      </c>
      <c r="O939" t="inlineStr">
        <is>
          <t>.</t>
        </is>
      </c>
      <c r="P939" t="inlineStr">
        <is>
          <t>.</t>
        </is>
      </c>
      <c r="Q939" t="n">
        <v>0.0115527</v>
      </c>
      <c r="R939" t="n">
        <v>0.009599999999999999</v>
      </c>
      <c r="S939" t="n">
        <v>0.008500000000000001</v>
      </c>
      <c r="T939" t="n">
        <v>-1</v>
      </c>
      <c r="U939" t="n">
        <v>0.008699999999999999</v>
      </c>
      <c r="V939" t="inlineStr">
        <is>
          <t>.</t>
        </is>
      </c>
      <c r="W939" t="inlineStr">
        <is>
          <t>D</t>
        </is>
      </c>
      <c r="X939" t="inlineStr">
        <is>
          <t>D</t>
        </is>
      </c>
      <c r="Y939" t="inlineStr">
        <is>
          <t>on</t>
        </is>
      </c>
      <c r="Z939" t="inlineStr">
        <is>
          <t>.</t>
        </is>
      </c>
      <c r="AA939" t="inlineStr">
        <is>
          <t>.</t>
        </is>
      </c>
      <c r="AB939" t="inlineStr">
        <is>
          <t>.</t>
        </is>
      </c>
      <c r="AC939" t="inlineStr">
        <is>
          <t>0/1</t>
        </is>
      </c>
      <c r="AD939" t="inlineStr">
        <is>
          <t>1</t>
        </is>
      </c>
      <c r="AE939" t="inlineStr">
        <is>
          <t>1.4191712191388e-09</t>
        </is>
      </c>
      <c r="AF939" t="inlineStr">
        <is>
          <t>solute carrier family 22 member 2</t>
        </is>
      </c>
      <c r="AG939" t="inlineStr">
        <is>
          <t xml:space="preserve">FUNCTION: Mediates tubular uptake of organic compounds from circulation. Mediates the influx of agmatine, dopamine, noradrenaline (norepinephrine), serotonin, choline, famotidine, ranitidine, histamin, creatinine, amantadine, memantine, acriflavine, 4-[4-(dimethylamino)-styryl]-N-methylpyridinium ASP, amiloride, metformin, N-1-methylnicotinamide (NMN), tetraethylammonium (TEA), 1-methyl-4-phenylpyridinium (MPP), cimetidine, cisplatin and oxaliplatin. Cisplatin may develop a nephrotoxic action. Transport of creatinine is inhibited by fluoroquinolones such as DX-619 and LVFX. This transporter is a major determinant of the anticancer activity of oxaliplatin and may contribute to antitumor specificity. {ECO:0000269|PubMed:12089365, ECO:0000269|PubMed:12538837, ECO:0000269|PubMed:15496291, ECO:0000269|PubMed:15783073, ECO:0000269|PubMed:16006492, ECO:0000269|PubMed:16272756, ECO:0000269|PubMed:16314463, ECO:0000269|PubMed:16394027, ECO:0000269|PubMed:16914559, ECO:0000269|PubMed:16951202, ECO:0000269|PubMed:17072098, ECO:0000269|PubMed:17582384, ECO:0000269|PubMed:9260930, ECO:0000269|PubMed:9687576}.; </t>
        </is>
      </c>
      <c r="AH939" t="inlineStr">
        <is>
          <t>.</t>
        </is>
      </c>
      <c r="AI939" t="inlineStr">
        <is>
          <t>.</t>
        </is>
      </c>
      <c r="AJ939" t="inlineStr">
        <is>
          <t>.</t>
        </is>
      </c>
      <c r="AK939" t="inlineStr">
        <is>
          <t>.</t>
        </is>
      </c>
      <c r="AL939" t="inlineStr">
        <is>
          <t>.</t>
        </is>
      </c>
    </row>
    <row r="940">
      <c r="A940" t="inlineStr"/>
      <c r="B940">
        <f>HYPERLINK("https://genome.ucsc.edu/cgi-bin/hgTracks?db=hg19&amp;position=chr6%3A167711515%2D167711515", "chr6:167711515")</f>
        <v/>
      </c>
      <c r="C940" t="inlineStr">
        <is>
          <t>chr6</t>
        </is>
      </c>
      <c r="D940" t="n">
        <v>167711515</v>
      </c>
      <c r="E940" t="n">
        <v>167711515</v>
      </c>
      <c r="F940" t="inlineStr">
        <is>
          <t>G</t>
        </is>
      </c>
      <c r="G940" t="inlineStr">
        <is>
          <t>T</t>
        </is>
      </c>
      <c r="H940" t="inlineStr">
        <is>
          <t>606.64</t>
        </is>
      </c>
      <c r="I940" t="inlineStr">
        <is>
          <t>180</t>
        </is>
      </c>
      <c r="J940" t="inlineStr">
        <is>
          <t>139,41</t>
        </is>
      </c>
      <c r="K940" t="inlineStr">
        <is>
          <t>.</t>
        </is>
      </c>
      <c r="L940" t="inlineStr">
        <is>
          <t>.</t>
        </is>
      </c>
      <c r="M940">
        <f>HYPERLINK("https://www.genecards.org/Search/Keyword?queryString=%5Baliases%5D(%20UNC93A%20)&amp;keywords=UNC93A", "UNC93A")</f>
        <v/>
      </c>
      <c r="N940" t="inlineStr">
        <is>
          <t>exonic</t>
        </is>
      </c>
      <c r="O940" t="inlineStr">
        <is>
          <t>nonsynonymous SNV</t>
        </is>
      </c>
      <c r="P940" t="inlineStr">
        <is>
          <t>UNC93A:NM_018974:exon4:c.G582T:p.R194S;UNC93A:uc003qvq.3:exon4:c.G582T:p.R194S;UNC93A:ENST00000230256.8_6:exon4:c.G582T:p.R194S</t>
        </is>
      </c>
      <c r="Q940" t="n">
        <v>-1</v>
      </c>
      <c r="R940" t="n">
        <v>-1</v>
      </c>
      <c r="S940" t="n">
        <v>-1</v>
      </c>
      <c r="T940" t="n">
        <v>-1</v>
      </c>
      <c r="U940" t="n">
        <v>-1</v>
      </c>
      <c r="V940" t="inlineStr">
        <is>
          <t>3/12</t>
        </is>
      </c>
      <c r="W940" t="inlineStr">
        <is>
          <t>.</t>
        </is>
      </c>
      <c r="X940" t="inlineStr">
        <is>
          <t>.</t>
        </is>
      </c>
      <c r="Y940" t="inlineStr">
        <is>
          <t>.</t>
        </is>
      </c>
      <c r="Z940" t="inlineStr">
        <is>
          <t>0/7</t>
        </is>
      </c>
      <c r="AA940" t="inlineStr">
        <is>
          <t>Uncertain significance</t>
        </is>
      </c>
      <c r="AB940" t="inlineStr">
        <is>
          <t>.</t>
        </is>
      </c>
      <c r="AC940" t="inlineStr">
        <is>
          <t>0/1</t>
        </is>
      </c>
      <c r="AD940" t="inlineStr">
        <is>
          <t>1</t>
        </is>
      </c>
      <c r="AE940" t="inlineStr">
        <is>
          <t>1.37725514829586e-06</t>
        </is>
      </c>
      <c r="AF940" t="inlineStr">
        <is>
          <t>unc-93 homolog A (C. elegans)</t>
        </is>
      </c>
      <c r="AG940" t="inlineStr">
        <is>
          <t>.</t>
        </is>
      </c>
      <c r="AH940" t="inlineStr">
        <is>
          <t>.</t>
        </is>
      </c>
      <c r="AI940" t="inlineStr">
        <is>
          <t>.</t>
        </is>
      </c>
      <c r="AJ940" t="inlineStr">
        <is>
          <t>.</t>
        </is>
      </c>
      <c r="AK940" t="inlineStr">
        <is>
          <t>.</t>
        </is>
      </c>
      <c r="AL940" t="inlineStr">
        <is>
          <t>.</t>
        </is>
      </c>
    </row>
    <row r="941">
      <c r="A941" t="inlineStr"/>
      <c r="B941">
        <f>HYPERLINK("https://genome.ucsc.edu/cgi-bin/hgTracks?db=hg19&amp;position=chr7%3A645744%2D645744", "chr7:645744")</f>
        <v/>
      </c>
      <c r="C941" t="inlineStr">
        <is>
          <t>chr7</t>
        </is>
      </c>
      <c r="D941" t="n">
        <v>645744</v>
      </c>
      <c r="E941" t="n">
        <v>645744</v>
      </c>
      <c r="F941" t="inlineStr">
        <is>
          <t>G</t>
        </is>
      </c>
      <c r="G941" t="inlineStr">
        <is>
          <t>C</t>
        </is>
      </c>
      <c r="H941" t="inlineStr">
        <is>
          <t>189.64</t>
        </is>
      </c>
      <c r="I941" t="inlineStr">
        <is>
          <t>36</t>
        </is>
      </c>
      <c r="J941" t="inlineStr">
        <is>
          <t>25,11</t>
        </is>
      </c>
      <c r="K941" t="inlineStr">
        <is>
          <t>.</t>
        </is>
      </c>
      <c r="L941">
        <f>HYPERLINK("https://www.ncbi.nlm.nih.gov/snp/rs190471417", "rs190471417")</f>
        <v/>
      </c>
      <c r="M941">
        <f>HYPERLINK("https://www.genecards.org/Search/Keyword?queryString=%5Baliases%5D(%20PRKAR1B%20)%20OR%20%5Baliases%5D(%20PRKAR1B-AS1%20)&amp;keywords=PRKAR1B,PRKAR1B-AS1", "PRKAR1B;PRKAR1B-AS1")</f>
        <v/>
      </c>
      <c r="N941" t="inlineStr">
        <is>
          <t>intronic;ncRNA_intronic</t>
        </is>
      </c>
      <c r="O941" t="inlineStr">
        <is>
          <t>.</t>
        </is>
      </c>
      <c r="P941" t="inlineStr">
        <is>
          <t>.</t>
        </is>
      </c>
      <c r="Q941" t="n">
        <v>0.005</v>
      </c>
      <c r="R941" t="n">
        <v>0.0052</v>
      </c>
      <c r="S941" t="n">
        <v>0.0054</v>
      </c>
      <c r="T941" t="n">
        <v>-1</v>
      </c>
      <c r="U941" t="n">
        <v>0.0081</v>
      </c>
      <c r="V941" t="inlineStr">
        <is>
          <t>.</t>
        </is>
      </c>
      <c r="W941" t="inlineStr">
        <is>
          <t>.</t>
        </is>
      </c>
      <c r="X941" t="inlineStr">
        <is>
          <t>PD</t>
        </is>
      </c>
      <c r="Y941" t="inlineStr">
        <is>
          <t>off</t>
        </is>
      </c>
      <c r="Z941" t="inlineStr">
        <is>
          <t>.</t>
        </is>
      </c>
      <c r="AA941" t="inlineStr">
        <is>
          <t>.</t>
        </is>
      </c>
      <c r="AB941" t="inlineStr">
        <is>
          <t>.</t>
        </is>
      </c>
      <c r="AC941" t="inlineStr">
        <is>
          <t>0/1</t>
        </is>
      </c>
      <c r="AD941" t="inlineStr">
        <is>
          <t>1;1</t>
        </is>
      </c>
      <c r="AE941" t="inlineStr">
        <is>
          <t>0.0247577995630588</t>
        </is>
      </c>
      <c r="AF941" t="inlineStr">
        <is>
          <t>protein kinase cAMP-dependent type I regulatory subunit beta</t>
        </is>
      </c>
      <c r="AG941" t="inlineStr">
        <is>
          <t xml:space="preserve">FUNCTION: Regulatory subunit of the cAMP-dependent protein kinases involved in cAMP signaling in cells. {ECO:0000269|PubMed:20819953}.; </t>
        </is>
      </c>
      <c r="AH941" t="inlineStr">
        <is>
          <t>.</t>
        </is>
      </c>
      <c r="AI941" t="inlineStr">
        <is>
          <t>.</t>
        </is>
      </c>
      <c r="AJ941" t="inlineStr">
        <is>
          <t>.</t>
        </is>
      </c>
      <c r="AK941" t="inlineStr">
        <is>
          <t>.</t>
        </is>
      </c>
      <c r="AL941" t="inlineStr">
        <is>
          <t>.</t>
        </is>
      </c>
    </row>
    <row r="942">
      <c r="A942" t="inlineStr"/>
      <c r="B942">
        <f>HYPERLINK("https://genome.ucsc.edu/cgi-bin/hgTracks?db=hg19&amp;position=chr7%3A1037383%2D1037383", "chr7:1037383")</f>
        <v/>
      </c>
      <c r="C942" t="inlineStr">
        <is>
          <t>chr7</t>
        </is>
      </c>
      <c r="D942" t="n">
        <v>1037383</v>
      </c>
      <c r="E942" t="n">
        <v>1037383</v>
      </c>
      <c r="F942" t="inlineStr">
        <is>
          <t>C</t>
        </is>
      </c>
      <c r="G942" t="inlineStr">
        <is>
          <t>-</t>
        </is>
      </c>
      <c r="H942" t="inlineStr">
        <is>
          <t>1670.60</t>
        </is>
      </c>
      <c r="I942" t="inlineStr">
        <is>
          <t>83</t>
        </is>
      </c>
      <c r="J942" t="inlineStr">
        <is>
          <t>29,54</t>
        </is>
      </c>
      <c r="K942" t="inlineStr">
        <is>
          <t>.</t>
        </is>
      </c>
      <c r="L942">
        <f>HYPERLINK("https://www.ncbi.nlm.nih.gov/snp/rs200169409", "rs200169409")</f>
        <v/>
      </c>
      <c r="M942">
        <f>HYPERLINK("https://www.genecards.org/Search/Keyword?queryString=%5Baliases%5D(%20C7orf50%20)&amp;keywords=C7orf50", "C7orf50")</f>
        <v/>
      </c>
      <c r="N942" t="inlineStr">
        <is>
          <t>exonic</t>
        </is>
      </c>
      <c r="O942" t="inlineStr">
        <is>
          <t>frameshift deletion</t>
        </is>
      </c>
      <c r="P942" t="inlineStr">
        <is>
          <t>C7orf50:NM_001134395:exon5:c.463delG:p.A155Pfs*4,C7orf50:NM_001134396:exon5:c.463delG:p.A155Pfs*4,C7orf50:NM_001318252:exon5:c.463delG:p.A155Pfs*4,C7orf50:NM_001350968:exon5:c.463delG:p.A155Pfs*4,C7orf50:NM_001350969:exon5:c.421delG:p.A141Pfs*4,C7orf50:NM_032350:exon5:c.463delG:p.A155Pfs*4;C7orf50:uc003sju.2:exon5:c.463delG:p.A155Pfs*4,C7orf50:uc011jvt.1:exon5:c.463delG:p.A155Pfs*4,C7orf50:uc011jvu.1:exon5:c.463delG:p.A155Pfs*4;C7orf50:ENST00000357429.10_4:exon5:c.463delG:p.A155Pfs*4,C7orf50:ENST00000397098.8_6:exon5:c.463delG:p.A155Pfs*4,C7orf50:ENST00000397100.6_4:exon5:c.463delG:p.A155Pfs*4</t>
        </is>
      </c>
      <c r="Q942" t="n">
        <v>0.0261</v>
      </c>
      <c r="R942" t="n">
        <v>0.0263</v>
      </c>
      <c r="S942" t="n">
        <v>0.0253</v>
      </c>
      <c r="T942" t="n">
        <v>-1</v>
      </c>
      <c r="U942" t="n">
        <v>0.0247</v>
      </c>
      <c r="V942" t="inlineStr">
        <is>
          <t>.</t>
        </is>
      </c>
      <c r="W942" t="inlineStr">
        <is>
          <t>.</t>
        </is>
      </c>
      <c r="X942" t="inlineStr">
        <is>
          <t>.</t>
        </is>
      </c>
      <c r="Y942" t="inlineStr">
        <is>
          <t>.</t>
        </is>
      </c>
      <c r="Z942" t="inlineStr">
        <is>
          <t>.</t>
        </is>
      </c>
      <c r="AA942" t="inlineStr">
        <is>
          <t>.</t>
        </is>
      </c>
      <c r="AB942" t="inlineStr">
        <is>
          <t>.</t>
        </is>
      </c>
      <c r="AC942" t="inlineStr">
        <is>
          <t>0/1</t>
        </is>
      </c>
      <c r="AD942" t="inlineStr">
        <is>
          <t>1</t>
        </is>
      </c>
      <c r="AE942" t="inlineStr">
        <is>
          <t>0.00139620778717545</t>
        </is>
      </c>
      <c r="AF942" t="inlineStr">
        <is>
          <t>chromosome 7 open reading frame 50</t>
        </is>
      </c>
      <c r="AG942" t="inlineStr">
        <is>
          <t>.</t>
        </is>
      </c>
      <c r="AH942" t="inlineStr">
        <is>
          <t>.</t>
        </is>
      </c>
      <c r="AI942" t="inlineStr">
        <is>
          <t>.</t>
        </is>
      </c>
      <c r="AJ942" t="inlineStr">
        <is>
          <t>.</t>
        </is>
      </c>
      <c r="AK942" t="inlineStr">
        <is>
          <t>.</t>
        </is>
      </c>
      <c r="AL942" t="inlineStr">
        <is>
          <t>.</t>
        </is>
      </c>
    </row>
    <row r="943">
      <c r="A943" t="inlineStr"/>
      <c r="B943">
        <f>HYPERLINK("https://genome.ucsc.edu/cgi-bin/hgTracks?db=hg19&amp;position=chr7%3A2962893%2D2962893", "chr7:2962893")</f>
        <v/>
      </c>
      <c r="C943" t="inlineStr">
        <is>
          <t>chr7</t>
        </is>
      </c>
      <c r="D943" t="n">
        <v>2962893</v>
      </c>
      <c r="E943" t="n">
        <v>2962893</v>
      </c>
      <c r="F943" t="inlineStr">
        <is>
          <t>T</t>
        </is>
      </c>
      <c r="G943" t="inlineStr">
        <is>
          <t>A</t>
        </is>
      </c>
      <c r="H943" t="inlineStr">
        <is>
          <t>163.64</t>
        </is>
      </c>
      <c r="I943" t="inlineStr">
        <is>
          <t>93</t>
        </is>
      </c>
      <c r="J943" t="inlineStr">
        <is>
          <t>83,10</t>
        </is>
      </c>
      <c r="K943" t="inlineStr">
        <is>
          <t>.</t>
        </is>
      </c>
      <c r="L943" t="inlineStr">
        <is>
          <t>.</t>
        </is>
      </c>
      <c r="M943">
        <f>HYPERLINK("https://www.genecards.org/Search/Keyword?queryString=%5Baliases%5D(%20CARD11%20)&amp;keywords=CARD11", "CARD11")</f>
        <v/>
      </c>
      <c r="N943" t="inlineStr">
        <is>
          <t>exonic</t>
        </is>
      </c>
      <c r="O943" t="inlineStr">
        <is>
          <t>nonsynonymous SNV</t>
        </is>
      </c>
      <c r="P943" t="inlineStr">
        <is>
          <t>CARD11:NM_032415:exon16:c.A2015T:p.N672I,CARD11:NM_001324281:exon17:c.A2015T:p.N672I;CARD11:uc003smv.3:exon16:c.A2015T:p.N672I;CARD11:ENST00000396946.9_6:exon16:c.A2015T:p.N672I</t>
        </is>
      </c>
      <c r="Q943" t="n">
        <v>-1</v>
      </c>
      <c r="R943" t="n">
        <v>-1</v>
      </c>
      <c r="S943" t="n">
        <v>-1</v>
      </c>
      <c r="T943" t="n">
        <v>-1</v>
      </c>
      <c r="U943" t="n">
        <v>-1</v>
      </c>
      <c r="V943" t="inlineStr">
        <is>
          <t>3/12</t>
        </is>
      </c>
      <c r="W943" t="inlineStr">
        <is>
          <t>.</t>
        </is>
      </c>
      <c r="X943" t="inlineStr">
        <is>
          <t>.</t>
        </is>
      </c>
      <c r="Y943" t="inlineStr">
        <is>
          <t>.</t>
        </is>
      </c>
      <c r="Z943" t="inlineStr">
        <is>
          <t>1/7</t>
        </is>
      </c>
      <c r="AA943" t="inlineStr">
        <is>
          <t>Uncertain significance</t>
        </is>
      </c>
      <c r="AB943" t="inlineStr">
        <is>
          <t>.</t>
        </is>
      </c>
      <c r="AC943" t="inlineStr">
        <is>
          <t>.</t>
        </is>
      </c>
      <c r="AD943" t="inlineStr">
        <is>
          <t>1</t>
        </is>
      </c>
      <c r="AE943" t="inlineStr">
        <is>
          <t>0.999939282123249</t>
        </is>
      </c>
      <c r="AF943" t="inlineStr">
        <is>
          <t>caspase recruitment domain family member 11</t>
        </is>
      </c>
      <c r="AG943" t="inlineStr">
        <is>
          <t xml:space="preserve">FUNCTION: Involved in the costimulatory signal essential for T- cell receptor (TCR)-mediated T-cell activation. Its binding to DPP4 induces T-cell proliferation and NF-kappa-B activation in a T-cell receptor/CD3-dependent manner. Activates NF-kappa-B via BCL10 and IKK. Stimulates the phosphorylation of BCL10.; </t>
        </is>
      </c>
      <c r="AH943" t="inlineStr">
        <is>
          <t xml:space="preserve">DISEASE: B-cell expansion with NFKB and T-cell anergy (BENTA) [MIM:616452]: An autosomal dominant condition characterized by onset in infancy of splenomegaly and polyclonal expansion of B cells, resulting in peripheral lymphocytosis. Affected individuals also show mild immune dysfunction, including some defective antibody responses and T-cell anergy. There may be a predisposition to the development of B-cell malignancy. {ECO:0000269|PubMed:23129749}. Note=The disease is caused by mutations affecting the gene represented in this entry.; DISEASE: Immunodeficiency 11 (IMD11) [MIM:615206]: An autosomal recessive primary immunodeficiency characterized by normal numbers of T and B-lymphocytes, but defective intracellular signaling. There is a block in B-cell differentiation with increased numbers of transitional B-cells and hypogammaglobulinemia, as well as decreased numbers of regulatory T-cells and defects in T-cell function. {ECO:0000269|PubMed:23374270}. Note=The disease is caused by mutations affecting the gene represented in this entry.; </t>
        </is>
      </c>
      <c r="AI943" t="inlineStr">
        <is>
          <t>.</t>
        </is>
      </c>
      <c r="AJ943" t="inlineStr">
        <is>
          <t>.</t>
        </is>
      </c>
      <c r="AK943" t="inlineStr">
        <is>
          <t>.</t>
        </is>
      </c>
      <c r="AL943" t="inlineStr">
        <is>
          <t>.</t>
        </is>
      </c>
    </row>
    <row r="944">
      <c r="A944" t="inlineStr"/>
      <c r="B944">
        <f>HYPERLINK("https://genome.ucsc.edu/cgi-bin/hgTracks?db=hg19&amp;position=chr7%3A4856904%2D4856904", "chr7:4856904")</f>
        <v/>
      </c>
      <c r="C944" t="inlineStr">
        <is>
          <t>chr7</t>
        </is>
      </c>
      <c r="D944" t="n">
        <v>4856904</v>
      </c>
      <c r="E944" t="n">
        <v>4856904</v>
      </c>
      <c r="F944" t="inlineStr">
        <is>
          <t>T</t>
        </is>
      </c>
      <c r="G944" t="inlineStr">
        <is>
          <t>C</t>
        </is>
      </c>
      <c r="H944" t="inlineStr">
        <is>
          <t>803.64</t>
        </is>
      </c>
      <c r="I944" t="inlineStr">
        <is>
          <t>89</t>
        </is>
      </c>
      <c r="J944" t="inlineStr">
        <is>
          <t>50,39</t>
        </is>
      </c>
      <c r="K944" t="inlineStr">
        <is>
          <t>.</t>
        </is>
      </c>
      <c r="L944">
        <f>HYPERLINK("https://www.ncbi.nlm.nih.gov/snp/rs201312293", "rs201312293")</f>
        <v/>
      </c>
      <c r="M944">
        <f>HYPERLINK("https://www.genecards.org/Search/Keyword?queryString=%5Baliases%5D(%20RADIL%20)&amp;keywords=RADIL", "RADIL")</f>
        <v/>
      </c>
      <c r="N944" t="inlineStr">
        <is>
          <t>exonic</t>
        </is>
      </c>
      <c r="O944" t="inlineStr">
        <is>
          <t>nonsynonymous SNV</t>
        </is>
      </c>
      <c r="P944" t="inlineStr">
        <is>
          <t>RADIL:NM_018059:exon7:c.A1694G:p.Y565C;RADIL:uc003sni.1:exon3:c.A209G:p.Y70C,RADIL:uc011jwc.1:exon6:c.A974G:p.Y325C,RADIL:uc003snj.1:exon7:c.A1694G:p.Y565C;RADIL:ENST00000399583.4_5:exon7:c.A1694G:p.Y565C</t>
        </is>
      </c>
      <c r="Q944" t="n">
        <v>0.017241</v>
      </c>
      <c r="R944" t="n">
        <v>0.0111</v>
      </c>
      <c r="S944" t="n">
        <v>0.0072</v>
      </c>
      <c r="T944" t="n">
        <v>-1</v>
      </c>
      <c r="U944" t="n">
        <v>0.0038</v>
      </c>
      <c r="V944" t="inlineStr">
        <is>
          <t>6/11</t>
        </is>
      </c>
      <c r="W944" t="inlineStr">
        <is>
          <t>.</t>
        </is>
      </c>
      <c r="X944" t="inlineStr">
        <is>
          <t>.</t>
        </is>
      </c>
      <c r="Y944" t="inlineStr">
        <is>
          <t>.</t>
        </is>
      </c>
      <c r="Z944" t="inlineStr">
        <is>
          <t>2/7</t>
        </is>
      </c>
      <c r="AA944" t="inlineStr">
        <is>
          <t>Uncertain significance</t>
        </is>
      </c>
      <c r="AB944" t="inlineStr">
        <is>
          <t>.</t>
        </is>
      </c>
      <c r="AC944" t="inlineStr">
        <is>
          <t>0/1</t>
        </is>
      </c>
      <c r="AD944" t="inlineStr">
        <is>
          <t>1</t>
        </is>
      </c>
      <c r="AE944" t="inlineStr">
        <is>
          <t>1.30554853556863e-12</t>
        </is>
      </c>
      <c r="AF944" t="inlineStr">
        <is>
          <t>Ras association and DIL domains</t>
        </is>
      </c>
      <c r="AG944" t="inlineStr">
        <is>
          <t xml:space="preserve">FUNCTION: Downstream effector of Rap required for cell adhesion and migration of neural crest precursors during development. {ECO:0000269|PubMed:17704304}.; </t>
        </is>
      </c>
      <c r="AH944" t="inlineStr">
        <is>
          <t>.</t>
        </is>
      </c>
      <c r="AI944" t="inlineStr">
        <is>
          <t>.</t>
        </is>
      </c>
      <c r="AJ944" t="inlineStr">
        <is>
          <t>.</t>
        </is>
      </c>
      <c r="AK944" t="inlineStr">
        <is>
          <t>.</t>
        </is>
      </c>
      <c r="AL944" t="inlineStr">
        <is>
          <t>.</t>
        </is>
      </c>
    </row>
    <row r="945">
      <c r="A945" t="inlineStr"/>
      <c r="B945">
        <f>HYPERLINK("https://genome.ucsc.edu/cgi-bin/hgTracks?db=hg19&amp;position=chr7%3A12433390%2D12433390", "chr7:12433390")</f>
        <v/>
      </c>
      <c r="C945" t="inlineStr">
        <is>
          <t>chr7</t>
        </is>
      </c>
      <c r="D945" t="n">
        <v>12433390</v>
      </c>
      <c r="E945" t="n">
        <v>12433390</v>
      </c>
      <c r="F945" t="inlineStr">
        <is>
          <t>G</t>
        </is>
      </c>
      <c r="G945" t="inlineStr">
        <is>
          <t>A</t>
        </is>
      </c>
      <c r="H945" t="inlineStr">
        <is>
          <t>1432.64</t>
        </is>
      </c>
      <c r="I945" t="inlineStr">
        <is>
          <t>77</t>
        </is>
      </c>
      <c r="J945" t="inlineStr">
        <is>
          <t>23,54</t>
        </is>
      </c>
      <c r="K945" t="inlineStr">
        <is>
          <t>.</t>
        </is>
      </c>
      <c r="L945">
        <f>HYPERLINK("https://www.ncbi.nlm.nih.gov/snp/rs139605380", "rs139605380")</f>
        <v/>
      </c>
      <c r="M945">
        <f>HYPERLINK("https://www.genecards.org/Search/Keyword?queryString=%5Baliases%5D(%20VWDE%20)&amp;keywords=VWDE", "VWDE")</f>
        <v/>
      </c>
      <c r="N945" t="inlineStr">
        <is>
          <t>exonic</t>
        </is>
      </c>
      <c r="O945" t="inlineStr">
        <is>
          <t>nonsynonymous SNV</t>
        </is>
      </c>
      <c r="P945" t="inlineStr">
        <is>
          <t>VWDE:NM_001135924:exon2:c.C73T:p.P25S,VWDE:NM_001346972:exon2:c.C73T:p.P25S;VWDE:uc003ssj.2:exon2:c.C73T:p.P25S;VWDE:ENST00000275358.8_5:exon2:c.C73T:p.P25S</t>
        </is>
      </c>
      <c r="Q945" t="n">
        <v>0.027778</v>
      </c>
      <c r="R945" t="n">
        <v>0.0127</v>
      </c>
      <c r="S945" t="n">
        <v>0.0126</v>
      </c>
      <c r="T945" t="n">
        <v>-1</v>
      </c>
      <c r="U945" t="n">
        <v>0.0138</v>
      </c>
      <c r="V945" t="inlineStr">
        <is>
          <t>4/10</t>
        </is>
      </c>
      <c r="W945" t="inlineStr">
        <is>
          <t>.</t>
        </is>
      </c>
      <c r="X945" t="inlineStr">
        <is>
          <t>.</t>
        </is>
      </c>
      <c r="Y945" t="inlineStr">
        <is>
          <t>.</t>
        </is>
      </c>
      <c r="Z945" t="inlineStr">
        <is>
          <t>3/7</t>
        </is>
      </c>
      <c r="AA945" t="inlineStr">
        <is>
          <t>Uncertain significance</t>
        </is>
      </c>
      <c r="AB945" t="inlineStr">
        <is>
          <t>.</t>
        </is>
      </c>
      <c r="AC945" t="inlineStr">
        <is>
          <t>0/1</t>
        </is>
      </c>
      <c r="AD945" t="inlineStr">
        <is>
          <t>1</t>
        </is>
      </c>
      <c r="AE945" t="inlineStr">
        <is>
          <t>.</t>
        </is>
      </c>
      <c r="AF945" t="inlineStr">
        <is>
          <t>von Willebrand factor D and EGF domains</t>
        </is>
      </c>
      <c r="AG945" t="inlineStr">
        <is>
          <t>.</t>
        </is>
      </c>
      <c r="AH945" t="inlineStr">
        <is>
          <t>.</t>
        </is>
      </c>
      <c r="AI945" t="inlineStr">
        <is>
          <t>.</t>
        </is>
      </c>
      <c r="AJ945" t="inlineStr">
        <is>
          <t>.</t>
        </is>
      </c>
      <c r="AK945" t="inlineStr">
        <is>
          <t>.</t>
        </is>
      </c>
      <c r="AL945" t="inlineStr">
        <is>
          <t>.</t>
        </is>
      </c>
    </row>
    <row r="946">
      <c r="A946" t="inlineStr"/>
      <c r="B946">
        <f>HYPERLINK("https://genome.ucsc.edu/cgi-bin/hgTracks?db=hg19&amp;position=chr7%3A27204503%2D27204503", "chr7:27204503")</f>
        <v/>
      </c>
      <c r="C946" t="inlineStr">
        <is>
          <t>chr7</t>
        </is>
      </c>
      <c r="D946" t="n">
        <v>27204503</v>
      </c>
      <c r="E946" t="n">
        <v>27204503</v>
      </c>
      <c r="F946" t="inlineStr">
        <is>
          <t>C</t>
        </is>
      </c>
      <c r="G946" t="inlineStr">
        <is>
          <t>T</t>
        </is>
      </c>
      <c r="H946" t="inlineStr">
        <is>
          <t>995.64</t>
        </is>
      </c>
      <c r="I946" t="inlineStr">
        <is>
          <t>117</t>
        </is>
      </c>
      <c r="J946" t="inlineStr">
        <is>
          <t>71,46</t>
        </is>
      </c>
      <c r="K946" t="inlineStr">
        <is>
          <t>.</t>
        </is>
      </c>
      <c r="L946" t="inlineStr">
        <is>
          <t>.</t>
        </is>
      </c>
      <c r="M946">
        <f>HYPERLINK("https://www.genecards.org/Search/Keyword?queryString=%5Baliases%5D(%20HOXA9%20)&amp;keywords=HOXA9", "HOXA9")</f>
        <v/>
      </c>
      <c r="N946" t="inlineStr">
        <is>
          <t>exonic</t>
        </is>
      </c>
      <c r="O946" t="inlineStr">
        <is>
          <t>nonsynonymous SNV</t>
        </is>
      </c>
      <c r="P946" t="inlineStr">
        <is>
          <t>HOXA9:NM_152739:exon1:c.G574A:p.D192N;HOXA9:uc003syt.3:exon1:c.G574A:p.D192N;HOXA9:ENST00000343483.7_5:exon1:c.G574A:p.D192N,ENSG00000257184:ENST00000470747.4_4:exon2:c.G94A:p.D32N,HOXA9:ENST00000673744.1_2:exon2:c.G433A:p.D145N,HOXA9:ENST00000673917.1_2:exon2:c.G397A:p.D133N</t>
        </is>
      </c>
      <c r="Q946" t="n">
        <v>-1</v>
      </c>
      <c r="R946" t="n">
        <v>-1</v>
      </c>
      <c r="S946" t="n">
        <v>-1</v>
      </c>
      <c r="T946" t="n">
        <v>-1</v>
      </c>
      <c r="U946" t="n">
        <v>-1</v>
      </c>
      <c r="V946" t="inlineStr">
        <is>
          <t>9/12</t>
        </is>
      </c>
      <c r="W946" t="inlineStr">
        <is>
          <t>.</t>
        </is>
      </c>
      <c r="X946" t="inlineStr">
        <is>
          <t>.</t>
        </is>
      </c>
      <c r="Y946" t="inlineStr">
        <is>
          <t>.</t>
        </is>
      </c>
      <c r="Z946" t="inlineStr">
        <is>
          <t>4/7</t>
        </is>
      </c>
      <c r="AA946" t="inlineStr">
        <is>
          <t>Uncertain significance</t>
        </is>
      </c>
      <c r="AB946" t="inlineStr">
        <is>
          <t>.</t>
        </is>
      </c>
      <c r="AC946" t="inlineStr">
        <is>
          <t>0/1</t>
        </is>
      </c>
      <c r="AD946" t="inlineStr">
        <is>
          <t>1</t>
        </is>
      </c>
      <c r="AE946" t="inlineStr">
        <is>
          <t>0.000100012594431347</t>
        </is>
      </c>
      <c r="AF946" t="inlineStr">
        <is>
          <t>homeobox A9</t>
        </is>
      </c>
      <c r="AG946" t="inlineStr">
        <is>
          <t xml:space="preserve">FUNCTION: Sequence-specific transcription factor which is part of a developmental regulatory system that provides cells with specific positional identities on the anterior-posterior axis. Required for induction of E-selectin and VCAM-1, on the endothelial cells surface at sites of inflammation. {ECO:0000269|PubMed:22269951}.; </t>
        </is>
      </c>
      <c r="AH946" t="inlineStr">
        <is>
          <t xml:space="preserve">DISEASE: Note=A chromosomal aberration involving HOXA9 is found in a form of acute myeloid leukemia. Translocation t(7;11)(p15;p15) with NUP98.; DISEASE: Note=A chromosomal aberration involving HOXA9 may contribute to disease progression in chronic myeloid leukemia. Translocation t(7;17)(p15;q23) with MSI2.; </t>
        </is>
      </c>
      <c r="AI946" t="inlineStr">
        <is>
          <t>.</t>
        </is>
      </c>
      <c r="AJ946" t="inlineStr">
        <is>
          <t>.</t>
        </is>
      </c>
      <c r="AK946" t="inlineStr">
        <is>
          <t>.</t>
        </is>
      </c>
      <c r="AL946" t="inlineStr">
        <is>
          <t>.</t>
        </is>
      </c>
    </row>
    <row r="947">
      <c r="A947" t="inlineStr"/>
      <c r="B947">
        <f>HYPERLINK("https://genome.ucsc.edu/cgi-bin/hgTracks?db=hg19&amp;position=chr7%3A29966229%2D29966229", "chr7:29966229")</f>
        <v/>
      </c>
      <c r="C947" t="inlineStr">
        <is>
          <t>chr7</t>
        </is>
      </c>
      <c r="D947" t="n">
        <v>29966229</v>
      </c>
      <c r="E947" t="n">
        <v>29966229</v>
      </c>
      <c r="F947" t="inlineStr">
        <is>
          <t>T</t>
        </is>
      </c>
      <c r="G947" t="inlineStr">
        <is>
          <t>C</t>
        </is>
      </c>
      <c r="H947" t="inlineStr">
        <is>
          <t>674.64</t>
        </is>
      </c>
      <c r="I947" t="inlineStr">
        <is>
          <t>163</t>
        </is>
      </c>
      <c r="J947" t="inlineStr">
        <is>
          <t>121,42</t>
        </is>
      </c>
      <c r="K947" t="inlineStr">
        <is>
          <t>.</t>
        </is>
      </c>
      <c r="L947">
        <f>HYPERLINK("https://www.ncbi.nlm.nih.gov/snp/rs151249549", "rs151249549")</f>
        <v/>
      </c>
      <c r="M947">
        <f>HYPERLINK("https://www.genecards.org/Search/Keyword?queryString=%5Baliases%5D(%20SCRN1%20)&amp;keywords=SCRN1", "SCRN1")</f>
        <v/>
      </c>
      <c r="N947" t="inlineStr">
        <is>
          <t>exonic</t>
        </is>
      </c>
      <c r="O947" t="inlineStr">
        <is>
          <t>nonsynonymous SNV</t>
        </is>
      </c>
      <c r="P947" t="inlineStr">
        <is>
          <t>SCRN1:NM_001145515:exon6:c.A721G:p.I241V,SCRN1:NM_001145513:exon7:c.A925G:p.I309V,SCRN1:NM_001145514:exon7:c.A985G:p.I329V,SCRN1:NM_014766:exon7:c.A925G:p.I309V;SCRN1:uc011jzw.2:exon4:c.A526G:p.I176V,SCRN1:uc011jzx.2:exon4:c.A394G:p.I132V,SCRN1:uc010kvp.3:exon6:c.A925G:p.I309V,SCRN1:uc011jzy.2:exon6:c.A721G:p.I241V,SCRN1:uc003tak.3:exon7:c.A925G:p.I309V,SCRN1:uc011jzz.2:exon7:c.A925G:p.I309V,SCRN1:uc011kaa.2:exon7:c.A985G:p.I329V;SCRN1:ENST00000409497.5_3:exon6:c.A925G:p.I309V,SCRN1:ENST00000425819.6_3:exon6:c.A721G:p.I241V,SCRN1:ENST00000242059.10_5:exon7:c.A925G:p.I309V,SCRN1:ENST00000426154.5_3:exon7:c.A925G:p.I309V,SCRN1:ENST00000434476.6_3:exon7:c.A985G:p.I329V</t>
        </is>
      </c>
      <c r="Q947" t="n">
        <v>0.0037</v>
      </c>
      <c r="R947" t="n">
        <v>0.0037</v>
      </c>
      <c r="S947" t="n">
        <v>0.0054</v>
      </c>
      <c r="T947" t="n">
        <v>-1</v>
      </c>
      <c r="U947" t="n">
        <v>0.0081</v>
      </c>
      <c r="V947" t="inlineStr">
        <is>
          <t>4/11</t>
        </is>
      </c>
      <c r="W947" t="inlineStr">
        <is>
          <t>.</t>
        </is>
      </c>
      <c r="X947" t="inlineStr">
        <is>
          <t>.</t>
        </is>
      </c>
      <c r="Y947" t="inlineStr">
        <is>
          <t>.</t>
        </is>
      </c>
      <c r="Z947" t="inlineStr">
        <is>
          <t>5/7</t>
        </is>
      </c>
      <c r="AA947" t="inlineStr">
        <is>
          <t>Uncertain significance</t>
        </is>
      </c>
      <c r="AB947" t="inlineStr">
        <is>
          <t>.</t>
        </is>
      </c>
      <c r="AC947" t="inlineStr">
        <is>
          <t>0/1</t>
        </is>
      </c>
      <c r="AD947" t="inlineStr">
        <is>
          <t>1</t>
        </is>
      </c>
      <c r="AE947" t="inlineStr">
        <is>
          <t>0.065188552320723</t>
        </is>
      </c>
      <c r="AF947" t="inlineStr">
        <is>
          <t>secernin 1</t>
        </is>
      </c>
      <c r="AG947" t="inlineStr">
        <is>
          <t xml:space="preserve">FUNCTION: Regulates exocytosis in mast cells. Increases both the extent of secretion and the sensitivity of mast cells to stimulation with calcium (By similarity). {ECO:0000250}.; </t>
        </is>
      </c>
      <c r="AH947" t="inlineStr">
        <is>
          <t>.</t>
        </is>
      </c>
      <c r="AI947" t="inlineStr">
        <is>
          <t>.</t>
        </is>
      </c>
      <c r="AJ947" t="inlineStr">
        <is>
          <t>.</t>
        </is>
      </c>
      <c r="AK947" t="inlineStr">
        <is>
          <t>.</t>
        </is>
      </c>
      <c r="AL947" t="inlineStr">
        <is>
          <t>.</t>
        </is>
      </c>
    </row>
    <row r="948">
      <c r="A948" t="inlineStr"/>
      <c r="B948">
        <f>HYPERLINK("https://genome.ucsc.edu/cgi-bin/hgTracks?db=hg19&amp;position=chr7%3A36910028%2D36910028", "chr7:36910028")</f>
        <v/>
      </c>
      <c r="C948" t="inlineStr">
        <is>
          <t>chr7</t>
        </is>
      </c>
      <c r="D948" t="n">
        <v>36910028</v>
      </c>
      <c r="E948" t="n">
        <v>36910028</v>
      </c>
      <c r="F948" t="inlineStr">
        <is>
          <t>C</t>
        </is>
      </c>
      <c r="G948" t="inlineStr">
        <is>
          <t>A</t>
        </is>
      </c>
      <c r="H948" t="inlineStr">
        <is>
          <t>520.64</t>
        </is>
      </c>
      <c r="I948" t="inlineStr">
        <is>
          <t>106</t>
        </is>
      </c>
      <c r="J948" t="inlineStr">
        <is>
          <t>78,28</t>
        </is>
      </c>
      <c r="K948" t="inlineStr">
        <is>
          <t>.</t>
        </is>
      </c>
      <c r="L948" t="inlineStr">
        <is>
          <t>.</t>
        </is>
      </c>
      <c r="M948">
        <f>HYPERLINK("https://www.genecards.org/Search/Keyword?queryString=%5Baliases%5D(%20ELMO1%20)&amp;keywords=ELMO1", "ELMO1")</f>
        <v/>
      </c>
      <c r="N948" t="inlineStr">
        <is>
          <t>exonic</t>
        </is>
      </c>
      <c r="O948" t="inlineStr">
        <is>
          <t>nonsynonymous SNV</t>
        </is>
      </c>
      <c r="P948" t="inlineStr">
        <is>
          <t>ELMO1:NM_001039459:exon5:c.G435T:p.M145I,ELMO1:NM_130442:exon5:c.G435T:p.M145I,ELMO1:NM_001206480:exon20:c.G1875T:p.M625I,ELMO1:NM_001206482:exon20:c.G1875T:p.M625I,ELMO1:NM_014800:exon20:c.G1875T:p.M625I;ELMO1:uc003tfi.2:exon5:c.G435T:p.M145I,ELMO1:uc003tfj.2:exon5:c.G435T:p.M145I,ELMO1:uc011kbc.2:exon17:c.G1587T:p.M529I,ELMO1:uc003tfk.2:exon20:c.G1875T:p.M625I,ELMO1:uc010kxg.2:exon20:c.G1875T:p.M625I,ELMO1:uc022abv.1:exon20:c.G1875T:p.M625I;ELMO1:ENST00000396040.6_3:exon5:c.G435T:p.M145I,ELMO1:ENST00000396045.7_3:exon5:c.G435T:p.M145I,ELMO1:ENST00000310758.9_5:exon20:c.G1875T:p.M625I,ELMO1:ENST00000442504.5_3:exon20:c.G1875T:p.M625I,ELMO1:ENST00000448602.5_3:exon20:c.G1875T:p.M625I</t>
        </is>
      </c>
      <c r="Q948" t="n">
        <v>-1</v>
      </c>
      <c r="R948" t="n">
        <v>-1</v>
      </c>
      <c r="S948" t="n">
        <v>-1</v>
      </c>
      <c r="T948" t="n">
        <v>-1</v>
      </c>
      <c r="U948" t="n">
        <v>-1</v>
      </c>
      <c r="V948" t="inlineStr">
        <is>
          <t>5/12</t>
        </is>
      </c>
      <c r="W948" t="inlineStr">
        <is>
          <t>.</t>
        </is>
      </c>
      <c r="X948" t="inlineStr">
        <is>
          <t>.</t>
        </is>
      </c>
      <c r="Y948" t="inlineStr">
        <is>
          <t>.</t>
        </is>
      </c>
      <c r="Z948" t="inlineStr">
        <is>
          <t>6/7</t>
        </is>
      </c>
      <c r="AA948" t="inlineStr">
        <is>
          <t>Uncertain significance</t>
        </is>
      </c>
      <c r="AB948" t="inlineStr">
        <is>
          <t>.</t>
        </is>
      </c>
      <c r="AC948" t="inlineStr">
        <is>
          <t>0/1</t>
        </is>
      </c>
      <c r="AD948" t="inlineStr">
        <is>
          <t>1</t>
        </is>
      </c>
      <c r="AE948" t="inlineStr">
        <is>
          <t>0.993000631915938</t>
        </is>
      </c>
      <c r="AF948" t="inlineStr">
        <is>
          <t>engulfment and cell motility 1</t>
        </is>
      </c>
      <c r="AG948" t="inlineStr">
        <is>
          <t xml:space="preserve">FUNCTION: Involved in cytoskeletal rearrangements required for phagocytosis of apoptotic cells and cell motility. Acts in assocation with DOCK1 and CRK. Was initially proposed to be required in complex with DOCK1 to activate Rac Rho small GTPases. May enhance the guanine nucleotide exchange factor (GEF) activity of DOCK1. {ECO:0000269|PubMed:11595183, ECO:0000269|PubMed:12134158}.; </t>
        </is>
      </c>
      <c r="AH948" t="inlineStr">
        <is>
          <t>.</t>
        </is>
      </c>
      <c r="AI948" t="inlineStr">
        <is>
          <t>.</t>
        </is>
      </c>
      <c r="AJ948" t="inlineStr">
        <is>
          <t>.</t>
        </is>
      </c>
      <c r="AK948" t="inlineStr">
        <is>
          <t>.</t>
        </is>
      </c>
      <c r="AL948" t="inlineStr">
        <is>
          <t>.</t>
        </is>
      </c>
    </row>
    <row r="949">
      <c r="A949" t="inlineStr"/>
      <c r="B949">
        <f>HYPERLINK("https://genome.ucsc.edu/cgi-bin/hgTracks?db=hg19&amp;position=chr7%3A40132494%2D40132494", "chr7:40132494")</f>
        <v/>
      </c>
      <c r="C949" t="inlineStr">
        <is>
          <t>chr7</t>
        </is>
      </c>
      <c r="D949" t="n">
        <v>40132494</v>
      </c>
      <c r="E949" t="n">
        <v>40132494</v>
      </c>
      <c r="F949" t="inlineStr">
        <is>
          <t>A</t>
        </is>
      </c>
      <c r="G949" t="inlineStr">
        <is>
          <t>G</t>
        </is>
      </c>
      <c r="H949" t="inlineStr">
        <is>
          <t>612.64</t>
        </is>
      </c>
      <c r="I949" t="inlineStr">
        <is>
          <t>163</t>
        </is>
      </c>
      <c r="J949" t="inlineStr">
        <is>
          <t>122,41</t>
        </is>
      </c>
      <c r="K949" t="inlineStr">
        <is>
          <t>.</t>
        </is>
      </c>
      <c r="L949">
        <f>HYPERLINK("https://www.ncbi.nlm.nih.gov/snp/rs769868649", "rs769868649")</f>
        <v/>
      </c>
      <c r="M949">
        <f>HYPERLINK("https://www.genecards.org/Search/Keyword?queryString=%5Baliases%5D(%20CDK13%20)&amp;keywords=CDK13", "CDK13")</f>
        <v/>
      </c>
      <c r="N949" t="inlineStr">
        <is>
          <t>exonic</t>
        </is>
      </c>
      <c r="O949" t="inlineStr">
        <is>
          <t>nonsynonymous SNV</t>
        </is>
      </c>
      <c r="P949" t="inlineStr">
        <is>
          <t>CDK13:NM_003718:exon13:c.A3346G:p.I1116V;CDK13:uc003thk.3:exon1:c.A145G:p.I49V,CDK13:uc003thj.3:exon6:c.A499G:p.I167V,CDK13:uc003thh.4:exon13:c.A3346G:p.I1116V;CDK13:ENST00000181839.10_5:exon13:c.A3346G:p.I1116V</t>
        </is>
      </c>
      <c r="Q949" t="n">
        <v>6.5e-06</v>
      </c>
      <c r="R949" t="n">
        <v>-1</v>
      </c>
      <c r="S949" t="n">
        <v>-1</v>
      </c>
      <c r="T949" t="n">
        <v>-1</v>
      </c>
      <c r="U949" t="n">
        <v>-1</v>
      </c>
      <c r="V949" t="inlineStr">
        <is>
          <t>3/11</t>
        </is>
      </c>
      <c r="W949" t="inlineStr">
        <is>
          <t>.</t>
        </is>
      </c>
      <c r="X949" t="inlineStr">
        <is>
          <t>.</t>
        </is>
      </c>
      <c r="Y949" t="inlineStr">
        <is>
          <t>.</t>
        </is>
      </c>
      <c r="Z949" t="inlineStr">
        <is>
          <t>3/7</t>
        </is>
      </c>
      <c r="AA949" t="inlineStr">
        <is>
          <t>Uncertain significance</t>
        </is>
      </c>
      <c r="AB949" t="inlineStr">
        <is>
          <t>.</t>
        </is>
      </c>
      <c r="AC949" t="inlineStr">
        <is>
          <t>0/1</t>
        </is>
      </c>
      <c r="AD949" t="inlineStr">
        <is>
          <t>1</t>
        </is>
      </c>
      <c r="AE949" t="inlineStr">
        <is>
          <t>0.751250538151318</t>
        </is>
      </c>
      <c r="AF949" t="inlineStr">
        <is>
          <t>cyclin-dependent kinase 13</t>
        </is>
      </c>
      <c r="AG949" t="inlineStr">
        <is>
          <t xml:space="preserve">FUNCTION: Cyclin-dependent kinase which displays CTD kinase activity and is required for RNA splicing. Has CTD kinase activity by hyperphosphorylating the C-terminal heptapeptide repeat domain (CTD) of the largest RNA polymerase II subunit RPB1, thereby acting as a key regulator of transcription elongation. Required for RNA splicing, probably by phosphorylating SRSF1/SF2. Required during hematopoiesis. In case of infection by HIV-1 virus, interacts with HIV-1 Tat protein acetylated at 'Lys-50' and 'Lys- 51', thereby increasing HIV-1 mRNA splicing and promoting the production of the doubly spliced HIV-1 protein Nef. {ECO:0000269|PubMed:16721827, ECO:0000269|PubMed:1731328, ECO:0000269|PubMed:18480452, ECO:0000269|PubMed:20952539}.; </t>
        </is>
      </c>
      <c r="AH949" t="inlineStr">
        <is>
          <t>.</t>
        </is>
      </c>
      <c r="AI949" t="inlineStr">
        <is>
          <t>.</t>
        </is>
      </c>
      <c r="AJ949" t="inlineStr">
        <is>
          <t>.</t>
        </is>
      </c>
      <c r="AK949" t="inlineStr">
        <is>
          <t>.</t>
        </is>
      </c>
      <c r="AL949" t="inlineStr">
        <is>
          <t>.</t>
        </is>
      </c>
    </row>
    <row r="950">
      <c r="A950" t="inlineStr"/>
      <c r="B950">
        <f>HYPERLINK("https://genome.ucsc.edu/cgi-bin/hgTracks?db=hg19&amp;position=chr7%3A43916784%2D43916784", "chr7:43916784")</f>
        <v/>
      </c>
      <c r="C950" t="inlineStr">
        <is>
          <t>chr7</t>
        </is>
      </c>
      <c r="D950" t="n">
        <v>43916784</v>
      </c>
      <c r="E950" t="n">
        <v>43916784</v>
      </c>
      <c r="F950" t="inlineStr">
        <is>
          <t>C</t>
        </is>
      </c>
      <c r="G950" t="inlineStr">
        <is>
          <t>A</t>
        </is>
      </c>
      <c r="H950" t="inlineStr">
        <is>
          <t>1455.64</t>
        </is>
      </c>
      <c r="I950" t="inlineStr">
        <is>
          <t>158</t>
        </is>
      </c>
      <c r="J950" t="inlineStr">
        <is>
          <t>95,63</t>
        </is>
      </c>
      <c r="K950" t="inlineStr">
        <is>
          <t>.</t>
        </is>
      </c>
      <c r="L950">
        <f>HYPERLINK("https://www.ncbi.nlm.nih.gov/snp/rs61732518", "rs61732518")</f>
        <v/>
      </c>
      <c r="M950">
        <f>HYPERLINK("https://www.genecards.org/Search/Keyword?queryString=%5Baliases%5D(%20URGCP%20)&amp;keywords=URGCP", "URGCP")</f>
        <v/>
      </c>
      <c r="N950" t="inlineStr">
        <is>
          <t>exonic</t>
        </is>
      </c>
      <c r="O950" t="inlineStr">
        <is>
          <t>nonsynonymous SNV</t>
        </is>
      </c>
      <c r="P950" t="inlineStr">
        <is>
          <t>URGCP:NM_017920:exon5:c.G2251T:p.A751S,URGCP:NM_001077663:exon6:c.G2278T:p.A760S,URGCP:NM_001077664:exon6:c.G2149T:p.A717S,URGCP:NM_001290075:exon6:c.G2149T:p.A717S,URGCP:NM_001290076:exon7:c.G2149T:p.A717S;URGCP:uc003tiu.3:exon4:c.G2149T:p.A717S,URGCP:uc003tix.3:exon5:c.G2251T:p.A751S,URGCP:uc003tiw.3:exon6:c.G2278T:p.A760S,URGCP:uc003tiy.3:exon6:c.G2149T:p.A717S,URGCP:uc003tiz.3:exon6:c.G2149T:p.A717S,URGCP:uc003tiv.3:exon7:c.G2053T:p.A685S,URGCP:uc011kbj.2:exon7:c.G2149T:p.A717S;URGCP:ENST00000336086.10_6:exon4:c.G2149T:p.A717S,URGCP:ENST00000402306.7_6:exon5:c.G2251T:p.A751S,URGCP:ENST00000443736.5_6:exon6:c.G2149T:p.A717S,URGCP:ENST00000453200.6_6:exon6:c.G2278T:p.A760S</t>
        </is>
      </c>
      <c r="Q950" t="n">
        <v>0.0276</v>
      </c>
      <c r="R950" t="n">
        <v>0.0171</v>
      </c>
      <c r="S950" t="n">
        <v>0.0157</v>
      </c>
      <c r="T950" t="n">
        <v>-1</v>
      </c>
      <c r="U950" t="n">
        <v>0.021</v>
      </c>
      <c r="V950" t="inlineStr">
        <is>
          <t>3/10</t>
        </is>
      </c>
      <c r="W950" t="inlineStr">
        <is>
          <t>.</t>
        </is>
      </c>
      <c r="X950" t="inlineStr">
        <is>
          <t>.</t>
        </is>
      </c>
      <c r="Y950" t="inlineStr">
        <is>
          <t>.</t>
        </is>
      </c>
      <c r="Z950" t="inlineStr">
        <is>
          <t>1/7</t>
        </is>
      </c>
      <c r="AA950" t="inlineStr">
        <is>
          <t>Uncertain significance</t>
        </is>
      </c>
      <c r="AB950" t="inlineStr">
        <is>
          <t>.</t>
        </is>
      </c>
      <c r="AC950" t="inlineStr">
        <is>
          <t>0/1</t>
        </is>
      </c>
      <c r="AD950" t="inlineStr">
        <is>
          <t>1</t>
        </is>
      </c>
      <c r="AE950" t="inlineStr">
        <is>
          <t>0.207220454111315</t>
        </is>
      </c>
      <c r="AF950" t="inlineStr">
        <is>
          <t>upregulator of cell proliferation</t>
        </is>
      </c>
      <c r="AG950" t="inlineStr">
        <is>
          <t xml:space="preserve">FUNCTION: May be involved in cell cycle progression through the regulation of cyclin D1 expression. May participate in the development of hepatocellular carcinoma (HCC) by promoting hepatocellular growth and survival. May play an important role in development of gastric cancer. {ECO:0000269|PubMed:12082552, ECO:0000269|PubMed:17217616}.; </t>
        </is>
      </c>
      <c r="AH950" t="inlineStr">
        <is>
          <t>.</t>
        </is>
      </c>
      <c r="AI950" t="inlineStr">
        <is>
          <t>.</t>
        </is>
      </c>
      <c r="AJ950" t="inlineStr">
        <is>
          <t>.</t>
        </is>
      </c>
      <c r="AK950" t="inlineStr">
        <is>
          <t>.</t>
        </is>
      </c>
      <c r="AL950" t="inlineStr">
        <is>
          <t>.</t>
        </is>
      </c>
    </row>
    <row r="951">
      <c r="A951" t="inlineStr"/>
      <c r="B951">
        <f>HYPERLINK("https://genome.ucsc.edu/cgi-bin/hgTracks?db=hg19&amp;position=chr7%3A44611227%2D44611227", "chr7:44611227")</f>
        <v/>
      </c>
      <c r="C951" t="inlineStr">
        <is>
          <t>chr7</t>
        </is>
      </c>
      <c r="D951" t="n">
        <v>44611227</v>
      </c>
      <c r="E951" t="n">
        <v>44611227</v>
      </c>
      <c r="F951" t="inlineStr">
        <is>
          <t>G</t>
        </is>
      </c>
      <c r="G951" t="inlineStr">
        <is>
          <t>A</t>
        </is>
      </c>
      <c r="H951" t="inlineStr">
        <is>
          <t>306.64</t>
        </is>
      </c>
      <c r="I951" t="inlineStr">
        <is>
          <t>126</t>
        </is>
      </c>
      <c r="J951" t="inlineStr">
        <is>
          <t>105,21</t>
        </is>
      </c>
      <c r="K951" t="inlineStr">
        <is>
          <t>.</t>
        </is>
      </c>
      <c r="L951" t="inlineStr">
        <is>
          <t>.</t>
        </is>
      </c>
      <c r="M951">
        <f>HYPERLINK("https://www.genecards.org/Search/Keyword?queryString=%5Baliases%5D(%20DDX56%20)&amp;keywords=DDX56", "DDX56")</f>
        <v/>
      </c>
      <c r="N951" t="inlineStr">
        <is>
          <t>exonic</t>
        </is>
      </c>
      <c r="O951" t="inlineStr">
        <is>
          <t>nonsynonymous SNV</t>
        </is>
      </c>
      <c r="P951" t="inlineStr">
        <is>
          <t>DDX56:NM_001257189:exon6:c.C754T:p.L252F,DDX56:NM_019082:exon6:c.C754T:p.L252F;DDX56:uc003tlg.4:exon6:c.C754T:p.L252F,DDX56:uc010kyg.4:exon6:c.C754T:p.L252F;DDX56:ENST00000258772.10_6:exon6:c.C754T:p.L252F,DDX56:ENST00000431640.5_4:exon6:c.C754T:p.L252F</t>
        </is>
      </c>
      <c r="Q951" t="n">
        <v>-1</v>
      </c>
      <c r="R951" t="n">
        <v>-1</v>
      </c>
      <c r="S951" t="n">
        <v>-1</v>
      </c>
      <c r="T951" t="n">
        <v>-1</v>
      </c>
      <c r="U951" t="n">
        <v>-1</v>
      </c>
      <c r="V951" t="inlineStr">
        <is>
          <t>4/12</t>
        </is>
      </c>
      <c r="W951" t="inlineStr">
        <is>
          <t>.</t>
        </is>
      </c>
      <c r="X951" t="inlineStr">
        <is>
          <t>.</t>
        </is>
      </c>
      <c r="Y951" t="inlineStr">
        <is>
          <t>.</t>
        </is>
      </c>
      <c r="Z951" t="inlineStr">
        <is>
          <t>4/7</t>
        </is>
      </c>
      <c r="AA951" t="inlineStr">
        <is>
          <t>Uncertain significance</t>
        </is>
      </c>
      <c r="AB951" t="inlineStr">
        <is>
          <t>.</t>
        </is>
      </c>
      <c r="AC951" t="inlineStr">
        <is>
          <t>0/1</t>
        </is>
      </c>
      <c r="AD951" t="inlineStr">
        <is>
          <t>1</t>
        </is>
      </c>
      <c r="AE951" t="inlineStr">
        <is>
          <t>3.51574131414912e-06</t>
        </is>
      </c>
      <c r="AF951" t="inlineStr">
        <is>
          <t>DEAD-box helicase 56</t>
        </is>
      </c>
      <c r="AG951" t="inlineStr">
        <is>
          <t xml:space="preserve">FUNCTION: May play a role in later stages of the processing of the pre-ribosomal particles leading to mature 60S ribosomal subunits. Has intrinsic ATPase activity.; </t>
        </is>
      </c>
      <c r="AH951" t="inlineStr">
        <is>
          <t>.</t>
        </is>
      </c>
      <c r="AI951" t="inlineStr">
        <is>
          <t>.</t>
        </is>
      </c>
      <c r="AJ951" t="inlineStr">
        <is>
          <t>.</t>
        </is>
      </c>
      <c r="AK951" t="inlineStr">
        <is>
          <t>.</t>
        </is>
      </c>
      <c r="AL951" t="inlineStr">
        <is>
          <t>.</t>
        </is>
      </c>
    </row>
    <row r="952">
      <c r="A952" t="inlineStr"/>
      <c r="B952">
        <f>HYPERLINK("https://genome.ucsc.edu/cgi-bin/hgTracks?db=hg19&amp;position=chr7%3A55914251%2D55914251", "chr7:55914251")</f>
        <v/>
      </c>
      <c r="C952" t="inlineStr">
        <is>
          <t>chr7</t>
        </is>
      </c>
      <c r="D952" t="n">
        <v>55914251</v>
      </c>
      <c r="E952" t="n">
        <v>55914251</v>
      </c>
      <c r="F952" t="inlineStr">
        <is>
          <t>C</t>
        </is>
      </c>
      <c r="G952" t="inlineStr">
        <is>
          <t>G</t>
        </is>
      </c>
      <c r="H952" t="inlineStr">
        <is>
          <t>439.64</t>
        </is>
      </c>
      <c r="I952" t="inlineStr">
        <is>
          <t>51</t>
        </is>
      </c>
      <c r="J952" t="inlineStr">
        <is>
          <t>30,21</t>
        </is>
      </c>
      <c r="K952" t="inlineStr">
        <is>
          <t>.</t>
        </is>
      </c>
      <c r="L952">
        <f>HYPERLINK("https://www.ncbi.nlm.nih.gov/snp/rs146350220", "rs146350220")</f>
        <v/>
      </c>
      <c r="M952">
        <f>HYPERLINK("https://www.genecards.org/Search/Keyword?queryString=%5Baliases%5D(%20SEPT14%20)%20OR%20%5Baliases%5D(%20SEPTIN14%20)&amp;keywords=SEPT14,SEPTIN14", "SEPT14;SEPTIN14")</f>
        <v/>
      </c>
      <c r="N952" t="inlineStr">
        <is>
          <t>exonic</t>
        </is>
      </c>
      <c r="O952" t="inlineStr">
        <is>
          <t>nonsynonymous SNV</t>
        </is>
      </c>
      <c r="P952" t="inlineStr">
        <is>
          <t>SEPTIN14:NM_207366:exon3:c.G134C:p.R45T;SEPT14:uc003tqz.2:exon3:c.G134C:p.R45T;SEPTIN14:ENST00000388975.4_5:exon3:c.G134C:p.R45T</t>
        </is>
      </c>
      <c r="Q952" t="n">
        <v>0.0235</v>
      </c>
      <c r="R952" t="n">
        <v>0.0032</v>
      </c>
      <c r="S952" t="n">
        <v>0.0037</v>
      </c>
      <c r="T952" t="n">
        <v>-1</v>
      </c>
      <c r="U952" t="n">
        <v>0.0041</v>
      </c>
      <c r="V952" t="inlineStr">
        <is>
          <t>5/10</t>
        </is>
      </c>
      <c r="W952" t="inlineStr">
        <is>
          <t>.</t>
        </is>
      </c>
      <c r="X952" t="inlineStr">
        <is>
          <t>.</t>
        </is>
      </c>
      <c r="Y952" t="inlineStr">
        <is>
          <t>.</t>
        </is>
      </c>
      <c r="Z952" t="inlineStr">
        <is>
          <t>0/7</t>
        </is>
      </c>
      <c r="AA952" t="inlineStr">
        <is>
          <t>Uncertain significance</t>
        </is>
      </c>
      <c r="AB952" t="inlineStr">
        <is>
          <t>.</t>
        </is>
      </c>
      <c r="AC952" t="inlineStr">
        <is>
          <t>0/1</t>
        </is>
      </c>
      <c r="AD952" t="inlineStr">
        <is>
          <t>1;1</t>
        </is>
      </c>
      <c r="AE952" t="inlineStr">
        <is>
          <t>4.96607463060426e-05</t>
        </is>
      </c>
      <c r="AF952" t="inlineStr">
        <is>
          <t>septin 14</t>
        </is>
      </c>
      <c r="AG952" t="inlineStr">
        <is>
          <t xml:space="preserve">FUNCTION: Filament-forming cytoskeletal GTPase (By similarity). May play a role in cytokinesis (Potential). {ECO:0000250, ECO:0000305}.; </t>
        </is>
      </c>
      <c r="AH952" t="inlineStr">
        <is>
          <t>.</t>
        </is>
      </c>
      <c r="AI952" t="inlineStr">
        <is>
          <t>.</t>
        </is>
      </c>
      <c r="AJ952" t="inlineStr">
        <is>
          <t>.</t>
        </is>
      </c>
      <c r="AK952" t="inlineStr">
        <is>
          <t>.</t>
        </is>
      </c>
      <c r="AL952" t="inlineStr">
        <is>
          <t>.</t>
        </is>
      </c>
    </row>
    <row r="953">
      <c r="A953" t="inlineStr"/>
      <c r="B953">
        <f>HYPERLINK("https://genome.ucsc.edu/cgi-bin/hgTracks?db=hg19&amp;position=chr7%3A65546812%2D65546812", "chr7:65546812")</f>
        <v/>
      </c>
      <c r="C953" t="inlineStr">
        <is>
          <t>chr7</t>
        </is>
      </c>
      <c r="D953" t="n">
        <v>65546812</v>
      </c>
      <c r="E953" t="n">
        <v>65546812</v>
      </c>
      <c r="F953" t="inlineStr">
        <is>
          <t>G</t>
        </is>
      </c>
      <c r="G953" t="inlineStr">
        <is>
          <t>A</t>
        </is>
      </c>
      <c r="H953" t="inlineStr">
        <is>
          <t>1629.64</t>
        </is>
      </c>
      <c r="I953" t="inlineStr">
        <is>
          <t>191</t>
        </is>
      </c>
      <c r="J953" t="inlineStr">
        <is>
          <t>119,72</t>
        </is>
      </c>
      <c r="K953" t="inlineStr">
        <is>
          <t>CM014813</t>
        </is>
      </c>
      <c r="L953">
        <f>HYPERLINK("https://www.ncbi.nlm.nih.gov/snp/rs145138923", "rs145138923")</f>
        <v/>
      </c>
      <c r="M953">
        <f>HYPERLINK("https://www.genecards.org/Search/Keyword?queryString=%5Baliases%5D(%20ASL%20)&amp;keywords=ASL", "ASL")</f>
        <v/>
      </c>
      <c r="N953" t="inlineStr">
        <is>
          <t>exonic</t>
        </is>
      </c>
      <c r="O953" t="inlineStr">
        <is>
          <t>nonsynonymous SNV</t>
        </is>
      </c>
      <c r="P953" t="inlineStr">
        <is>
          <t>ASL:NM_001024943:exon2:c.G35A:p.R12Q,ASL:NM_001024944:exon2:c.G35A:p.R12Q,ASL:NM_001024946:exon2:c.G35A:p.R12Q,ASL:NM_000048:exon3:c.G35A:p.R12Q;ASL:uc003tup.3:exon2:c.G35A:p.R12Q,ASL:uc003tuq.3:exon2:c.G35A:p.R12Q,ASL:uc003tur.3:exon2:c.G35A:p.R12Q,ASL:uc010kzx.2:exon2:c.G35A:p.R12Q,ASL:uc011kdv.1:exon2:c.G35A:p.R12Q,ASL:uc003tuo.3:exon3:c.G35A:p.R12Q,ASL:uc011kdu.1:exon3:c.G35A:p.R12Q;ASL:ENST00000380839.9_2:exon2:c.G35A:p.R12Q,ASL:ENST00000395331.4_2:exon2:c.G35A:p.R12Q,ASL:ENST00000395332.8_2:exon2:c.G35A:p.R12Q,ASL:ENST00000304874.14_3:exon3:c.G35A:p.R12Q,ASL:ENST00000673518.1_1:exon3:c.G35A:p.R12Q</t>
        </is>
      </c>
      <c r="Q953" t="n">
        <v>0.0022</v>
      </c>
      <c r="R953" t="n">
        <v>0.0014</v>
      </c>
      <c r="S953" t="n">
        <v>0.0018</v>
      </c>
      <c r="T953" t="n">
        <v>-1</v>
      </c>
      <c r="U953" t="n">
        <v>0.0041</v>
      </c>
      <c r="V953" t="inlineStr">
        <is>
          <t>10/11</t>
        </is>
      </c>
      <c r="W953" t="inlineStr">
        <is>
          <t>.</t>
        </is>
      </c>
      <c r="X953" t="inlineStr">
        <is>
          <t>.</t>
        </is>
      </c>
      <c r="Y953" t="inlineStr">
        <is>
          <t>.</t>
        </is>
      </c>
      <c r="Z953" t="inlineStr">
        <is>
          <t>5/7</t>
        </is>
      </c>
      <c r="AA953" t="inlineStr">
        <is>
          <t>Uncertain significance</t>
        </is>
      </c>
      <c r="AB953" t="inlineStr">
        <is>
          <t>Pathogenic/Likely_pathogenic</t>
        </is>
      </c>
      <c r="AC953" t="inlineStr">
        <is>
          <t>0/1</t>
        </is>
      </c>
      <c r="AD953" t="inlineStr">
        <is>
          <t>1</t>
        </is>
      </c>
      <c r="AE953" t="inlineStr">
        <is>
          <t>3.8494991468686e-08</t>
        </is>
      </c>
      <c r="AF953" t="inlineStr">
        <is>
          <t>argininosuccinate lyase</t>
        </is>
      </c>
      <c r="AG953" t="inlineStr">
        <is>
          <t>.</t>
        </is>
      </c>
      <c r="AH953" t="inlineStr">
        <is>
          <t xml:space="preserve">DISEASE: Argininosuccinic aciduria (ARGINSA) [MIM:207900]: An autosomal recessive disorder of the urea cycle. The disease is characterized by mental and physical retardation, liver enlargement, skin lesions, dry and brittle hair showing trichorrhexis nodosa microscopically and fluorescing red, convulsions, and episodic unconsciousness. {ECO:0000269|PubMed:12408190, ECO:0000269|PubMed:1705937, ECO:0000269|PubMed:17326097, ECO:0000269|PubMed:2263616, ECO:0000269|PubMed:24166829}. Note=The disease is caused by mutations affecting the gene represented in this entry.; </t>
        </is>
      </c>
      <c r="AI953" t="inlineStr">
        <is>
          <t>.</t>
        </is>
      </c>
      <c r="AJ953" t="inlineStr">
        <is>
          <t>.</t>
        </is>
      </c>
      <c r="AK953" t="inlineStr">
        <is>
          <t>.</t>
        </is>
      </c>
      <c r="AL953" t="inlineStr">
        <is>
          <t>.</t>
        </is>
      </c>
    </row>
    <row r="954">
      <c r="A954" t="inlineStr"/>
      <c r="B954">
        <f>HYPERLINK("https://genome.ucsc.edu/cgi-bin/hgTracks?db=hg19&amp;position=chr7%3A70255639%2D70255639", "chr7:70255639")</f>
        <v/>
      </c>
      <c r="C954" t="inlineStr">
        <is>
          <t>chr7</t>
        </is>
      </c>
      <c r="D954" t="n">
        <v>70255639</v>
      </c>
      <c r="E954" t="n">
        <v>70255639</v>
      </c>
      <c r="F954" t="inlineStr">
        <is>
          <t>G</t>
        </is>
      </c>
      <c r="G954" t="inlineStr">
        <is>
          <t>T</t>
        </is>
      </c>
      <c r="H954" t="inlineStr">
        <is>
          <t>751.64</t>
        </is>
      </c>
      <c r="I954" t="inlineStr">
        <is>
          <t>74</t>
        </is>
      </c>
      <c r="J954" t="inlineStr">
        <is>
          <t>39,35</t>
        </is>
      </c>
      <c r="K954" t="inlineStr">
        <is>
          <t>.</t>
        </is>
      </c>
      <c r="L954">
        <f>HYPERLINK("https://www.ncbi.nlm.nih.gov/snp/rs150926322", "rs150926322")</f>
        <v/>
      </c>
      <c r="M954">
        <f>HYPERLINK("https://www.genecards.org/Search/Keyword?queryString=%5Baliases%5D(%20AUTS2%20)&amp;keywords=AUTS2", "AUTS2")</f>
        <v/>
      </c>
      <c r="N954" t="inlineStr">
        <is>
          <t>exonic</t>
        </is>
      </c>
      <c r="O954" t="inlineStr">
        <is>
          <t>nonsynonymous SNV</t>
        </is>
      </c>
      <c r="P954" t="inlineStr">
        <is>
          <t>AUTS2:NM_001127231:exon18:c.G3365T:p.G1122V,AUTS2:NM_015570:exon19:c.G3437T:p.G1146V;AUTS2:uc011keg.2:exon11:c.G1793T:p.G598V,AUTS2:uc003tvx.4:exon18:c.G3365T:p.G1122V,AUTS2:uc003tvw.4:exon19:c.G3437T:p.G1146V;AUTS2:ENST00000615871.4_1:exon13:c.G2621T:p.G874V,AUTS2:ENST00000611706.4_1:exon14:c.G2693T:p.G898V,AUTS2:ENST00000644359.1_7:exon14:c.G2018T:p.G673V,AUTS2:ENST00000644506.1_7:exon15:c.G2063T:p.G688V,AUTS2:ENST00000406775.6_6:exon18:c.G3365T:p.G1122V,AUTS2:ENST00000342771.10_10:exon19:c.G3437T:p.G1146V,AUTS2:ENST00000644939.1_4:exon19:c.G3434T:p.G1145V</t>
        </is>
      </c>
      <c r="Q954" t="n">
        <v>0.0209</v>
      </c>
      <c r="R954" t="n">
        <v>0.0232</v>
      </c>
      <c r="S954" t="n">
        <v>0.0218</v>
      </c>
      <c r="T954" t="n">
        <v>-1</v>
      </c>
      <c r="U954" t="n">
        <v>0.0348</v>
      </c>
      <c r="V954" t="inlineStr">
        <is>
          <t>3/10</t>
        </is>
      </c>
      <c r="W954" t="inlineStr">
        <is>
          <t>.</t>
        </is>
      </c>
      <c r="X954" t="inlineStr">
        <is>
          <t>.</t>
        </is>
      </c>
      <c r="Y954" t="inlineStr">
        <is>
          <t>.</t>
        </is>
      </c>
      <c r="Z954" t="inlineStr">
        <is>
          <t>0/7</t>
        </is>
      </c>
      <c r="AA954" t="inlineStr">
        <is>
          <t>Benign</t>
        </is>
      </c>
      <c r="AB954" t="inlineStr">
        <is>
          <t>Likely_benign</t>
        </is>
      </c>
      <c r="AC954" t="inlineStr">
        <is>
          <t>0/1</t>
        </is>
      </c>
      <c r="AD954" t="inlineStr">
        <is>
          <t>1</t>
        </is>
      </c>
      <c r="AE954" t="inlineStr">
        <is>
          <t>0.996187482008472</t>
        </is>
      </c>
      <c r="AF954" t="inlineStr">
        <is>
          <t>autism susceptibility candidate 2</t>
        </is>
      </c>
      <c r="AG954" t="inlineStr">
        <is>
          <t>.</t>
        </is>
      </c>
      <c r="AH954" t="inlineStr">
        <is>
          <t>.</t>
        </is>
      </c>
      <c r="AI954" t="inlineStr">
        <is>
          <t>.</t>
        </is>
      </c>
      <c r="AJ954" t="inlineStr">
        <is>
          <t>.</t>
        </is>
      </c>
      <c r="AK954" t="inlineStr">
        <is>
          <t>.</t>
        </is>
      </c>
      <c r="AL954" t="inlineStr">
        <is>
          <t>.</t>
        </is>
      </c>
    </row>
    <row r="955">
      <c r="A955" t="inlineStr"/>
      <c r="B955">
        <f>HYPERLINK("https://genome.ucsc.edu/cgi-bin/hgTracks?db=hg19&amp;position=chr7%3A74608659%2D74608659", "chr7:74608659")</f>
        <v/>
      </c>
      <c r="C955" t="inlineStr">
        <is>
          <t>chr7</t>
        </is>
      </c>
      <c r="D955" t="n">
        <v>74608659</v>
      </c>
      <c r="E955" t="n">
        <v>74608659</v>
      </c>
      <c r="F955" t="inlineStr">
        <is>
          <t>T</t>
        </is>
      </c>
      <c r="G955" t="inlineStr">
        <is>
          <t>-</t>
        </is>
      </c>
      <c r="H955" t="inlineStr">
        <is>
          <t>124.60</t>
        </is>
      </c>
      <c r="I955" t="inlineStr">
        <is>
          <t>16</t>
        </is>
      </c>
      <c r="J955" t="inlineStr">
        <is>
          <t>12,4</t>
        </is>
      </c>
      <c r="K955" t="inlineStr">
        <is>
          <t>.</t>
        </is>
      </c>
      <c r="L955">
        <f>HYPERLINK("https://www.ncbi.nlm.nih.gov/snp/rs879985268", "rs879985268")</f>
        <v/>
      </c>
      <c r="M955">
        <f>HYPERLINK("https://www.genecards.org/Search/Keyword?queryString=%5Baliases%5D(%20GTF2IP1%20)%20OR%20%5Baliases%5D(%20GTF2IP4%20)%20OR%20%5Baliases%5D(%20LOC100093631%20)&amp;keywords=GTF2IP1,GTF2IP4,LOC100093631", "GTF2IP1;GTF2IP4;LOC100093631")</f>
        <v/>
      </c>
      <c r="N955" t="inlineStr">
        <is>
          <t>exonic;intergenic;ncRNA_exonic</t>
        </is>
      </c>
      <c r="O955" t="inlineStr">
        <is>
          <t>frameshift deletion</t>
        </is>
      </c>
      <c r="P955" t="inlineStr">
        <is>
          <t>GTF2IP1:uc003ubw.2:exon18:c.1196delA:p.Q399Rfs*2,LOC100093631:uc003ubx.4:exon18:c.1196delA:p.Q399Rfs*2;dist=43036;dist=32494</t>
        </is>
      </c>
      <c r="Q955" t="n">
        <v>0.0275</v>
      </c>
      <c r="R955" t="n">
        <v>0.0196</v>
      </c>
      <c r="S955" t="n">
        <v>0.0174</v>
      </c>
      <c r="T955" t="n">
        <v>-1</v>
      </c>
      <c r="U955" t="n">
        <v>0.0182</v>
      </c>
      <c r="V955" t="inlineStr">
        <is>
          <t>.</t>
        </is>
      </c>
      <c r="W955" t="inlineStr">
        <is>
          <t>.</t>
        </is>
      </c>
      <c r="X955" t="inlineStr">
        <is>
          <t>.</t>
        </is>
      </c>
      <c r="Y955" t="inlineStr">
        <is>
          <t>.</t>
        </is>
      </c>
      <c r="Z955" t="inlineStr">
        <is>
          <t>.</t>
        </is>
      </c>
      <c r="AA955" t="inlineStr">
        <is>
          <t>.</t>
        </is>
      </c>
      <c r="AB955" t="inlineStr">
        <is>
          <t>.</t>
        </is>
      </c>
      <c r="AC955" t="inlineStr">
        <is>
          <t>.</t>
        </is>
      </c>
      <c r="AD955" t="inlineStr">
        <is>
          <t>1;1;1</t>
        </is>
      </c>
      <c r="AE955" t="inlineStr">
        <is>
          <t>.</t>
        </is>
      </c>
      <c r="AF955" t="inlineStr">
        <is>
          <t>general transcription factor IIi pseudogene 1;general transcription factor IIi pseudogene 4</t>
        </is>
      </c>
      <c r="AG955" t="inlineStr">
        <is>
          <t>.</t>
        </is>
      </c>
      <c r="AH955" t="inlineStr">
        <is>
          <t>.</t>
        </is>
      </c>
      <c r="AI955" t="inlineStr">
        <is>
          <t>.</t>
        </is>
      </c>
      <c r="AJ955" t="inlineStr">
        <is>
          <t>.</t>
        </is>
      </c>
      <c r="AK955" t="inlineStr">
        <is>
          <t>.</t>
        </is>
      </c>
      <c r="AL955" t="inlineStr">
        <is>
          <t>.</t>
        </is>
      </c>
    </row>
    <row r="956">
      <c r="A956" t="inlineStr"/>
      <c r="B956">
        <f>HYPERLINK("https://genome.ucsc.edu/cgi-bin/hgTracks?db=hg19&amp;position=chr7%3A75511014%2D75511014", "chr7:75511014")</f>
        <v/>
      </c>
      <c r="C956" t="inlineStr">
        <is>
          <t>chr7</t>
        </is>
      </c>
      <c r="D956" t="n">
        <v>75511014</v>
      </c>
      <c r="E956" t="n">
        <v>75511014</v>
      </c>
      <c r="F956" t="inlineStr">
        <is>
          <t>T</t>
        </is>
      </c>
      <c r="G956" t="inlineStr">
        <is>
          <t>A</t>
        </is>
      </c>
      <c r="H956" t="inlineStr">
        <is>
          <t>36.64</t>
        </is>
      </c>
      <c r="I956" t="inlineStr">
        <is>
          <t>12</t>
        </is>
      </c>
      <c r="J956" t="inlineStr">
        <is>
          <t>10,2</t>
        </is>
      </c>
      <c r="K956" t="inlineStr">
        <is>
          <t>.</t>
        </is>
      </c>
      <c r="L956" t="inlineStr">
        <is>
          <t>.</t>
        </is>
      </c>
      <c r="M956">
        <f>HYPERLINK("https://www.genecards.org/Search/Keyword?queryString=%5Baliases%5D(%20RHBDD2%20)&amp;keywords=RHBDD2", "RHBDD2")</f>
        <v/>
      </c>
      <c r="N956" t="inlineStr">
        <is>
          <t>intronic</t>
        </is>
      </c>
      <c r="O956" t="inlineStr">
        <is>
          <t>.</t>
        </is>
      </c>
      <c r="P956" t="inlineStr">
        <is>
          <t>.</t>
        </is>
      </c>
      <c r="Q956" t="n">
        <v>-1</v>
      </c>
      <c r="R956" t="n">
        <v>-1</v>
      </c>
      <c r="S956" t="n">
        <v>-1</v>
      </c>
      <c r="T956" t="n">
        <v>-1</v>
      </c>
      <c r="U956" t="n">
        <v>-1</v>
      </c>
      <c r="V956" t="inlineStr">
        <is>
          <t>.</t>
        </is>
      </c>
      <c r="W956" t="inlineStr">
        <is>
          <t>.</t>
        </is>
      </c>
      <c r="X956" t="inlineStr">
        <is>
          <t>PD</t>
        </is>
      </c>
      <c r="Y956" t="inlineStr">
        <is>
          <t>off</t>
        </is>
      </c>
      <c r="Z956" t="inlineStr">
        <is>
          <t>.</t>
        </is>
      </c>
      <c r="AA956" t="inlineStr">
        <is>
          <t>.</t>
        </is>
      </c>
      <c r="AB956" t="inlineStr">
        <is>
          <t>.</t>
        </is>
      </c>
      <c r="AC956" t="inlineStr">
        <is>
          <t>0/1</t>
        </is>
      </c>
      <c r="AD956" t="inlineStr">
        <is>
          <t>1</t>
        </is>
      </c>
      <c r="AE956" t="inlineStr">
        <is>
          <t>0.646226806703523</t>
        </is>
      </c>
      <c r="AF956" t="inlineStr">
        <is>
          <t>rhomboid domain containing 2</t>
        </is>
      </c>
      <c r="AG956" t="inlineStr">
        <is>
          <t>.</t>
        </is>
      </c>
      <c r="AH956" t="inlineStr">
        <is>
          <t>.</t>
        </is>
      </c>
      <c r="AI956" t="inlineStr">
        <is>
          <t>.</t>
        </is>
      </c>
      <c r="AJ956" t="inlineStr">
        <is>
          <t>.</t>
        </is>
      </c>
      <c r="AK956" t="inlineStr">
        <is>
          <t>.</t>
        </is>
      </c>
      <c r="AL956" t="inlineStr">
        <is>
          <t>.</t>
        </is>
      </c>
    </row>
    <row r="957">
      <c r="A957" t="inlineStr"/>
      <c r="B957">
        <f>HYPERLINK("https://genome.ucsc.edu/cgi-bin/hgTracks?db=hg19&amp;position=chr7%3A76166832%2D76166841", "chr7:76166832")</f>
        <v/>
      </c>
      <c r="C957" t="inlineStr">
        <is>
          <t>chr7</t>
        </is>
      </c>
      <c r="D957" t="n">
        <v>76166832</v>
      </c>
      <c r="E957" t="n">
        <v>76166841</v>
      </c>
      <c r="F957" t="inlineStr">
        <is>
          <t>TTGTCCCAGG</t>
        </is>
      </c>
      <c r="G957" t="inlineStr">
        <is>
          <t>-</t>
        </is>
      </c>
      <c r="H957" t="inlineStr">
        <is>
          <t>40.60</t>
        </is>
      </c>
      <c r="I957" t="inlineStr">
        <is>
          <t>14</t>
        </is>
      </c>
      <c r="J957" t="inlineStr">
        <is>
          <t>12,2</t>
        </is>
      </c>
      <c r="K957" t="inlineStr">
        <is>
          <t>.</t>
        </is>
      </c>
      <c r="L957" t="inlineStr">
        <is>
          <t>.</t>
        </is>
      </c>
      <c r="M957">
        <f>HYPERLINK("https://www.genecards.org/Search/Keyword?queryString=%5Baliases%5D(%20SPDYE16%20)&amp;keywords=SPDYE16", "SPDYE16")</f>
        <v/>
      </c>
      <c r="N957" t="inlineStr">
        <is>
          <t>exonic;intergenic</t>
        </is>
      </c>
      <c r="O957" t="inlineStr">
        <is>
          <t>frameshift deletion</t>
        </is>
      </c>
      <c r="P957" t="inlineStr">
        <is>
          <t>SPDYE16:NM_001351597:exon3:c.518_527del:p.A173Efs*3;dist=3371;dist=11817;SPDYE16:ENST00000515340.2_6:exon3:c.518_527del:p.A173Efs*3,SPDYE16:ENST00000632547.2_6:exon4:c.638_647del:p.A213Efs*3,SPDYE16:ENST00000633306.2_6:exon5:c.638_647del:p.A213Efs*3</t>
        </is>
      </c>
      <c r="Q957" t="n">
        <v>-1</v>
      </c>
      <c r="R957" t="n">
        <v>-1</v>
      </c>
      <c r="S957" t="n">
        <v>-1</v>
      </c>
      <c r="T957" t="n">
        <v>-1</v>
      </c>
      <c r="U957" t="n">
        <v>-1</v>
      </c>
      <c r="V957" t="inlineStr">
        <is>
          <t>.</t>
        </is>
      </c>
      <c r="W957" t="inlineStr">
        <is>
          <t>.</t>
        </is>
      </c>
      <c r="X957" t="inlineStr">
        <is>
          <t>.</t>
        </is>
      </c>
      <c r="Y957" t="inlineStr">
        <is>
          <t>.</t>
        </is>
      </c>
      <c r="Z957" t="inlineStr">
        <is>
          <t>.</t>
        </is>
      </c>
      <c r="AA957" t="inlineStr">
        <is>
          <t>.</t>
        </is>
      </c>
      <c r="AB957" t="inlineStr">
        <is>
          <t>.</t>
        </is>
      </c>
      <c r="AC957" t="inlineStr">
        <is>
          <t>0/1</t>
        </is>
      </c>
      <c r="AD957" t="inlineStr">
        <is>
          <t>1</t>
        </is>
      </c>
      <c r="AE957" t="inlineStr">
        <is>
          <t>.</t>
        </is>
      </c>
      <c r="AF957" t="inlineStr">
        <is>
          <t>speedy/RINGO cell cycle regulator family member E16</t>
        </is>
      </c>
      <c r="AG957" t="inlineStr">
        <is>
          <t>.</t>
        </is>
      </c>
      <c r="AH957" t="inlineStr">
        <is>
          <t>.</t>
        </is>
      </c>
      <c r="AI957" t="inlineStr">
        <is>
          <t>.</t>
        </is>
      </c>
      <c r="AJ957" t="inlineStr">
        <is>
          <t>.</t>
        </is>
      </c>
      <c r="AK957" t="inlineStr">
        <is>
          <t>.</t>
        </is>
      </c>
      <c r="AL957" t="inlineStr">
        <is>
          <t>.</t>
        </is>
      </c>
    </row>
    <row r="958">
      <c r="A958" t="inlineStr"/>
      <c r="B958">
        <f>HYPERLINK("https://genome.ucsc.edu/cgi-bin/hgTracks?db=hg19&amp;position=chr7%3A80433487%2D80433487", "chr7:80433487")</f>
        <v/>
      </c>
      <c r="C958" t="inlineStr">
        <is>
          <t>chr7</t>
        </is>
      </c>
      <c r="D958" t="n">
        <v>80433487</v>
      </c>
      <c r="E958" t="n">
        <v>80433487</v>
      </c>
      <c r="F958" t="inlineStr">
        <is>
          <t>C</t>
        </is>
      </c>
      <c r="G958" t="inlineStr">
        <is>
          <t>A</t>
        </is>
      </c>
      <c r="H958" t="inlineStr">
        <is>
          <t>522.64</t>
        </is>
      </c>
      <c r="I958" t="inlineStr">
        <is>
          <t>122</t>
        </is>
      </c>
      <c r="J958" t="inlineStr">
        <is>
          <t>92,30</t>
        </is>
      </c>
      <c r="K958" t="inlineStr">
        <is>
          <t>.</t>
        </is>
      </c>
      <c r="L958" t="inlineStr">
        <is>
          <t>.</t>
        </is>
      </c>
      <c r="M958">
        <f>HYPERLINK("https://www.genecards.org/Search/Keyword?queryString=%5Baliases%5D(%20SEMA3C%20)&amp;keywords=SEMA3C", "SEMA3C")</f>
        <v/>
      </c>
      <c r="N958" t="inlineStr">
        <is>
          <t>exonic</t>
        </is>
      </c>
      <c r="O958" t="inlineStr">
        <is>
          <t>stopgain</t>
        </is>
      </c>
      <c r="P958" t="inlineStr">
        <is>
          <t>SEMA3C:NM_001350120:exon8:c.G790T:p.E264X,SEMA3C:NM_006379:exon8:c.G736T:p.E246X,SEMA3C:NM_001350121:exon9:c.G562T:p.E188X;SEMA3C:uc011kgx.1:exon5:c.G292T:p.E98X,SEMA3C:uc003uhj.3:exon8:c.G736T:p.E246X,SEMA3C:uc011kgw.2:exon8:c.G790T:p.E264X;SEMA3C:ENST00000265361.8_5:exon8:c.G736T:p.E246X,SEMA3C:ENST00000419255.6_3:exon8:c.G736T:p.E246X</t>
        </is>
      </c>
      <c r="Q958" t="n">
        <v>-1</v>
      </c>
      <c r="R958" t="n">
        <v>-1</v>
      </c>
      <c r="S958" t="n">
        <v>-1</v>
      </c>
      <c r="T958" t="n">
        <v>-1</v>
      </c>
      <c r="U958" t="n">
        <v>-1</v>
      </c>
      <c r="V958" t="inlineStr">
        <is>
          <t>3/3</t>
        </is>
      </c>
      <c r="W958" t="inlineStr">
        <is>
          <t>.</t>
        </is>
      </c>
      <c r="X958" t="inlineStr">
        <is>
          <t>.</t>
        </is>
      </c>
      <c r="Y958" t="inlineStr">
        <is>
          <t>.</t>
        </is>
      </c>
      <c r="Z958" t="inlineStr">
        <is>
          <t>5/7</t>
        </is>
      </c>
      <c r="AA958" t="inlineStr">
        <is>
          <t>Uncertain significance</t>
        </is>
      </c>
      <c r="AB958" t="inlineStr">
        <is>
          <t>.</t>
        </is>
      </c>
      <c r="AC958" t="inlineStr">
        <is>
          <t>0/1</t>
        </is>
      </c>
      <c r="AD958" t="inlineStr">
        <is>
          <t>1</t>
        </is>
      </c>
      <c r="AE958" t="inlineStr">
        <is>
          <t>0.296856253558956</t>
        </is>
      </c>
      <c r="AF958" t="inlineStr">
        <is>
          <t>semaphorin 3C</t>
        </is>
      </c>
      <c r="AG958" t="inlineStr">
        <is>
          <t xml:space="preserve">FUNCTION: Binds to plexin family members and plays an important role in the regulation of developmental processes. Required for normal cardiovascular development during embryogenesis. Functions as attractant for growing axons, and thereby plays an important role in axon growth and axon guidance (By similarity). {ECO:0000250}.; </t>
        </is>
      </c>
      <c r="AH958" t="inlineStr">
        <is>
          <t>.</t>
        </is>
      </c>
      <c r="AI958" t="inlineStr">
        <is>
          <t>.</t>
        </is>
      </c>
      <c r="AJ958" t="inlineStr">
        <is>
          <t>.</t>
        </is>
      </c>
      <c r="AK958" t="inlineStr">
        <is>
          <t>.</t>
        </is>
      </c>
      <c r="AL958" t="inlineStr">
        <is>
          <t>.</t>
        </is>
      </c>
    </row>
    <row r="959">
      <c r="A959" t="inlineStr"/>
      <c r="B959">
        <f>HYPERLINK("https://genome.ucsc.edu/cgi-bin/hgTracks?db=hg19&amp;position=chr7%3A82544404%2D82544404", "chr7:82544404")</f>
        <v/>
      </c>
      <c r="C959" t="inlineStr">
        <is>
          <t>chr7</t>
        </is>
      </c>
      <c r="D959" t="n">
        <v>82544404</v>
      </c>
      <c r="E959" t="n">
        <v>82544404</v>
      </c>
      <c r="F959" t="inlineStr">
        <is>
          <t>C</t>
        </is>
      </c>
      <c r="G959" t="inlineStr">
        <is>
          <t>T</t>
        </is>
      </c>
      <c r="H959" t="inlineStr">
        <is>
          <t>122.64</t>
        </is>
      </c>
      <c r="I959" t="inlineStr">
        <is>
          <t>86</t>
        </is>
      </c>
      <c r="J959" t="inlineStr">
        <is>
          <t>72,14</t>
        </is>
      </c>
      <c r="K959" t="inlineStr">
        <is>
          <t>.</t>
        </is>
      </c>
      <c r="L959" t="inlineStr">
        <is>
          <t>.</t>
        </is>
      </c>
      <c r="M959">
        <f>HYPERLINK("https://www.genecards.org/Search/Keyword?queryString=%5Baliases%5D(%20PCLO%20)&amp;keywords=PCLO", "PCLO")</f>
        <v/>
      </c>
      <c r="N959" t="inlineStr">
        <is>
          <t>exonic</t>
        </is>
      </c>
      <c r="O959" t="inlineStr">
        <is>
          <t>nonsynonymous SNV</t>
        </is>
      </c>
      <c r="P959" t="inlineStr">
        <is>
          <t>PCLO:NM_014510:exon7:c.G12898A:p.G4300R,PCLO:NM_033026:exon7:c.G12898A:p.G4300R;PCLO:uc010lec.3:exon2:c.G3793A:p.G1265R,PCLO:uc003uhv.2:exon7:c.G12898A:p.G4300R,PCLO:uc003uhx.2:exon7:c.G12898A:p.G4300R;PCLO:ENST00000437081.1_3:exon2:c.G3058A:p.G1020R,PCLO:ENST00000333891.14_5:exon7:c.G12898A:p.G4300R,PCLO:ENST00000423517.6_3:exon7:c.G12898A:p.G4300R</t>
        </is>
      </c>
      <c r="Q959" t="n">
        <v>-1</v>
      </c>
      <c r="R959" t="n">
        <v>-1</v>
      </c>
      <c r="S959" t="n">
        <v>-1</v>
      </c>
      <c r="T959" t="n">
        <v>-1</v>
      </c>
      <c r="U959" t="n">
        <v>-1</v>
      </c>
      <c r="V959" t="inlineStr">
        <is>
          <t>6/10</t>
        </is>
      </c>
      <c r="W959" t="inlineStr">
        <is>
          <t>.</t>
        </is>
      </c>
      <c r="X959" t="inlineStr">
        <is>
          <t>.</t>
        </is>
      </c>
      <c r="Y959" t="inlineStr">
        <is>
          <t>.</t>
        </is>
      </c>
      <c r="Z959" t="inlineStr">
        <is>
          <t>5/7</t>
        </is>
      </c>
      <c r="AA959" t="inlineStr">
        <is>
          <t>Uncertain significance</t>
        </is>
      </c>
      <c r="AB959" t="inlineStr">
        <is>
          <t>.</t>
        </is>
      </c>
      <c r="AC959" t="inlineStr">
        <is>
          <t>0/1</t>
        </is>
      </c>
      <c r="AD959" t="inlineStr">
        <is>
          <t>2</t>
        </is>
      </c>
      <c r="AE959" t="inlineStr">
        <is>
          <t>0.999999999988929</t>
        </is>
      </c>
      <c r="AF959" t="inlineStr">
        <is>
          <t>piccolo presynaptic cytomatrix protein</t>
        </is>
      </c>
      <c r="AG959" t="inlineStr">
        <is>
          <t xml:space="preserve">FUNCTION: May act as a scaffolding protein involved in the organization of synaptic active zones and in synaptic vesicle trafficking. {ECO:0000250|UniProtKB:Q9QYX7}.; </t>
        </is>
      </c>
      <c r="AH959" t="inlineStr">
        <is>
          <t xml:space="preserve">DISEASE: Pontocerebellar hypoplasia 3 (PCH3) [MIM:608027]: A form of pontocerebellar hypoplasia, a disorder characterized by structural defects of the pons and cerebellum. Brain MRI shows an abnormally small cerebellum and brainstem, decreased cerebral white matter, and a thin corpus callosum. PCH3 features include seizures, short stature, optic atrophy, progressive microcephaly, severe developmental delay. {ECO:0000269|PubMed:25832664}. Note=The disease is caused by mutations affecting the gene represented in this entry.; </t>
        </is>
      </c>
      <c r="AI959" t="inlineStr">
        <is>
          <t>.</t>
        </is>
      </c>
      <c r="AJ959" t="inlineStr">
        <is>
          <t>.</t>
        </is>
      </c>
      <c r="AK959" t="inlineStr">
        <is>
          <t>.</t>
        </is>
      </c>
      <c r="AL959" t="inlineStr">
        <is>
          <t>.</t>
        </is>
      </c>
    </row>
    <row r="960">
      <c r="A960" t="inlineStr"/>
      <c r="B960">
        <f>HYPERLINK("https://genome.ucsc.edu/cgi-bin/hgTracks?db=hg19&amp;position=chr7%3A82581620%2D82581620", "chr7:82581620")</f>
        <v/>
      </c>
      <c r="C960" t="inlineStr">
        <is>
          <t>chr7</t>
        </is>
      </c>
      <c r="D960" t="n">
        <v>82581620</v>
      </c>
      <c r="E960" t="n">
        <v>82581620</v>
      </c>
      <c r="F960" t="inlineStr">
        <is>
          <t>C</t>
        </is>
      </c>
      <c r="G960" t="inlineStr">
        <is>
          <t>A</t>
        </is>
      </c>
      <c r="H960" t="inlineStr">
        <is>
          <t>706.64</t>
        </is>
      </c>
      <c r="I960" t="inlineStr">
        <is>
          <t>100</t>
        </is>
      </c>
      <c r="J960" t="inlineStr">
        <is>
          <t>65,35</t>
        </is>
      </c>
      <c r="K960" t="inlineStr">
        <is>
          <t>.</t>
        </is>
      </c>
      <c r="L960" t="inlineStr">
        <is>
          <t>.</t>
        </is>
      </c>
      <c r="M960">
        <f>HYPERLINK("https://www.genecards.org/Search/Keyword?queryString=%5Baliases%5D(%20PCLO%20)&amp;keywords=PCLO", "PCLO")</f>
        <v/>
      </c>
      <c r="N960" t="inlineStr">
        <is>
          <t>exonic</t>
        </is>
      </c>
      <c r="O960" t="inlineStr">
        <is>
          <t>nonsynonymous SNV</t>
        </is>
      </c>
      <c r="P960" t="inlineStr">
        <is>
          <t>PCLO:NM_014510:exon5:c.G8649T:p.W2883C,PCLO:NM_033026:exon5:c.G8649T:p.W2883C;PCLO:uc003uhv.2:exon5:c.G8649T:p.W2883C,PCLO:uc003uhx.2:exon5:c.G8649T:p.W2883C;PCLO:ENST00000333891.14_5:exon5:c.G8649T:p.W2883C,PCLO:ENST00000423517.6_3:exon5:c.G8649T:p.W2883C</t>
        </is>
      </c>
      <c r="Q960" t="n">
        <v>-1</v>
      </c>
      <c r="R960" t="n">
        <v>-1</v>
      </c>
      <c r="S960" t="n">
        <v>-1</v>
      </c>
      <c r="T960" t="n">
        <v>-1</v>
      </c>
      <c r="U960" t="n">
        <v>-1</v>
      </c>
      <c r="V960" t="inlineStr">
        <is>
          <t>5/11</t>
        </is>
      </c>
      <c r="W960" t="inlineStr">
        <is>
          <t>.</t>
        </is>
      </c>
      <c r="X960" t="inlineStr">
        <is>
          <t>.</t>
        </is>
      </c>
      <c r="Y960" t="inlineStr">
        <is>
          <t>.</t>
        </is>
      </c>
      <c r="Z960" t="inlineStr">
        <is>
          <t>2/7</t>
        </is>
      </c>
      <c r="AA960" t="inlineStr">
        <is>
          <t>Uncertain significance</t>
        </is>
      </c>
      <c r="AB960" t="inlineStr">
        <is>
          <t>.</t>
        </is>
      </c>
      <c r="AC960" t="inlineStr">
        <is>
          <t>0/1</t>
        </is>
      </c>
      <c r="AD960" t="inlineStr">
        <is>
          <t>2</t>
        </is>
      </c>
      <c r="AE960" t="inlineStr">
        <is>
          <t>0.999999999988929</t>
        </is>
      </c>
      <c r="AF960" t="inlineStr">
        <is>
          <t>piccolo presynaptic cytomatrix protein</t>
        </is>
      </c>
      <c r="AG960" t="inlineStr">
        <is>
          <t xml:space="preserve">FUNCTION: May act as a scaffolding protein involved in the organization of synaptic active zones and in synaptic vesicle trafficking. {ECO:0000250|UniProtKB:Q9QYX7}.; </t>
        </is>
      </c>
      <c r="AH960" t="inlineStr">
        <is>
          <t xml:space="preserve">DISEASE: Pontocerebellar hypoplasia 3 (PCH3) [MIM:608027]: A form of pontocerebellar hypoplasia, a disorder characterized by structural defects of the pons and cerebellum. Brain MRI shows an abnormally small cerebellum and brainstem, decreased cerebral white matter, and a thin corpus callosum. PCH3 features include seizures, short stature, optic atrophy, progressive microcephaly, severe developmental delay. {ECO:0000269|PubMed:25832664}. Note=The disease is caused by mutations affecting the gene represented in this entry.; </t>
        </is>
      </c>
      <c r="AI960" t="inlineStr">
        <is>
          <t>.</t>
        </is>
      </c>
      <c r="AJ960" t="inlineStr">
        <is>
          <t>.</t>
        </is>
      </c>
      <c r="AK960" t="inlineStr">
        <is>
          <t>.</t>
        </is>
      </c>
      <c r="AL960" t="inlineStr">
        <is>
          <t>.</t>
        </is>
      </c>
    </row>
    <row r="961">
      <c r="A961" t="inlineStr"/>
      <c r="B961">
        <f>HYPERLINK("https://genome.ucsc.edu/cgi-bin/hgTracks?db=hg19&amp;position=chr7%3A87778333%2D87778333", "chr7:87778333")</f>
        <v/>
      </c>
      <c r="C961" t="inlineStr">
        <is>
          <t>chr7</t>
        </is>
      </c>
      <c r="D961" t="n">
        <v>87778333</v>
      </c>
      <c r="E961" t="n">
        <v>87778333</v>
      </c>
      <c r="F961" t="inlineStr">
        <is>
          <t>T</t>
        </is>
      </c>
      <c r="G961" t="inlineStr">
        <is>
          <t>G</t>
        </is>
      </c>
      <c r="H961" t="inlineStr">
        <is>
          <t>943.64</t>
        </is>
      </c>
      <c r="I961" t="inlineStr">
        <is>
          <t>83</t>
        </is>
      </c>
      <c r="J961" t="inlineStr">
        <is>
          <t>43,40</t>
        </is>
      </c>
      <c r="K961" t="inlineStr">
        <is>
          <t>.</t>
        </is>
      </c>
      <c r="L961">
        <f>HYPERLINK("https://www.ncbi.nlm.nih.gov/snp/rs200566855", "rs200566855")</f>
        <v/>
      </c>
      <c r="M961">
        <f>HYPERLINK("https://www.genecards.org/Search/Keyword?queryString=%5Baliases%5D(%20ADAM22%20)&amp;keywords=ADAM22", "ADAM22")</f>
        <v/>
      </c>
      <c r="N961" t="inlineStr">
        <is>
          <t>exonic</t>
        </is>
      </c>
      <c r="O961" t="inlineStr">
        <is>
          <t>nonsynonymous SNV</t>
        </is>
      </c>
      <c r="P961" t="inlineStr">
        <is>
          <t>ADAM22:NM_001324417:exon18:c.T1524G:p.D508E,ADAM22:NM_001324418:exon18:c.T1527G:p.D509E,ADAM22:NM_001324419:exon18:c.T1524G:p.D508E,ADAM22:NM_001324420:exon18:c.T1527G:p.D509E,ADAM22:NM_001324421:exon18:c.T1527G:p.D509E,ADAM22:NM_004194:exon18:c.T1527G:p.D509E,ADAM22:NM_016351:exon18:c.T1527G:p.D509E,ADAM22:NM_021721:exon18:c.T1527G:p.D509E,ADAM22:NM_021722:exon18:c.T1527G:p.D509E,ADAM22:NM_021723:exon18:c.T1527G:p.D509E;ADAM22:uc003ujp.1:exon17:c.T1683G:p.D561E,ADAM22:uc003ujk.2:exon18:c.T1527G:p.D509E,ADAM22:uc003ujl.2:exon18:c.T1527G:p.D509E,ADAM22:uc003ujm.3:exon18:c.T1527G:p.D509E,ADAM22:uc003ujn.3:exon18:c.T1527G:p.D509E,ADAM22:uc003ujo.3:exon18:c.T1527G:p.D509E;ADAM22:ENST00000265727.11_5:exon18:c.T1527G:p.D509E,ADAM22:ENST00000398201.8_4:exon18:c.T1527G:p.D509E,ADAM22:ENST00000398204.8_3:exon18:c.T1527G:p.D509E,ADAM22:ENST00000398209.7_5:exon18:c.T1527G:p.D509E,ADAM22:ENST00000413139.2_4:exon18:c.T1527G:p.D509E,ADAM22:ENST00000684002.1_4:exon18:c.T1527G:p.D509E</t>
        </is>
      </c>
      <c r="Q961" t="n">
        <v>0.0003</v>
      </c>
      <c r="R961" t="n">
        <v>9.025e-05</v>
      </c>
      <c r="S961" t="n">
        <v>0.0003</v>
      </c>
      <c r="T961" t="n">
        <v>-1</v>
      </c>
      <c r="U961" t="n">
        <v>-1</v>
      </c>
      <c r="V961" t="inlineStr">
        <is>
          <t>4/11</t>
        </is>
      </c>
      <c r="W961" t="inlineStr">
        <is>
          <t>.</t>
        </is>
      </c>
      <c r="X961" t="inlineStr">
        <is>
          <t>.</t>
        </is>
      </c>
      <c r="Y961" t="inlineStr">
        <is>
          <t>.</t>
        </is>
      </c>
      <c r="Z961" t="inlineStr">
        <is>
          <t>0/7</t>
        </is>
      </c>
      <c r="AA961" t="inlineStr">
        <is>
          <t>Uncertain significance</t>
        </is>
      </c>
      <c r="AB961" t="inlineStr">
        <is>
          <t>.</t>
        </is>
      </c>
      <c r="AC961" t="inlineStr">
        <is>
          <t>0/1</t>
        </is>
      </c>
      <c r="AD961" t="inlineStr">
        <is>
          <t>1</t>
        </is>
      </c>
      <c r="AE961" t="inlineStr">
        <is>
          <t>0.999388899396346</t>
        </is>
      </c>
      <c r="AF961" t="inlineStr">
        <is>
          <t>ADAM metallopeptidase domain 22</t>
        </is>
      </c>
      <c r="AG961" t="inlineStr">
        <is>
          <t xml:space="preserve">FUNCTION: Probable ligand for integrin in the brain. This is a non catalytic metalloprotease-like protein (PubMed:19692335). Involved in regulation of cell adhesion and spreading and in inhibition of cell proliferation. Neuronal receptor for LGI1. {ECO:0000269|PubMed:12589811, ECO:0000269|PubMed:15882968, ECO:0000269|PubMed:16385342, ECO:0000269|PubMed:19692335}.; </t>
        </is>
      </c>
      <c r="AH961" t="inlineStr">
        <is>
          <t>.</t>
        </is>
      </c>
      <c r="AI961" t="inlineStr">
        <is>
          <t>.</t>
        </is>
      </c>
      <c r="AJ961" t="inlineStr">
        <is>
          <t>.</t>
        </is>
      </c>
      <c r="AK961" t="inlineStr">
        <is>
          <t>.</t>
        </is>
      </c>
      <c r="AL961" t="inlineStr">
        <is>
          <t>.</t>
        </is>
      </c>
    </row>
    <row r="962">
      <c r="A962" t="inlineStr"/>
      <c r="B962">
        <f>HYPERLINK("https://genome.ucsc.edu/cgi-bin/hgTracks?db=hg19&amp;position=chr7%3A87908723%2D87908723", "chr7:87908723")</f>
        <v/>
      </c>
      <c r="C962" t="inlineStr">
        <is>
          <t>chr7</t>
        </is>
      </c>
      <c r="D962" t="n">
        <v>87908723</v>
      </c>
      <c r="E962" t="n">
        <v>87908723</v>
      </c>
      <c r="F962" t="inlineStr">
        <is>
          <t>G</t>
        </is>
      </c>
      <c r="G962" t="inlineStr">
        <is>
          <t>A</t>
        </is>
      </c>
      <c r="H962" t="inlineStr">
        <is>
          <t>423.64</t>
        </is>
      </c>
      <c r="I962" t="inlineStr">
        <is>
          <t>80</t>
        </is>
      </c>
      <c r="J962" t="inlineStr">
        <is>
          <t>56,24</t>
        </is>
      </c>
      <c r="K962" t="inlineStr">
        <is>
          <t>.</t>
        </is>
      </c>
      <c r="L962" t="inlineStr">
        <is>
          <t>.</t>
        </is>
      </c>
      <c r="M962">
        <f>HYPERLINK("https://www.genecards.org/Search/Keyword?queryString=%5Baliases%5D(%20STEAP4%20)&amp;keywords=STEAP4", "STEAP4")</f>
        <v/>
      </c>
      <c r="N962" t="inlineStr">
        <is>
          <t>exonic</t>
        </is>
      </c>
      <c r="O962" t="inlineStr">
        <is>
          <t>nonsynonymous SNV</t>
        </is>
      </c>
      <c r="P962" t="inlineStr">
        <is>
          <t>STEAP4:NM_001205316:exon4:c.C842T:p.S281L,STEAP4:NM_024636:exon5:c.C1370T:p.S457L,STEAP4:NM_001205315:exon6:c.C1370T:p.S457L;STEAP4:uc010lek.3:exon4:c.C842T:p.S281L,STEAP4:uc003ujs.3:exon5:c.C1370T:p.S457L,STEAP4:uc022agz.1:exon6:c.C1370T:p.S457L;STEAP4:ENST00000301959.9_3:exon4:c.C842T:p.S281L,STEAP4:ENST00000380079.9_6:exon5:c.C1370T:p.S457L</t>
        </is>
      </c>
      <c r="Q962" t="n">
        <v>-1</v>
      </c>
      <c r="R962" t="n">
        <v>-1</v>
      </c>
      <c r="S962" t="n">
        <v>-1</v>
      </c>
      <c r="T962" t="n">
        <v>-1</v>
      </c>
      <c r="U962" t="n">
        <v>-1</v>
      </c>
      <c r="V962" t="inlineStr">
        <is>
          <t>3/12</t>
        </is>
      </c>
      <c r="W962" t="inlineStr">
        <is>
          <t>.</t>
        </is>
      </c>
      <c r="X962" t="inlineStr">
        <is>
          <t>.</t>
        </is>
      </c>
      <c r="Y962" t="inlineStr">
        <is>
          <t>.</t>
        </is>
      </c>
      <c r="Z962" t="inlineStr">
        <is>
          <t>1/7</t>
        </is>
      </c>
      <c r="AA962" t="inlineStr">
        <is>
          <t>Uncertain significance</t>
        </is>
      </c>
      <c r="AB962" t="inlineStr">
        <is>
          <t>.</t>
        </is>
      </c>
      <c r="AC962" t="inlineStr">
        <is>
          <t>0/1</t>
        </is>
      </c>
      <c r="AD962" t="inlineStr">
        <is>
          <t>1</t>
        </is>
      </c>
      <c r="AE962" t="inlineStr">
        <is>
          <t>1.49862010031802e-05</t>
        </is>
      </c>
      <c r="AF962" t="inlineStr">
        <is>
          <t>STEAP4 metalloreductase</t>
        </is>
      </c>
      <c r="AG962" t="inlineStr">
        <is>
          <t xml:space="preserve">FUNCTION: Metalloreductase that has the ability to reduce both Fe(3+) to Fe(2+) and Cu(2+) to Cu(1+). Uses NAD(+) as acceptor. Plays a role in systemic metabolic homeostasis, integrating inflammatory and metabolic responses (By similarity). Associated with obesity and insulin-resistance. Involved in inflammatory arthritis, through the regulation of inflammatory cytokines. Inhibits anchorage-independent cell proliferation. {ECO:0000250, ECO:0000269|PubMed:18381574, ECO:0000269|PubMed:18430367, ECO:0000269|PubMed:19660107, ECO:0000269|PubMed:19787193}.; </t>
        </is>
      </c>
      <c r="AH962" t="inlineStr">
        <is>
          <t>.</t>
        </is>
      </c>
      <c r="AI962" t="inlineStr">
        <is>
          <t>.</t>
        </is>
      </c>
      <c r="AJ962" t="inlineStr">
        <is>
          <t>.</t>
        </is>
      </c>
      <c r="AK962" t="inlineStr">
        <is>
          <t>.</t>
        </is>
      </c>
      <c r="AL962" t="inlineStr">
        <is>
          <t>.</t>
        </is>
      </c>
    </row>
    <row r="963">
      <c r="A963" t="inlineStr"/>
      <c r="B963">
        <f>HYPERLINK("https://genome.ucsc.edu/cgi-bin/hgTracks?db=hg19&amp;position=chr7%3A89856643%2D89856643", "chr7:89856643")</f>
        <v/>
      </c>
      <c r="C963" t="inlineStr">
        <is>
          <t>chr7</t>
        </is>
      </c>
      <c r="D963" t="n">
        <v>89856643</v>
      </c>
      <c r="E963" t="n">
        <v>89856643</v>
      </c>
      <c r="F963" t="inlineStr">
        <is>
          <t>A</t>
        </is>
      </c>
      <c r="G963" t="inlineStr">
        <is>
          <t>G</t>
        </is>
      </c>
      <c r="H963" t="inlineStr">
        <is>
          <t>1503.64</t>
        </is>
      </c>
      <c r="I963" t="inlineStr">
        <is>
          <t>122</t>
        </is>
      </c>
      <c r="J963" t="inlineStr">
        <is>
          <t>58,64</t>
        </is>
      </c>
      <c r="K963" t="inlineStr">
        <is>
          <t>.</t>
        </is>
      </c>
      <c r="L963">
        <f>HYPERLINK("https://www.ncbi.nlm.nih.gov/snp/rs138124501", "rs138124501")</f>
        <v/>
      </c>
      <c r="M963">
        <f>HYPERLINK("https://www.genecards.org/Search/Keyword?queryString=%5Baliases%5D(%20STEAP2%20)&amp;keywords=STEAP2", "STEAP2")</f>
        <v/>
      </c>
      <c r="N963" t="inlineStr">
        <is>
          <t>exonic</t>
        </is>
      </c>
      <c r="O963" t="inlineStr">
        <is>
          <t>nonsynonymous SNV</t>
        </is>
      </c>
      <c r="P963" t="inlineStr">
        <is>
          <t>STEAP2:NM_001244945:exon3:c.A851G:p.Y284C,STEAP2:NM_152999:exon3:c.A851G:p.Y284C,STEAP2:NM_001040665:exon4:c.A851G:p.Y284C,STEAP2:NM_001040666:exon4:c.A851G:p.Y284C,STEAP2:NM_001244944:exon4:c.A851G:p.Y284C,STEAP2:NM_001244946:exon4:c.A851G:p.Y284C;STEAP2:uc003ujy.2:exon3:c.A977G:p.Y326C,STEAP2:uc003ujz.3:exon3:c.A851G:p.Y284C,STEAP2:uc003uka.3:exon3:c.A851G:p.Y284C,STEAP2:uc003ukb.3:exon4:c.A851G:p.Y284C,STEAP2:uc003ukc.3:exon4:c.A851G:p.Y284C,STEAP2:uc003ukd.3:exon4:c.A851G:p.Y284C,STEAP2:uc010len.3:exon4:c.A851G:p.Y284C;STEAP2:ENST00000287908.7_2:exon3:c.A851G:p.Y284C,STEAP2:ENST00000394626.5_2:exon3:c.A851G:p.Y284C,STEAP2:ENST00000402625.6_2:exon3:c.A851G:p.Y284C,STEAP2:ENST00000394621.7_4:exon4:c.A851G:p.Y284C,STEAP2:ENST00000394622.6_2:exon4:c.A851G:p.Y284C,STEAP2:ENST00000394629.2_2:exon4:c.A851G:p.Y284C,STEAP2:ENST00000394632.5_2:exon4:c.A851G:p.Y284C</t>
        </is>
      </c>
      <c r="Q963" t="n">
        <v>0.013</v>
      </c>
      <c r="R963" t="n">
        <v>0.0098</v>
      </c>
      <c r="S963" t="n">
        <v>0.0091</v>
      </c>
      <c r="T963" t="n">
        <v>-1</v>
      </c>
      <c r="U963" t="n">
        <v>0.0132</v>
      </c>
      <c r="V963" t="inlineStr">
        <is>
          <t>8/10</t>
        </is>
      </c>
      <c r="W963" t="inlineStr">
        <is>
          <t>.</t>
        </is>
      </c>
      <c r="X963" t="inlineStr">
        <is>
          <t>.</t>
        </is>
      </c>
      <c r="Y963" t="inlineStr">
        <is>
          <t>.</t>
        </is>
      </c>
      <c r="Z963" t="inlineStr">
        <is>
          <t>4/7</t>
        </is>
      </c>
      <c r="AA963" t="inlineStr">
        <is>
          <t>Uncertain significance</t>
        </is>
      </c>
      <c r="AB963" t="inlineStr">
        <is>
          <t>.</t>
        </is>
      </c>
      <c r="AC963" t="inlineStr">
        <is>
          <t>0/1</t>
        </is>
      </c>
      <c r="AD963" t="inlineStr">
        <is>
          <t>1</t>
        </is>
      </c>
      <c r="AE963" t="inlineStr">
        <is>
          <t>0.00244974706931913</t>
        </is>
      </c>
      <c r="AF963" t="inlineStr">
        <is>
          <t>STEAP2 metalloreductase</t>
        </is>
      </c>
      <c r="AG963" t="inlineStr">
        <is>
          <t xml:space="preserve">FUNCTION: Metalloreductase that has the ability to reduce both Fe(3+) to Fe(2+) and Cu(2+) to Cu(1+). Uses NAD(+) as acceptor (By similarity). {ECO:0000250}.; </t>
        </is>
      </c>
      <c r="AH963" t="inlineStr">
        <is>
          <t>.</t>
        </is>
      </c>
      <c r="AI963" t="inlineStr">
        <is>
          <t>.</t>
        </is>
      </c>
      <c r="AJ963" t="inlineStr">
        <is>
          <t>.</t>
        </is>
      </c>
      <c r="AK963" t="inlineStr">
        <is>
          <t>.</t>
        </is>
      </c>
      <c r="AL963" t="inlineStr">
        <is>
          <t>.</t>
        </is>
      </c>
    </row>
    <row r="964">
      <c r="A964" t="inlineStr"/>
      <c r="B964">
        <f>HYPERLINK("https://genome.ucsc.edu/cgi-bin/hgTracks?db=hg19&amp;position=chr7%3A97365581%2D97365581", "chr7:97365581")</f>
        <v/>
      </c>
      <c r="C964" t="inlineStr">
        <is>
          <t>chr7</t>
        </is>
      </c>
      <c r="D964" t="n">
        <v>97365581</v>
      </c>
      <c r="E964" t="n">
        <v>97365581</v>
      </c>
      <c r="F964" t="inlineStr">
        <is>
          <t>A</t>
        </is>
      </c>
      <c r="G964" t="inlineStr">
        <is>
          <t>G</t>
        </is>
      </c>
      <c r="H964" t="inlineStr">
        <is>
          <t>278.64</t>
        </is>
      </c>
      <c r="I964" t="inlineStr">
        <is>
          <t>59</t>
        </is>
      </c>
      <c r="J964" t="inlineStr">
        <is>
          <t>44,15</t>
        </is>
      </c>
      <c r="K964" t="inlineStr">
        <is>
          <t>.</t>
        </is>
      </c>
      <c r="L964" t="inlineStr">
        <is>
          <t>.</t>
        </is>
      </c>
      <c r="M964">
        <f>HYPERLINK("https://www.genecards.org/Search/Keyword?queryString=%5Baliases%5D(%20TAC1%20)&amp;keywords=TAC1", "TAC1")</f>
        <v/>
      </c>
      <c r="N964" t="inlineStr">
        <is>
          <t>intronic</t>
        </is>
      </c>
      <c r="O964" t="inlineStr">
        <is>
          <t>.</t>
        </is>
      </c>
      <c r="P964" t="inlineStr">
        <is>
          <t>.</t>
        </is>
      </c>
      <c r="Q964" t="n">
        <v>-1</v>
      </c>
      <c r="R964" t="n">
        <v>-1</v>
      </c>
      <c r="S964" t="n">
        <v>-1</v>
      </c>
      <c r="T964" t="n">
        <v>-1</v>
      </c>
      <c r="U964" t="n">
        <v>-1</v>
      </c>
      <c r="V964" t="inlineStr">
        <is>
          <t>.</t>
        </is>
      </c>
      <c r="W964" t="inlineStr">
        <is>
          <t>.</t>
        </is>
      </c>
      <c r="X964" t="inlineStr">
        <is>
          <t>D</t>
        </is>
      </c>
      <c r="Y964" t="inlineStr">
        <is>
          <t>off</t>
        </is>
      </c>
      <c r="Z964" t="inlineStr">
        <is>
          <t>.</t>
        </is>
      </c>
      <c r="AA964" t="inlineStr">
        <is>
          <t>.</t>
        </is>
      </c>
      <c r="AB964" t="inlineStr">
        <is>
          <t>.</t>
        </is>
      </c>
      <c r="AC964" t="inlineStr">
        <is>
          <t>0/1</t>
        </is>
      </c>
      <c r="AD964" t="inlineStr">
        <is>
          <t>1</t>
        </is>
      </c>
      <c r="AE964" t="inlineStr">
        <is>
          <t>0.877314614642078</t>
        </is>
      </c>
      <c r="AF964" t="inlineStr">
        <is>
          <t>tachykinin precursor 1</t>
        </is>
      </c>
      <c r="AG964" t="inlineStr">
        <is>
          <t xml:space="preserve">FUNCTION: Tachykinins are active peptides which excite neurons, evoke behavioral responses, are potent vasodilators and secretagogues, and contract (directly or indirectly) many smooth muscles.; </t>
        </is>
      </c>
      <c r="AH964" t="inlineStr">
        <is>
          <t>.</t>
        </is>
      </c>
      <c r="AI964" t="inlineStr">
        <is>
          <t>.</t>
        </is>
      </c>
      <c r="AJ964" t="inlineStr">
        <is>
          <t>.</t>
        </is>
      </c>
      <c r="AK964" t="inlineStr">
        <is>
          <t>.</t>
        </is>
      </c>
      <c r="AL964" t="inlineStr">
        <is>
          <t>.</t>
        </is>
      </c>
    </row>
    <row r="965">
      <c r="A965" t="inlineStr"/>
      <c r="B965">
        <f>HYPERLINK("https://genome.ucsc.edu/cgi-bin/hgTracks?db=hg19&amp;position=chr7%3A97822155%2D97822155", "chr7:97822155")</f>
        <v/>
      </c>
      <c r="C965" t="inlineStr">
        <is>
          <t>chr7</t>
        </is>
      </c>
      <c r="D965" t="n">
        <v>97822155</v>
      </c>
      <c r="E965" t="n">
        <v>97822155</v>
      </c>
      <c r="F965" t="inlineStr">
        <is>
          <t>A</t>
        </is>
      </c>
      <c r="G965" t="inlineStr">
        <is>
          <t>G</t>
        </is>
      </c>
      <c r="H965" t="inlineStr">
        <is>
          <t>1077.64</t>
        </is>
      </c>
      <c r="I965" t="inlineStr">
        <is>
          <t>108</t>
        </is>
      </c>
      <c r="J965" t="inlineStr">
        <is>
          <t>63,45</t>
        </is>
      </c>
      <c r="K965" t="inlineStr">
        <is>
          <t>.</t>
        </is>
      </c>
      <c r="L965">
        <f>HYPERLINK("https://www.ncbi.nlm.nih.gov/snp/rs368742738", "rs368742738")</f>
        <v/>
      </c>
      <c r="M965">
        <f>HYPERLINK("https://www.genecards.org/Search/Keyword?queryString=%5Baliases%5D(%20LMTK2%20)&amp;keywords=LMTK2", "LMTK2")</f>
        <v/>
      </c>
      <c r="N965" t="inlineStr">
        <is>
          <t>exonic</t>
        </is>
      </c>
      <c r="O965" t="inlineStr">
        <is>
          <t>nonsynonymous SNV</t>
        </is>
      </c>
      <c r="P965" t="inlineStr">
        <is>
          <t>LMTK2:NM_014916:exon11:c.A2378G:p.D793G;LMTK2:uc003upd.2:exon11:c.A2378G:p.D793G;LMTK2:ENST00000297293.6_3:exon11:c.A2378G:p.D793G</t>
        </is>
      </c>
      <c r="Q965" t="n">
        <v>0.000821</v>
      </c>
      <c r="R965" t="n">
        <v>9.017e-05</v>
      </c>
      <c r="S965" t="n">
        <v>7.343000000000001e-05</v>
      </c>
      <c r="T965" t="n">
        <v>-1</v>
      </c>
      <c r="U965" t="n">
        <v>-1</v>
      </c>
      <c r="V965" t="inlineStr">
        <is>
          <t>3/11</t>
        </is>
      </c>
      <c r="W965" t="inlineStr">
        <is>
          <t>.</t>
        </is>
      </c>
      <c r="X965" t="inlineStr">
        <is>
          <t>.</t>
        </is>
      </c>
      <c r="Y965" t="inlineStr">
        <is>
          <t>.</t>
        </is>
      </c>
      <c r="Z965" t="inlineStr">
        <is>
          <t>1/7</t>
        </is>
      </c>
      <c r="AA965" t="inlineStr">
        <is>
          <t>Uncertain significance</t>
        </is>
      </c>
      <c r="AB965" t="inlineStr">
        <is>
          <t>.</t>
        </is>
      </c>
      <c r="AC965" t="inlineStr">
        <is>
          <t>0/1</t>
        </is>
      </c>
      <c r="AD965" t="inlineStr">
        <is>
          <t>1</t>
        </is>
      </c>
      <c r="AE965" t="inlineStr">
        <is>
          <t>0.994402282503334</t>
        </is>
      </c>
      <c r="AF965" t="inlineStr">
        <is>
          <t>lemur tyrosine kinase 2</t>
        </is>
      </c>
      <c r="AG965" t="inlineStr">
        <is>
          <t xml:space="preserve">FUNCTION: Phosphorylates PPP1C, phosphorylase b and CFTR.; </t>
        </is>
      </c>
      <c r="AH965" t="inlineStr">
        <is>
          <t>.</t>
        </is>
      </c>
      <c r="AI965" t="inlineStr">
        <is>
          <t>.</t>
        </is>
      </c>
      <c r="AJ965" t="inlineStr">
        <is>
          <t>.</t>
        </is>
      </c>
      <c r="AK965" t="inlineStr">
        <is>
          <t>.</t>
        </is>
      </c>
      <c r="AL965" t="inlineStr">
        <is>
          <t>.</t>
        </is>
      </c>
    </row>
    <row r="966">
      <c r="A966" t="inlineStr"/>
      <c r="B966">
        <f>HYPERLINK("https://genome.ucsc.edu/cgi-bin/hgTracks?db=hg19&amp;position=chr7%3A99704060%2D99704060", "chr7:99704060")</f>
        <v/>
      </c>
      <c r="C966" t="inlineStr">
        <is>
          <t>chr7</t>
        </is>
      </c>
      <c r="D966" t="n">
        <v>99704060</v>
      </c>
      <c r="E966" t="n">
        <v>99704060</v>
      </c>
      <c r="F966" t="inlineStr">
        <is>
          <t>G</t>
        </is>
      </c>
      <c r="G966" t="inlineStr">
        <is>
          <t>C</t>
        </is>
      </c>
      <c r="H966" t="inlineStr">
        <is>
          <t>1199.64</t>
        </is>
      </c>
      <c r="I966" t="inlineStr">
        <is>
          <t>105</t>
        </is>
      </c>
      <c r="J966" t="inlineStr">
        <is>
          <t>56,49</t>
        </is>
      </c>
      <c r="K966" t="inlineStr">
        <is>
          <t>.</t>
        </is>
      </c>
      <c r="L966">
        <f>HYPERLINK("https://www.ncbi.nlm.nih.gov/snp/rs201015648", "rs201015648")</f>
        <v/>
      </c>
      <c r="M966">
        <f>HYPERLINK("https://www.genecards.org/Search/Keyword?queryString=%5Baliases%5D(%20AP4M1%20)&amp;keywords=AP4M1", "AP4M1")</f>
        <v/>
      </c>
      <c r="N966" t="inlineStr">
        <is>
          <t>exonic</t>
        </is>
      </c>
      <c r="O966" t="inlineStr">
        <is>
          <t>nonsynonymous SNV</t>
        </is>
      </c>
      <c r="P966" t="inlineStr">
        <is>
          <t>AP4M1:NM_001363671:exon14:c.G1081C:p.A361P,AP4M1:NM_004722:exon14:c.G1060C:p.A354P;AP4M1:uc003ute.4:exon12:c.G385C:p.A129P,AP4M1:uc003utf.4:exon13:c.G676C:p.A226P,AP4M1:uc011kjh.2:exon13:c.G916C:p.A306P,AP4M1:uc003utb.4:exon14:c.G1060C:p.A354P,AP4M1:uc003utd.3:exon14:c.G1060C:p.A354P,AP4M1:uc010lgl.1:exon14:c.G985C:p.A329P;AP4M1:ENST00000422582.5_1:exon13:c.G676C:p.A226P,AP4M1:ENST00000359593.9_4:exon14:c.G1060C:p.A354P,AP4M1:ENST00000421755.5_2:exon14:c.G1060C:p.A354P,AP4M1:ENST00000429084.5_3:exon14:c.G1081C:p.A361P</t>
        </is>
      </c>
      <c r="Q966" t="n">
        <v>0.0002264</v>
      </c>
      <c r="R966" t="n">
        <v>9.024e-05</v>
      </c>
      <c r="S966" t="n">
        <v>7.346e-05</v>
      </c>
      <c r="T966" t="n">
        <v>-1</v>
      </c>
      <c r="U966" t="n">
        <v>-1</v>
      </c>
      <c r="V966" t="inlineStr">
        <is>
          <t>7/11</t>
        </is>
      </c>
      <c r="W966" t="inlineStr">
        <is>
          <t>.</t>
        </is>
      </c>
      <c r="X966" t="inlineStr">
        <is>
          <t>.</t>
        </is>
      </c>
      <c r="Y966" t="inlineStr">
        <is>
          <t>.</t>
        </is>
      </c>
      <c r="Z966" t="inlineStr">
        <is>
          <t>4/7</t>
        </is>
      </c>
      <c r="AA966" t="inlineStr">
        <is>
          <t>Uncertain significance</t>
        </is>
      </c>
      <c r="AB966" t="inlineStr">
        <is>
          <t>.</t>
        </is>
      </c>
      <c r="AC966" t="inlineStr">
        <is>
          <t>0/1</t>
        </is>
      </c>
      <c r="AD966" t="inlineStr">
        <is>
          <t>1</t>
        </is>
      </c>
      <c r="AE966" t="inlineStr">
        <is>
          <t>2.36166196366206e-11</t>
        </is>
      </c>
      <c r="AF966" t="inlineStr">
        <is>
          <t>adaptor related protein complex 4 mu 1 subunit</t>
        </is>
      </c>
      <c r="AG966" t="inlineStr">
        <is>
          <t xml:space="preserve">FUNCTION: Component of the AP-4 complex, a novel type of clathrin- or non-clathrin-associated protein coat involved in targeting proteins from the trans-Golgi network (TGN) to the endosomal- lysosomal system. Plays a role in the intracellular trafficking of APP from the trans-Golgi network (TGN) to endosomes, and thereby inhibits amyloidogenic processing of APP. {ECO:0000269|PubMed:11139587, ECO:0000269|PubMed:20230749}.; </t>
        </is>
      </c>
      <c r="AH966" t="inlineStr">
        <is>
          <t>.</t>
        </is>
      </c>
      <c r="AI966" t="inlineStr">
        <is>
          <t>.</t>
        </is>
      </c>
      <c r="AJ966" t="inlineStr">
        <is>
          <t>.</t>
        </is>
      </c>
      <c r="AK966" t="inlineStr">
        <is>
          <t>.</t>
        </is>
      </c>
      <c r="AL966" t="inlineStr">
        <is>
          <t>.</t>
        </is>
      </c>
    </row>
    <row r="967">
      <c r="A967" t="inlineStr"/>
      <c r="B967">
        <f>HYPERLINK("https://genome.ucsc.edu/cgi-bin/hgTracks?db=hg19&amp;position=chr7%3A99809033%2D99809033", "chr7:99809033")</f>
        <v/>
      </c>
      <c r="C967" t="inlineStr">
        <is>
          <t>chr7</t>
        </is>
      </c>
      <c r="D967" t="n">
        <v>99809033</v>
      </c>
      <c r="E967" t="n">
        <v>99809033</v>
      </c>
      <c r="F967" t="inlineStr">
        <is>
          <t>A</t>
        </is>
      </c>
      <c r="G967" t="inlineStr">
        <is>
          <t>G</t>
        </is>
      </c>
      <c r="H967" t="inlineStr">
        <is>
          <t>371.64</t>
        </is>
      </c>
      <c r="I967" t="inlineStr">
        <is>
          <t>44</t>
        </is>
      </c>
      <c r="J967" t="inlineStr">
        <is>
          <t>25,19</t>
        </is>
      </c>
      <c r="K967" t="inlineStr">
        <is>
          <t>.</t>
        </is>
      </c>
      <c r="L967">
        <f>HYPERLINK("https://www.ncbi.nlm.nih.gov/snp/rs532260477", "rs532260477")</f>
        <v/>
      </c>
      <c r="M967">
        <f>HYPERLINK("https://www.genecards.org/Search/Keyword?queryString=%5Baliases%5D(%20CASTOR3%20)%20OR%20%5Baliases%5D(%20GATS%20)%20OR%20%5Baliases%5D(%20STAG3%20)&amp;keywords=CASTOR3,GATS,STAG3", "CASTOR3;GATS;STAG3")</f>
        <v/>
      </c>
      <c r="N967" t="inlineStr">
        <is>
          <t>intronic;ncRNA_exonic</t>
        </is>
      </c>
      <c r="O967" t="inlineStr">
        <is>
          <t>.</t>
        </is>
      </c>
      <c r="P967" t="inlineStr">
        <is>
          <t>.</t>
        </is>
      </c>
      <c r="Q967" t="n">
        <v>0.002</v>
      </c>
      <c r="R967" t="n">
        <v>-1</v>
      </c>
      <c r="S967" t="n">
        <v>-1</v>
      </c>
      <c r="T967" t="n">
        <v>-1</v>
      </c>
      <c r="U967" t="n">
        <v>-1</v>
      </c>
      <c r="V967" t="inlineStr">
        <is>
          <t>.</t>
        </is>
      </c>
      <c r="W967" t="inlineStr">
        <is>
          <t>.</t>
        </is>
      </c>
      <c r="X967" t="inlineStr">
        <is>
          <t>.</t>
        </is>
      </c>
      <c r="Y967" t="inlineStr">
        <is>
          <t>.</t>
        </is>
      </c>
      <c r="Z967" t="inlineStr">
        <is>
          <t>.</t>
        </is>
      </c>
      <c r="AA967" t="inlineStr">
        <is>
          <t>.</t>
        </is>
      </c>
      <c r="AB967" t="inlineStr">
        <is>
          <t>.</t>
        </is>
      </c>
      <c r="AC967" t="inlineStr">
        <is>
          <t>0/1</t>
        </is>
      </c>
      <c r="AD967" t="inlineStr">
        <is>
          <t>1;1;1</t>
        </is>
      </c>
      <c r="AE967" t="inlineStr">
        <is>
          <t>0.000965025102116515;1.10348940584416e-06</t>
        </is>
      </c>
      <c r="AF967" t="inlineStr">
        <is>
          <t>GATS, stromal antigen 3 opposite strand;stromal antigen 3</t>
        </is>
      </c>
      <c r="AG967" t="inlineStr">
        <is>
          <t xml:space="preserve">FUNCTION: Meiosis specific component of cohesin complex. The cohesin complex is required for the cohesion of sister chromatids after DNA replication. The cohesin complex apparently forms a large proteinaceous ring within which sister chromatids can be trapped. At anaphase, the complex is cleaved and dissociates from chromatin, allowing sister chromatids to segregate. The meiosis- specific cohesin complex probably replaces mitosis specific cohesin complex when it dissociates from chromatin during prophase I. {ECO:0000250|UniProtKB:O70576}.; </t>
        </is>
      </c>
      <c r="AH967" t="inlineStr">
        <is>
          <t xml:space="preserve">DISEASE: Premature ovarian failure 8 (POF8) [MIM:615723]: An ovarian disorder defined as the cessation of ovarian function under the age of 40 years. It is characterized by oligomenorrhea or amenorrhea, in the presence of elevated levels of serum gonadotropins and low estradiol. {ECO:0000269|PubMed:24597867, ECO:0000303|PubMed:22428046}. Note=The disease is caused by mutations affecting the gene represented in this entry. A homozygous deletion in STAG3 predicted to result in frameshift and premature truncation, has been shown to be the cause of premature ovarian failure in a large consanguineous family. {ECO:0000269|PubMed:24597867}.; </t>
        </is>
      </c>
      <c r="AI967" t="inlineStr">
        <is>
          <t>.</t>
        </is>
      </c>
      <c r="AJ967" t="inlineStr">
        <is>
          <t>.</t>
        </is>
      </c>
      <c r="AK967" t="inlineStr">
        <is>
          <t>.</t>
        </is>
      </c>
      <c r="AL967" t="inlineStr">
        <is>
          <t>.</t>
        </is>
      </c>
    </row>
    <row r="968">
      <c r="A968" t="inlineStr"/>
      <c r="B968">
        <f>HYPERLINK("https://genome.ucsc.edu/cgi-bin/hgTracks?db=hg19&amp;position=chr7%3A100086595%2D100086595", "chr7:100086595")</f>
        <v/>
      </c>
      <c r="C968" t="inlineStr">
        <is>
          <t>chr7</t>
        </is>
      </c>
      <c r="D968" t="n">
        <v>100086595</v>
      </c>
      <c r="E968" t="n">
        <v>100086595</v>
      </c>
      <c r="F968" t="inlineStr">
        <is>
          <t>G</t>
        </is>
      </c>
      <c r="G968" t="inlineStr">
        <is>
          <t>T</t>
        </is>
      </c>
      <c r="H968" t="inlineStr">
        <is>
          <t>685.64</t>
        </is>
      </c>
      <c r="I968" t="inlineStr">
        <is>
          <t>98</t>
        </is>
      </c>
      <c r="J968" t="inlineStr">
        <is>
          <t>66,32</t>
        </is>
      </c>
      <c r="K968" t="inlineStr">
        <is>
          <t>.</t>
        </is>
      </c>
      <c r="L968" t="inlineStr">
        <is>
          <t>.</t>
        </is>
      </c>
      <c r="M968">
        <f>HYPERLINK("https://www.genecards.org/Search/Keyword?queryString=%5Baliases%5D(%20NYAP1%20)&amp;keywords=NYAP1", "NYAP1")</f>
        <v/>
      </c>
      <c r="N968" t="inlineStr">
        <is>
          <t>exonic</t>
        </is>
      </c>
      <c r="O968" t="inlineStr">
        <is>
          <t>nonsynonymous SNV</t>
        </is>
      </c>
      <c r="P968" t="inlineStr">
        <is>
          <t>NYAP1:NM_173564:exon4:c.G1251T:p.Q417H;NYAP1:uc003uve.2:exon1:c.G597T:p.Q199H,NYAP1:uc003uvd.2:exon4:c.G1251T:p.Q417H;NYAP1:ENST00000454988.1_3:exon2:c.G1080T:p.Q360H,NYAP1:ENST00000300179.7_5:exon4:c.G1251T:p.Q417H</t>
        </is>
      </c>
      <c r="Q968" t="n">
        <v>-1</v>
      </c>
      <c r="R968" t="n">
        <v>-1</v>
      </c>
      <c r="S968" t="n">
        <v>-1</v>
      </c>
      <c r="T968" t="n">
        <v>-1</v>
      </c>
      <c r="U968" t="n">
        <v>-1</v>
      </c>
      <c r="V968" t="inlineStr">
        <is>
          <t>3/12</t>
        </is>
      </c>
      <c r="W968" t="inlineStr">
        <is>
          <t>.</t>
        </is>
      </c>
      <c r="X968" t="inlineStr">
        <is>
          <t>.</t>
        </is>
      </c>
      <c r="Y968" t="inlineStr">
        <is>
          <t>.</t>
        </is>
      </c>
      <c r="Z968" t="inlineStr">
        <is>
          <t>0/7</t>
        </is>
      </c>
      <c r="AA968" t="inlineStr">
        <is>
          <t>Uncertain significance</t>
        </is>
      </c>
      <c r="AB968" t="inlineStr">
        <is>
          <t>.</t>
        </is>
      </c>
      <c r="AC968" t="inlineStr">
        <is>
          <t>0/1</t>
        </is>
      </c>
      <c r="AD968" t="inlineStr">
        <is>
          <t>1</t>
        </is>
      </c>
      <c r="AE968" t="inlineStr">
        <is>
          <t>0.990932129553248</t>
        </is>
      </c>
      <c r="AF968" t="inlineStr">
        <is>
          <t>neuronal tyrosine phosphorylated phosphoinositide-3-kinase adaptor 1</t>
        </is>
      </c>
      <c r="AG968" t="inlineStr">
        <is>
          <t xml:space="preserve">FUNCTION: Activates PI3K and concomitantly recruits the WAVE1 complex to the close vicinity of PI3K and regulates neuronal morphogenesis. {ECO:0000250}.; </t>
        </is>
      </c>
      <c r="AH968" t="inlineStr">
        <is>
          <t>.</t>
        </is>
      </c>
      <c r="AI968" t="inlineStr">
        <is>
          <t>.</t>
        </is>
      </c>
      <c r="AJ968" t="inlineStr">
        <is>
          <t>.</t>
        </is>
      </c>
      <c r="AK968" t="inlineStr">
        <is>
          <t>.</t>
        </is>
      </c>
      <c r="AL968" t="inlineStr">
        <is>
          <t>.</t>
        </is>
      </c>
    </row>
    <row r="969">
      <c r="A969" t="inlineStr"/>
      <c r="B969">
        <f>HYPERLINK("https://genome.ucsc.edu/cgi-bin/hgTracks?db=hg19&amp;position=chr7%3A100359648%2D100359648", "chr7:100359648")</f>
        <v/>
      </c>
      <c r="C969" t="inlineStr">
        <is>
          <t>chr7</t>
        </is>
      </c>
      <c r="D969" t="n">
        <v>100359648</v>
      </c>
      <c r="E969" t="n">
        <v>100359648</v>
      </c>
      <c r="F969" t="inlineStr">
        <is>
          <t>G</t>
        </is>
      </c>
      <c r="G969" t="inlineStr">
        <is>
          <t>A</t>
        </is>
      </c>
      <c r="H969" t="inlineStr">
        <is>
          <t>118.64</t>
        </is>
      </c>
      <c r="I969" t="inlineStr">
        <is>
          <t>8</t>
        </is>
      </c>
      <c r="J969" t="inlineStr">
        <is>
          <t>4,4</t>
        </is>
      </c>
      <c r="K969" t="inlineStr">
        <is>
          <t>.</t>
        </is>
      </c>
      <c r="L969" t="inlineStr">
        <is>
          <t>.</t>
        </is>
      </c>
      <c r="M969">
        <f>HYPERLINK("https://www.genecards.org/Search/Keyword?queryString=%5Baliases%5D(%20ZAN%20)&amp;keywords=ZAN", "ZAN")</f>
        <v/>
      </c>
      <c r="N969" t="inlineStr">
        <is>
          <t>intronic</t>
        </is>
      </c>
      <c r="O969" t="inlineStr">
        <is>
          <t>.</t>
        </is>
      </c>
      <c r="P969" t="inlineStr">
        <is>
          <t>.</t>
        </is>
      </c>
      <c r="Q969" t="n">
        <v>-1</v>
      </c>
      <c r="R969" t="n">
        <v>-1</v>
      </c>
      <c r="S969" t="n">
        <v>-1</v>
      </c>
      <c r="T969" t="n">
        <v>-1</v>
      </c>
      <c r="U969" t="n">
        <v>-1</v>
      </c>
      <c r="V969" t="inlineStr">
        <is>
          <t>.</t>
        </is>
      </c>
      <c r="W969" t="inlineStr">
        <is>
          <t>.</t>
        </is>
      </c>
      <c r="X969" t="inlineStr">
        <is>
          <t>D</t>
        </is>
      </c>
      <c r="Y969" t="inlineStr">
        <is>
          <t>off</t>
        </is>
      </c>
      <c r="Z969" t="inlineStr">
        <is>
          <t>.</t>
        </is>
      </c>
      <c r="AA969" t="inlineStr">
        <is>
          <t>.</t>
        </is>
      </c>
      <c r="AB969" t="inlineStr">
        <is>
          <t>.</t>
        </is>
      </c>
      <c r="AC969" t="inlineStr">
        <is>
          <t>0/1</t>
        </is>
      </c>
      <c r="AD969" t="inlineStr">
        <is>
          <t>1</t>
        </is>
      </c>
      <c r="AE969" t="inlineStr">
        <is>
          <t>1.56059061227021e-43</t>
        </is>
      </c>
      <c r="AF969" t="inlineStr">
        <is>
          <t>zonadhesin (gene/pseudogene)</t>
        </is>
      </c>
      <c r="AG969" t="inlineStr">
        <is>
          <t xml:space="preserve">FUNCTION: Binds in a species-specific manner to the zona pellucida of the egg. May be involved in gamete recognition and/or signaling.; </t>
        </is>
      </c>
      <c r="AH969" t="inlineStr">
        <is>
          <t>.</t>
        </is>
      </c>
      <c r="AI969" t="inlineStr">
        <is>
          <t>.</t>
        </is>
      </c>
      <c r="AJ969" t="inlineStr">
        <is>
          <t>.</t>
        </is>
      </c>
      <c r="AK969" t="inlineStr">
        <is>
          <t>.</t>
        </is>
      </c>
      <c r="AL969" t="inlineStr">
        <is>
          <t>.</t>
        </is>
      </c>
    </row>
    <row r="970">
      <c r="A970" t="inlineStr"/>
      <c r="B970">
        <f>HYPERLINK("https://genome.ucsc.edu/cgi-bin/hgTracks?db=hg19&amp;position=chr7%3A100616151%2D100616151", "chr7:100616151")</f>
        <v/>
      </c>
      <c r="C970" t="inlineStr">
        <is>
          <t>chr7</t>
        </is>
      </c>
      <c r="D970" t="n">
        <v>100616151</v>
      </c>
      <c r="E970" t="n">
        <v>100616151</v>
      </c>
      <c r="F970" t="inlineStr">
        <is>
          <t>G</t>
        </is>
      </c>
      <c r="G970" t="inlineStr">
        <is>
          <t>A</t>
        </is>
      </c>
      <c r="H970" t="inlineStr">
        <is>
          <t>599.64</t>
        </is>
      </c>
      <c r="I970" t="inlineStr">
        <is>
          <t>127</t>
        </is>
      </c>
      <c r="J970" t="inlineStr">
        <is>
          <t>105,22</t>
        </is>
      </c>
      <c r="K970" t="inlineStr">
        <is>
          <t>.</t>
        </is>
      </c>
      <c r="L970">
        <f>HYPERLINK("https://www.ncbi.nlm.nih.gov/snp/rs78669523", "rs78669523")</f>
        <v/>
      </c>
      <c r="M970">
        <f>HYPERLINK("https://www.genecards.org/Search/Keyword?queryString=%5Baliases%5D(%20MUC12%20)&amp;keywords=MUC12", "MUC12")</f>
        <v/>
      </c>
      <c r="N970" t="inlineStr">
        <is>
          <t>exonic;intronic</t>
        </is>
      </c>
      <c r="O970" t="inlineStr">
        <is>
          <t>stopgain</t>
        </is>
      </c>
      <c r="P970" t="inlineStr">
        <is>
          <t>MUC12:ENST00000379442.7_1:exon3:c.G114A:p.W38X</t>
        </is>
      </c>
      <c r="Q970" t="n">
        <v>0.0069</v>
      </c>
      <c r="R970" t="n">
        <v>0.004</v>
      </c>
      <c r="S970" t="n">
        <v>0.0022</v>
      </c>
      <c r="T970" t="n">
        <v>-1</v>
      </c>
      <c r="U970" t="n">
        <v>0.0031</v>
      </c>
      <c r="V970" t="inlineStr">
        <is>
          <t>1/2</t>
        </is>
      </c>
      <c r="W970" t="inlineStr">
        <is>
          <t>.</t>
        </is>
      </c>
      <c r="X970" t="inlineStr">
        <is>
          <t>.</t>
        </is>
      </c>
      <c r="Y970" t="inlineStr">
        <is>
          <t>.</t>
        </is>
      </c>
      <c r="Z970" t="inlineStr">
        <is>
          <t>0/7</t>
        </is>
      </c>
      <c r="AA970" t="inlineStr">
        <is>
          <t>.</t>
        </is>
      </c>
      <c r="AB970" t="inlineStr">
        <is>
          <t>.</t>
        </is>
      </c>
      <c r="AC970" t="inlineStr">
        <is>
          <t>.</t>
        </is>
      </c>
      <c r="AD970" t="inlineStr">
        <is>
          <t>1</t>
        </is>
      </c>
      <c r="AE970" t="inlineStr">
        <is>
          <t>.</t>
        </is>
      </c>
      <c r="AF970" t="inlineStr">
        <is>
          <t>mucin 12, cell surface associated</t>
        </is>
      </c>
      <c r="AG970" t="inlineStr">
        <is>
          <t xml:space="preserve">FUNCTION: Involved in epithelial cell protection, adhesion modulation, and signaling. May be involved in epithelial cell growth regulation. Stimulated by both cytokine TNF-alpha and TGF- beta in intestinal epithelium. {ECO:0000269|PubMed:17058067}.; </t>
        </is>
      </c>
      <c r="AH970" t="inlineStr">
        <is>
          <t>.</t>
        </is>
      </c>
      <c r="AI970" t="inlineStr">
        <is>
          <t>.</t>
        </is>
      </c>
      <c r="AJ970" t="inlineStr">
        <is>
          <t>.</t>
        </is>
      </c>
      <c r="AK970" t="inlineStr">
        <is>
          <t>.</t>
        </is>
      </c>
      <c r="AL970" t="inlineStr">
        <is>
          <t>.</t>
        </is>
      </c>
    </row>
    <row r="971">
      <c r="A971" t="inlineStr"/>
      <c r="B971">
        <f>HYPERLINK("https://genome.ucsc.edu/cgi-bin/hgTracks?db=hg19&amp;position=chr7%3A105912815%2D105912815", "chr7:105912815")</f>
        <v/>
      </c>
      <c r="C971" t="inlineStr">
        <is>
          <t>chr7</t>
        </is>
      </c>
      <c r="D971" t="n">
        <v>105912815</v>
      </c>
      <c r="E971" t="n">
        <v>105912815</v>
      </c>
      <c r="F971" t="inlineStr">
        <is>
          <t>A</t>
        </is>
      </c>
      <c r="G971" t="inlineStr">
        <is>
          <t>C</t>
        </is>
      </c>
      <c r="H971" t="inlineStr">
        <is>
          <t>58.64</t>
        </is>
      </c>
      <c r="I971" t="inlineStr">
        <is>
          <t>8</t>
        </is>
      </c>
      <c r="J971" t="inlineStr">
        <is>
          <t>6,2</t>
        </is>
      </c>
      <c r="K971" t="inlineStr">
        <is>
          <t>.</t>
        </is>
      </c>
      <c r="L971" t="inlineStr">
        <is>
          <t>.</t>
        </is>
      </c>
      <c r="M971">
        <f>HYPERLINK("https://www.genecards.org/Search/Keyword?queryString=%5Baliases%5D(%20NAMPT%20)&amp;keywords=NAMPT", "NAMPT")</f>
        <v/>
      </c>
      <c r="N971" t="inlineStr">
        <is>
          <t>UTR3;intronic</t>
        </is>
      </c>
      <c r="O971" t="inlineStr">
        <is>
          <t>.</t>
        </is>
      </c>
      <c r="P971" t="inlineStr">
        <is>
          <t>ENST00000441045.6_4:c.*119T&gt;G</t>
        </is>
      </c>
      <c r="Q971" t="n">
        <v>-1</v>
      </c>
      <c r="R971" t="n">
        <v>-1</v>
      </c>
      <c r="S971" t="n">
        <v>-1</v>
      </c>
      <c r="T971" t="n">
        <v>-1</v>
      </c>
      <c r="U971" t="n">
        <v>-1</v>
      </c>
      <c r="V971" t="inlineStr">
        <is>
          <t>.</t>
        </is>
      </c>
      <c r="W971" t="inlineStr">
        <is>
          <t>.</t>
        </is>
      </c>
      <c r="X971" t="inlineStr">
        <is>
          <t>D</t>
        </is>
      </c>
      <c r="Y971" t="inlineStr">
        <is>
          <t>off</t>
        </is>
      </c>
      <c r="Z971" t="inlineStr">
        <is>
          <t>.</t>
        </is>
      </c>
      <c r="AA971" t="inlineStr">
        <is>
          <t>.</t>
        </is>
      </c>
      <c r="AB971" t="inlineStr">
        <is>
          <t>.</t>
        </is>
      </c>
      <c r="AC971" t="inlineStr">
        <is>
          <t>.</t>
        </is>
      </c>
      <c r="AD971" t="inlineStr">
        <is>
          <t>2</t>
        </is>
      </c>
      <c r="AE971" t="inlineStr">
        <is>
          <t>0.982566484474744</t>
        </is>
      </c>
      <c r="AF971" t="inlineStr">
        <is>
          <t>nicotinamide phosphoribosyltransferase</t>
        </is>
      </c>
      <c r="AG971" t="inlineStr">
        <is>
          <t xml:space="preserve">FUNCTION: Catalyzes the condensation of nicotinamide with 5- phosphoribosyl-1-pyrophosphate to yield nicotinamide mononucleotide, an intermediate in the biosynthesis of NAD. It is the rate limiting component in the mammalian NAD biosynthesis pathway. The secreted form behaves both as a cytokine with immunomodulating properties and an adipokine with anti-diabetic properties, it has no enzymatic activity, partly because of lack of activation by ATP, which has a low level in extracellular space and plasma. Plays a role in the modulation of circadian clock function. NAMPT-dependent oscillatory production of NAD regulates oscillation of clock target gene expression by releasing the core clock component: CLOCK-ARNTL/BMAL1 heterodimer from NAD-dependent SIRT1-mediated suppression (By similarity). {ECO:0000250|UniProtKB:Q99KQ4, ECO:0000269|PubMed:24130902}.; </t>
        </is>
      </c>
      <c r="AH971" t="inlineStr">
        <is>
          <t>.</t>
        </is>
      </c>
      <c r="AI971" t="inlineStr">
        <is>
          <t>.</t>
        </is>
      </c>
      <c r="AJ971" t="inlineStr">
        <is>
          <t>.</t>
        </is>
      </c>
      <c r="AK971" t="inlineStr">
        <is>
          <t>.</t>
        </is>
      </c>
      <c r="AL971" t="inlineStr">
        <is>
          <t>.</t>
        </is>
      </c>
    </row>
    <row r="972">
      <c r="A972" t="inlineStr"/>
      <c r="B972">
        <f>HYPERLINK("https://genome.ucsc.edu/cgi-bin/hgTracks?db=hg19&amp;position=chr7%3A105912816%2D105912816", "chr7:105912816")</f>
        <v/>
      </c>
      <c r="C972" t="inlineStr">
        <is>
          <t>chr7</t>
        </is>
      </c>
      <c r="D972" t="n">
        <v>105912816</v>
      </c>
      <c r="E972" t="n">
        <v>105912816</v>
      </c>
      <c r="F972" t="inlineStr">
        <is>
          <t>T</t>
        </is>
      </c>
      <c r="G972" t="inlineStr">
        <is>
          <t>C</t>
        </is>
      </c>
      <c r="H972" t="inlineStr">
        <is>
          <t>58.64</t>
        </is>
      </c>
      <c r="I972" t="inlineStr">
        <is>
          <t>8</t>
        </is>
      </c>
      <c r="J972" t="inlineStr">
        <is>
          <t>6,2</t>
        </is>
      </c>
      <c r="K972" t="inlineStr">
        <is>
          <t>.</t>
        </is>
      </c>
      <c r="L972" t="inlineStr">
        <is>
          <t>.</t>
        </is>
      </c>
      <c r="M972">
        <f>HYPERLINK("https://www.genecards.org/Search/Keyword?queryString=%5Baliases%5D(%20NAMPT%20)&amp;keywords=NAMPT", "NAMPT")</f>
        <v/>
      </c>
      <c r="N972" t="inlineStr">
        <is>
          <t>UTR3;intronic</t>
        </is>
      </c>
      <c r="O972" t="inlineStr">
        <is>
          <t>.</t>
        </is>
      </c>
      <c r="P972" t="inlineStr">
        <is>
          <t>ENST00000441045.6_4:c.*118A&gt;G</t>
        </is>
      </c>
      <c r="Q972" t="n">
        <v>-1</v>
      </c>
      <c r="R972" t="n">
        <v>-1</v>
      </c>
      <c r="S972" t="n">
        <v>-1</v>
      </c>
      <c r="T972" t="n">
        <v>-1</v>
      </c>
      <c r="U972" t="n">
        <v>-1</v>
      </c>
      <c r="V972" t="inlineStr">
        <is>
          <t>.</t>
        </is>
      </c>
      <c r="W972" t="inlineStr">
        <is>
          <t>.</t>
        </is>
      </c>
      <c r="X972" t="inlineStr">
        <is>
          <t>D</t>
        </is>
      </c>
      <c r="Y972" t="inlineStr">
        <is>
          <t>off</t>
        </is>
      </c>
      <c r="Z972" t="inlineStr">
        <is>
          <t>.</t>
        </is>
      </c>
      <c r="AA972" t="inlineStr">
        <is>
          <t>.</t>
        </is>
      </c>
      <c r="AB972" t="inlineStr">
        <is>
          <t>.</t>
        </is>
      </c>
      <c r="AC972" t="inlineStr">
        <is>
          <t>.</t>
        </is>
      </c>
      <c r="AD972" t="inlineStr">
        <is>
          <t>2</t>
        </is>
      </c>
      <c r="AE972" t="inlineStr">
        <is>
          <t>0.982566484474744</t>
        </is>
      </c>
      <c r="AF972" t="inlineStr">
        <is>
          <t>nicotinamide phosphoribosyltransferase</t>
        </is>
      </c>
      <c r="AG972" t="inlineStr">
        <is>
          <t xml:space="preserve">FUNCTION: Catalyzes the condensation of nicotinamide with 5- phosphoribosyl-1-pyrophosphate to yield nicotinamide mononucleotide, an intermediate in the biosynthesis of NAD. It is the rate limiting component in the mammalian NAD biosynthesis pathway. The secreted form behaves both as a cytokine with immunomodulating properties and an adipokine with anti-diabetic properties, it has no enzymatic activity, partly because of lack of activation by ATP, which has a low level in extracellular space and plasma. Plays a role in the modulation of circadian clock function. NAMPT-dependent oscillatory production of NAD regulates oscillation of clock target gene expression by releasing the core clock component: CLOCK-ARNTL/BMAL1 heterodimer from NAD-dependent SIRT1-mediated suppression (By similarity). {ECO:0000250|UniProtKB:Q99KQ4, ECO:0000269|PubMed:24130902}.; </t>
        </is>
      </c>
      <c r="AH972" t="inlineStr">
        <is>
          <t>.</t>
        </is>
      </c>
      <c r="AI972" t="inlineStr">
        <is>
          <t>.</t>
        </is>
      </c>
      <c r="AJ972" t="inlineStr">
        <is>
          <t>.</t>
        </is>
      </c>
      <c r="AK972" t="inlineStr">
        <is>
          <t>.</t>
        </is>
      </c>
      <c r="AL972" t="inlineStr">
        <is>
          <t>.</t>
        </is>
      </c>
    </row>
    <row r="973">
      <c r="A973" t="inlineStr"/>
      <c r="B973">
        <f>HYPERLINK("https://genome.ucsc.edu/cgi-bin/hgTracks?db=hg19&amp;position=chr7%3A107696359%2D107696359", "chr7:107696359")</f>
        <v/>
      </c>
      <c r="C973" t="inlineStr">
        <is>
          <t>chr7</t>
        </is>
      </c>
      <c r="D973" t="n">
        <v>107696359</v>
      </c>
      <c r="E973" t="n">
        <v>107696359</v>
      </c>
      <c r="F973" t="inlineStr">
        <is>
          <t>C</t>
        </is>
      </c>
      <c r="G973" t="inlineStr">
        <is>
          <t>T</t>
        </is>
      </c>
      <c r="H973" t="inlineStr">
        <is>
          <t>2448.64</t>
        </is>
      </c>
      <c r="I973" t="inlineStr">
        <is>
          <t>180</t>
        </is>
      </c>
      <c r="J973" t="inlineStr">
        <is>
          <t>75,105</t>
        </is>
      </c>
      <c r="K973" t="inlineStr">
        <is>
          <t>.</t>
        </is>
      </c>
      <c r="L973" t="inlineStr">
        <is>
          <t>.</t>
        </is>
      </c>
      <c r="M973">
        <f>HYPERLINK("https://www.genecards.org/Search/Keyword?queryString=%5Baliases%5D(%20LAMB4%20)&amp;keywords=LAMB4", "LAMB4")</f>
        <v/>
      </c>
      <c r="N973" t="inlineStr">
        <is>
          <t>exonic</t>
        </is>
      </c>
      <c r="O973" t="inlineStr">
        <is>
          <t>nonsynonymous SNV</t>
        </is>
      </c>
      <c r="P973" t="inlineStr">
        <is>
          <t>LAMB4:NM_001318046:exon25:c.G3473A:p.C1158Y,LAMB4:NM_007356:exon25:c.G3473A:p.C1158Y;LAMB4:uc010ljp.1:exon4:c.G380A:p.C127Y,LAMB4:uc003vey.2:exon25:c.G3473A:p.C1158Y,LAMB4:uc010ljo.1:exon25:c.G3473A:p.C1158Y;LAMB4:ENST00000205386.8_4:exon25:c.G3473A:p.C1158Y,LAMB4:ENST00000388781.8_6:exon25:c.G3473A:p.C1158Y</t>
        </is>
      </c>
      <c r="Q973" t="n">
        <v>0.0012</v>
      </c>
      <c r="R973" t="n">
        <v>0.0012</v>
      </c>
      <c r="S973" t="n">
        <v>0.0018</v>
      </c>
      <c r="T973" t="n">
        <v>-1</v>
      </c>
      <c r="U973" t="n">
        <v>0.0041</v>
      </c>
      <c r="V973" t="inlineStr">
        <is>
          <t>11/12</t>
        </is>
      </c>
      <c r="W973" t="inlineStr">
        <is>
          <t>.</t>
        </is>
      </c>
      <c r="X973" t="inlineStr">
        <is>
          <t>.</t>
        </is>
      </c>
      <c r="Y973" t="inlineStr">
        <is>
          <t>.</t>
        </is>
      </c>
      <c r="Z973" t="inlineStr">
        <is>
          <t>4/7</t>
        </is>
      </c>
      <c r="AA973" t="inlineStr">
        <is>
          <t>Uncertain significance</t>
        </is>
      </c>
      <c r="AB973" t="inlineStr">
        <is>
          <t>.</t>
        </is>
      </c>
      <c r="AC973" t="inlineStr">
        <is>
          <t>0/1</t>
        </is>
      </c>
      <c r="AD973" t="inlineStr">
        <is>
          <t>2</t>
        </is>
      </c>
      <c r="AE973" t="inlineStr">
        <is>
          <t>3.21022487204354e-30</t>
        </is>
      </c>
      <c r="AF973" t="inlineStr">
        <is>
          <t>laminin subunit beta 4</t>
        </is>
      </c>
      <c r="AG973" t="inlineStr">
        <is>
          <t xml:space="preserve">FUNCTION: Binding to cells via a high affinity receptor, laminin is thought to mediate the attachment, migration and organization of cells into tissues during embryonic development by interacting with other extracellular matrix components.; </t>
        </is>
      </c>
      <c r="AH973" t="inlineStr">
        <is>
          <t>.</t>
        </is>
      </c>
      <c r="AI973" t="inlineStr">
        <is>
          <t>.</t>
        </is>
      </c>
      <c r="AJ973" t="inlineStr">
        <is>
          <t>.</t>
        </is>
      </c>
      <c r="AK973" t="inlineStr">
        <is>
          <t>.</t>
        </is>
      </c>
      <c r="AL973" t="inlineStr">
        <is>
          <t>.</t>
        </is>
      </c>
    </row>
    <row r="974">
      <c r="A974" t="inlineStr"/>
      <c r="B974">
        <f>HYPERLINK("https://genome.ucsc.edu/cgi-bin/hgTracks?db=hg19&amp;position=chr7%3A107748218%2D107748218", "chr7:107748218")</f>
        <v/>
      </c>
      <c r="C974" t="inlineStr">
        <is>
          <t>chr7</t>
        </is>
      </c>
      <c r="D974" t="n">
        <v>107748218</v>
      </c>
      <c r="E974" t="n">
        <v>107748218</v>
      </c>
      <c r="F974" t="inlineStr">
        <is>
          <t>C</t>
        </is>
      </c>
      <c r="G974" t="inlineStr">
        <is>
          <t>T</t>
        </is>
      </c>
      <c r="H974" t="inlineStr">
        <is>
          <t>3897.64</t>
        </is>
      </c>
      <c r="I974" t="inlineStr">
        <is>
          <t>248</t>
        </is>
      </c>
      <c r="J974" t="inlineStr">
        <is>
          <t>98,150</t>
        </is>
      </c>
      <c r="K974" t="inlineStr">
        <is>
          <t>.</t>
        </is>
      </c>
      <c r="L974">
        <f>HYPERLINK("https://www.ncbi.nlm.nih.gov/snp/rs376689524", "rs376689524")</f>
        <v/>
      </c>
      <c r="M974">
        <f>HYPERLINK("https://www.genecards.org/Search/Keyword?queryString=%5Baliases%5D(%20LAMB4%20)&amp;keywords=LAMB4", "LAMB4")</f>
        <v/>
      </c>
      <c r="N974" t="inlineStr">
        <is>
          <t>exonic</t>
        </is>
      </c>
      <c r="O974" t="inlineStr">
        <is>
          <t>nonsynonymous SNV</t>
        </is>
      </c>
      <c r="P974" t="inlineStr">
        <is>
          <t>LAMB4:NM_001318046:exon6:c.G449A:p.G150E,LAMB4:NM_001318047:exon6:c.G449A:p.G150E,LAMB4:NM_001318048:exon6:c.G449A:p.G150E,LAMB4:NM_007356:exon6:c.G449A:p.G150E;LAMB4:uc003vey.2:exon6:c.G449A:p.G150E,LAMB4:uc010ljo.1:exon6:c.G449A:p.G150E;LAMB4:ENST00000205386.8_4:exon6:c.G449A:p.G150E,LAMB4:ENST00000388781.8_6:exon6:c.G449A:p.G150E,LAMB4:ENST00000418464.1_4:exon6:c.G449A:p.G150E</t>
        </is>
      </c>
      <c r="Q974" t="n">
        <v>7.7e-05</v>
      </c>
      <c r="R974" t="n">
        <v>-1</v>
      </c>
      <c r="S974" t="n">
        <v>-1</v>
      </c>
      <c r="T974" t="n">
        <v>-1</v>
      </c>
      <c r="U974" t="n">
        <v>-1</v>
      </c>
      <c r="V974" t="inlineStr">
        <is>
          <t>8/11</t>
        </is>
      </c>
      <c r="W974" t="inlineStr">
        <is>
          <t>.</t>
        </is>
      </c>
      <c r="X974" t="inlineStr">
        <is>
          <t>.</t>
        </is>
      </c>
      <c r="Y974" t="inlineStr">
        <is>
          <t>.</t>
        </is>
      </c>
      <c r="Z974" t="inlineStr">
        <is>
          <t>2/7</t>
        </is>
      </c>
      <c r="AA974" t="inlineStr">
        <is>
          <t>Uncertain significance</t>
        </is>
      </c>
      <c r="AB974" t="inlineStr">
        <is>
          <t>.</t>
        </is>
      </c>
      <c r="AC974" t="inlineStr">
        <is>
          <t>0/1</t>
        </is>
      </c>
      <c r="AD974" t="inlineStr">
        <is>
          <t>2</t>
        </is>
      </c>
      <c r="AE974" t="inlineStr">
        <is>
          <t>3.21022487204354e-30</t>
        </is>
      </c>
      <c r="AF974" t="inlineStr">
        <is>
          <t>laminin subunit beta 4</t>
        </is>
      </c>
      <c r="AG974" t="inlineStr">
        <is>
          <t xml:space="preserve">FUNCTION: Binding to cells via a high affinity receptor, laminin is thought to mediate the attachment, migration and organization of cells into tissues during embryonic development by interacting with other extracellular matrix components.; </t>
        </is>
      </c>
      <c r="AH974" t="inlineStr">
        <is>
          <t>.</t>
        </is>
      </c>
      <c r="AI974" t="inlineStr">
        <is>
          <t>.</t>
        </is>
      </c>
      <c r="AJ974" t="inlineStr">
        <is>
          <t>.</t>
        </is>
      </c>
      <c r="AK974" t="inlineStr">
        <is>
          <t>.</t>
        </is>
      </c>
      <c r="AL974" t="inlineStr">
        <is>
          <t>.</t>
        </is>
      </c>
    </row>
    <row r="975">
      <c r="A975" t="inlineStr"/>
      <c r="B975">
        <f>HYPERLINK("https://genome.ucsc.edu/cgi-bin/hgTracks?db=hg19&amp;position=chr7%3A111368481%2D111368481", "chr7:111368481")</f>
        <v/>
      </c>
      <c r="C975" t="inlineStr">
        <is>
          <t>chr7</t>
        </is>
      </c>
      <c r="D975" t="n">
        <v>111368481</v>
      </c>
      <c r="E975" t="n">
        <v>111368481</v>
      </c>
      <c r="F975" t="inlineStr">
        <is>
          <t>G</t>
        </is>
      </c>
      <c r="G975" t="inlineStr">
        <is>
          <t>A</t>
        </is>
      </c>
      <c r="H975" t="inlineStr">
        <is>
          <t>3568.64</t>
        </is>
      </c>
      <c r="I975" t="inlineStr">
        <is>
          <t>184</t>
        </is>
      </c>
      <c r="J975" t="inlineStr">
        <is>
          <t>52,132</t>
        </is>
      </c>
      <c r="K975" t="inlineStr">
        <is>
          <t>.</t>
        </is>
      </c>
      <c r="L975">
        <f>HYPERLINK("https://www.ncbi.nlm.nih.gov/snp/rs199706346", "rs199706346")</f>
        <v/>
      </c>
      <c r="M975">
        <f>HYPERLINK("https://www.genecards.org/Search/Keyword?queryString=%5Baliases%5D(%20DOCK4%20)&amp;keywords=DOCK4", "DOCK4")</f>
        <v/>
      </c>
      <c r="N975" t="inlineStr">
        <is>
          <t>exonic</t>
        </is>
      </c>
      <c r="O975" t="inlineStr">
        <is>
          <t>nonsynonymous SNV</t>
        </is>
      </c>
      <c r="P975" t="inlineStr">
        <is>
          <t>DOCK4:NM_014705:exon52:c.C5750T:p.P1917L,DOCK4:NM_001363540:exon53:c.C5777T:p.P1926L;DOCK4:uc003vfv.3:exon5:c.C689T:p.P230L,DOCK4:uc011kmm.2:exon21:c.C2357T:p.P786L,DOCK4:uc011kml.2:exon22:c.C2393T:p.P798L,DOCK4:uc003vfw.3:exon36:c.C3986T:p.P1329L,DOCK4:uc003vfx.3:exon52:c.C5750T:p.P1917L,DOCK4:uc003vfy.3:exon54:c.C5885T:p.P1962L;DOCK4:ENST00000450156.6_1:exon22:c.C2399T:p.P800L,DOCK4:ENST00000437633.6_3:exon52:c.C5750T:p.P1917L,DOCK4:ENST00000428084.6_2:exon53:c.C5777T:p.P1926L</t>
        </is>
      </c>
      <c r="Q975" t="n">
        <v>0.007</v>
      </c>
      <c r="R975" t="n">
        <v>0.0058</v>
      </c>
      <c r="S975" t="n">
        <v>0.0058</v>
      </c>
      <c r="T975" t="n">
        <v>-1</v>
      </c>
      <c r="U975" t="n">
        <v>0.0051</v>
      </c>
      <c r="V975" t="inlineStr">
        <is>
          <t>6/11</t>
        </is>
      </c>
      <c r="W975" t="inlineStr">
        <is>
          <t>.</t>
        </is>
      </c>
      <c r="X975" t="inlineStr">
        <is>
          <t>.</t>
        </is>
      </c>
      <c r="Y975" t="inlineStr">
        <is>
          <t>.</t>
        </is>
      </c>
      <c r="Z975" t="inlineStr">
        <is>
          <t>6/7</t>
        </is>
      </c>
      <c r="AA975" t="inlineStr">
        <is>
          <t>Uncertain significance</t>
        </is>
      </c>
      <c r="AB975" t="inlineStr">
        <is>
          <t>Likely_benign</t>
        </is>
      </c>
      <c r="AC975" t="inlineStr">
        <is>
          <t>0/1</t>
        </is>
      </c>
      <c r="AD975" t="inlineStr">
        <is>
          <t>1</t>
        </is>
      </c>
      <c r="AE975" t="inlineStr">
        <is>
          <t>0.998535732717338</t>
        </is>
      </c>
      <c r="AF975" t="inlineStr">
        <is>
          <t>dedicator of cytokinesis 4</t>
        </is>
      </c>
      <c r="AG975" t="inlineStr">
        <is>
          <t xml:space="preserve">FUNCTION: Involved in regulation of adherens junction between cells. Plays a role in cell migration. Functions as a guanine nucleotide exchange factor (GEF), which activates Rap1 small GTPase by exchanging bound GDP for free GTP. {ECO:0000269|PubMed:12628187, ECO:0000269|PubMed:20679435}.; </t>
        </is>
      </c>
      <c r="AH975" t="inlineStr">
        <is>
          <t>.</t>
        </is>
      </c>
      <c r="AI975" t="inlineStr">
        <is>
          <t>.</t>
        </is>
      </c>
      <c r="AJ975" t="inlineStr">
        <is>
          <t>.</t>
        </is>
      </c>
      <c r="AK975" t="inlineStr">
        <is>
          <t>.</t>
        </is>
      </c>
      <c r="AL975" t="inlineStr">
        <is>
          <t>.</t>
        </is>
      </c>
    </row>
    <row r="976">
      <c r="A976" t="inlineStr"/>
      <c r="B976">
        <f>HYPERLINK("https://genome.ucsc.edu/cgi-bin/hgTracks?db=hg19&amp;position=chr7%3A117292830%2D117292830", "chr7:117292830")</f>
        <v/>
      </c>
      <c r="C976" t="inlineStr">
        <is>
          <t>chr7</t>
        </is>
      </c>
      <c r="D976" t="n">
        <v>117292830</v>
      </c>
      <c r="E976" t="n">
        <v>117292830</v>
      </c>
      <c r="F976" t="inlineStr">
        <is>
          <t>A</t>
        </is>
      </c>
      <c r="G976" t="inlineStr">
        <is>
          <t>G</t>
        </is>
      </c>
      <c r="H976" t="inlineStr">
        <is>
          <t>1769.64</t>
        </is>
      </c>
      <c r="I976" t="inlineStr">
        <is>
          <t>117</t>
        </is>
      </c>
      <c r="J976" t="inlineStr">
        <is>
          <t>46,71</t>
        </is>
      </c>
      <c r="K976" t="inlineStr">
        <is>
          <t>.</t>
        </is>
      </c>
      <c r="L976">
        <f>HYPERLINK("https://www.ncbi.nlm.nih.gov/snp/rs140057824", "rs140057824")</f>
        <v/>
      </c>
      <c r="M976">
        <f>HYPERLINK("https://www.genecards.org/Search/Keyword?queryString=%5Baliases%5D(%20CFTR%20)&amp;keywords=CFTR", "CFTR")</f>
        <v/>
      </c>
      <c r="N976" t="inlineStr">
        <is>
          <t>intronic</t>
        </is>
      </c>
      <c r="O976" t="inlineStr">
        <is>
          <t>.</t>
        </is>
      </c>
      <c r="P976" t="inlineStr">
        <is>
          <t>.</t>
        </is>
      </c>
      <c r="Q976" t="n">
        <v>0.0002</v>
      </c>
      <c r="R976" t="n">
        <v>0.0002</v>
      </c>
      <c r="S976" t="n">
        <v>0.0003</v>
      </c>
      <c r="T976" t="n">
        <v>-1</v>
      </c>
      <c r="U976" t="n">
        <v>-1</v>
      </c>
      <c r="V976" t="inlineStr">
        <is>
          <t>.</t>
        </is>
      </c>
      <c r="W976" t="inlineStr">
        <is>
          <t>.</t>
        </is>
      </c>
      <c r="X976" t="inlineStr">
        <is>
          <t>D</t>
        </is>
      </c>
      <c r="Y976" t="inlineStr">
        <is>
          <t>off</t>
        </is>
      </c>
      <c r="Z976" t="inlineStr">
        <is>
          <t>.</t>
        </is>
      </c>
      <c r="AA976" t="inlineStr">
        <is>
          <t>.</t>
        </is>
      </c>
      <c r="AB976" t="inlineStr">
        <is>
          <t>.</t>
        </is>
      </c>
      <c r="AC976" t="inlineStr">
        <is>
          <t>0/1</t>
        </is>
      </c>
      <c r="AD976" t="inlineStr">
        <is>
          <t>1</t>
        </is>
      </c>
      <c r="AE976" t="inlineStr">
        <is>
          <t>2.96390764420065e-36</t>
        </is>
      </c>
      <c r="AF976" t="inlineStr">
        <is>
          <t>cystic fibrosis transmembrane conductance regulator</t>
        </is>
      </c>
      <c r="AG976" t="inlineStr">
        <is>
          <t xml:space="preserve">FUNCTION: Involved in the transport of chloride ions. May regulate bicarbonate secretion and salvage in epithelial cells by regulating the SLC4A7 transporter. Can inhibit the chloride channel activity of ANO1. Plays a role in the chloride and bicarbonate homeostasis during sperm epididymal maturation and capacitation. {ECO:0000269|PubMed:22178883}.; </t>
        </is>
      </c>
      <c r="AH976" t="inlineStr">
        <is>
          <t xml:space="preserve">DISEASE: Cystic fibrosis (CF) [MIM:219700]: A common generalized disorder of the exocrine glands which impairs clearance of secretions in a variety of organs. It is characterized by the triad of chronic bronchopulmonary disease (with recurrent respiratory infections), pancreatic insufficiency (which leads to malabsorption and growth retardation) and elevated sweat electrolytes. It is the most common genetic disease in Caucasians, with a prevalence of about 1 in 2'000 live births. Inheritance is autosomal recessive. {ECO:0000269|PubMed:10094564, ECO:0000269|PubMed:1284466, ECO:0000269|PubMed:1284468, ECO:0000269|PubMed:1284529, ECO:0000269|PubMed:1284530, ECO:0000269|PubMed:1695717, ECO:0000269|PubMed:1710600, ECO:0000269|PubMed:2236053, ECO:0000269|PubMed:7504969, ECO:0000269|PubMed:7505694, ECO:0000269|PubMed:7513296, ECO:0000269|PubMed:7517264, ECO:0000269|PubMed:7520022, ECO:0000269|PubMed:7522211, ECO:0000269|PubMed:7524909, ECO:0000269|PubMed:7524913, ECO:0000269|PubMed:7525450, ECO:0000269|PubMed:7537150, ECO:0000269|PubMed:7541273, ECO:0000269|PubMed:7541510, ECO:0000269|PubMed:7543567, ECO:0000269|PubMed:7544319, ECO:0000269|PubMed:7581407, ECO:0000269|PubMed:7680525, ECO:0000269|PubMed:7683628, ECO:0000269|PubMed:7683954, ECO:0000269|PubMed:8081395, ECO:0000269|PubMed:8522333, ECO:0000269|PubMed:8723693, ECO:0000269|PubMed:8723695, ECO:0000269|PubMed:8800923, ECO:0000269|PubMed:8829633, ECO:0000269|PubMed:8956039, ECO:0000269|PubMed:9101301, ECO:0000269|PubMed:9222768, ECO:0000269|PubMed:9375855, ECO:0000269|PubMed:9401006, ECO:0000269|PubMed:9443874, ECO:0000269|PubMed:9452048, ECO:0000269|PubMed:9452054, ECO:0000269|PubMed:9452073, ECO:0000269|PubMed:9482579, ECO:0000269|PubMed:9521595, ECO:0000269|PubMed:9554753, ECO:0000269|PubMed:9736778, ECO:0000269|PubMed:9921909}. Note=The disease is caused by mutations affecting the gene represented in this entry.; DISEASE: Congenital bilateral absence of the vas deferens (CBAVD) [MIM:277180]: Important cause of sterility in men and could represent an incomplete form of cystic fibrosis, as the majority of men suffering from cystic fibrosis lack the vas deferens. {ECO:0000269|PubMed:10651488, ECO:0000269|PubMed:7529962, ECO:0000269|PubMed:7539342, ECO:0000269|PubMed:9067761, ECO:0000269|Ref.77}. Note=The disease is caused by mutations affecting the gene represented in this entry.; </t>
        </is>
      </c>
      <c r="AI976" t="inlineStr">
        <is>
          <t>.</t>
        </is>
      </c>
      <c r="AJ976" t="inlineStr">
        <is>
          <t>.</t>
        </is>
      </c>
      <c r="AK976" t="inlineStr">
        <is>
          <t>.</t>
        </is>
      </c>
      <c r="AL976" t="inlineStr">
        <is>
          <t>.</t>
        </is>
      </c>
    </row>
    <row r="977">
      <c r="A977" t="inlineStr"/>
      <c r="B977">
        <f>HYPERLINK("https://genome.ucsc.edu/cgi-bin/hgTracks?db=hg19&amp;position=chr7%3A117368059%2D117368059", "chr7:117368059")</f>
        <v/>
      </c>
      <c r="C977" t="inlineStr">
        <is>
          <t>chr7</t>
        </is>
      </c>
      <c r="D977" t="n">
        <v>117368059</v>
      </c>
      <c r="E977" t="n">
        <v>117368059</v>
      </c>
      <c r="F977" t="inlineStr">
        <is>
          <t>G</t>
        </is>
      </c>
      <c r="G977" t="inlineStr">
        <is>
          <t>T</t>
        </is>
      </c>
      <c r="H977" t="inlineStr">
        <is>
          <t>180.64</t>
        </is>
      </c>
      <c r="I977" t="inlineStr">
        <is>
          <t>37</t>
        </is>
      </c>
      <c r="J977" t="inlineStr">
        <is>
          <t>28,9</t>
        </is>
      </c>
      <c r="K977" t="inlineStr">
        <is>
          <t>.</t>
        </is>
      </c>
      <c r="L977" t="inlineStr">
        <is>
          <t>.</t>
        </is>
      </c>
      <c r="M977">
        <f>HYPERLINK("https://www.genecards.org/Search/Keyword?queryString=%5Baliases%5D(%20CTTNBP2%20)&amp;keywords=CTTNBP2", "CTTNBP2")</f>
        <v/>
      </c>
      <c r="N977" t="inlineStr">
        <is>
          <t>intronic</t>
        </is>
      </c>
      <c r="O977" t="inlineStr">
        <is>
          <t>.</t>
        </is>
      </c>
      <c r="P977" t="inlineStr">
        <is>
          <t>.</t>
        </is>
      </c>
      <c r="Q977" t="n">
        <v>-1</v>
      </c>
      <c r="R977" t="n">
        <v>-1</v>
      </c>
      <c r="S977" t="n">
        <v>-1</v>
      </c>
      <c r="T977" t="n">
        <v>-1</v>
      </c>
      <c r="U977" t="n">
        <v>-1</v>
      </c>
      <c r="V977" t="inlineStr">
        <is>
          <t>.</t>
        </is>
      </c>
      <c r="W977" t="inlineStr">
        <is>
          <t>.</t>
        </is>
      </c>
      <c r="X977" t="inlineStr">
        <is>
          <t>D</t>
        </is>
      </c>
      <c r="Y977" t="inlineStr">
        <is>
          <t>off</t>
        </is>
      </c>
      <c r="Z977" t="inlineStr">
        <is>
          <t>.</t>
        </is>
      </c>
      <c r="AA977" t="inlineStr">
        <is>
          <t>.</t>
        </is>
      </c>
      <c r="AB977" t="inlineStr">
        <is>
          <t>.</t>
        </is>
      </c>
      <c r="AC977" t="inlineStr">
        <is>
          <t>0/1</t>
        </is>
      </c>
      <c r="AD977" t="inlineStr">
        <is>
          <t>1</t>
        </is>
      </c>
      <c r="AE977" t="inlineStr">
        <is>
          <t>2.59915879681031e-06</t>
        </is>
      </c>
      <c r="AF977" t="inlineStr">
        <is>
          <t>cortactin binding protein 2</t>
        </is>
      </c>
      <c r="AG977" t="inlineStr">
        <is>
          <t xml:space="preserve">FUNCTION: Regulates the dendritic spine distribution of CTTN/cortactin in hippocampal neurons, thus controls dendritic spinogenesis and dendritic spine maintenance. {ECO:0000250}.; </t>
        </is>
      </c>
      <c r="AH977" t="inlineStr">
        <is>
          <t>.</t>
        </is>
      </c>
      <c r="AI977" t="inlineStr">
        <is>
          <t>.</t>
        </is>
      </c>
      <c r="AJ977" t="inlineStr">
        <is>
          <t>.</t>
        </is>
      </c>
      <c r="AK977" t="inlineStr">
        <is>
          <t>.</t>
        </is>
      </c>
      <c r="AL977" t="inlineStr">
        <is>
          <t>.</t>
        </is>
      </c>
    </row>
    <row r="978">
      <c r="A978" t="inlineStr"/>
      <c r="B978">
        <f>HYPERLINK("https://genome.ucsc.edu/cgi-bin/hgTracks?db=hg19&amp;position=chr7%3A128492825%2D128492825", "chr7:128492825")</f>
        <v/>
      </c>
      <c r="C978" t="inlineStr">
        <is>
          <t>chr7</t>
        </is>
      </c>
      <c r="D978" t="n">
        <v>128492825</v>
      </c>
      <c r="E978" t="n">
        <v>128492825</v>
      </c>
      <c r="F978" t="inlineStr">
        <is>
          <t>G</t>
        </is>
      </c>
      <c r="G978" t="inlineStr">
        <is>
          <t>A</t>
        </is>
      </c>
      <c r="H978" t="inlineStr">
        <is>
          <t>1989.64</t>
        </is>
      </c>
      <c r="I978" t="inlineStr">
        <is>
          <t>208</t>
        </is>
      </c>
      <c r="J978" t="inlineStr">
        <is>
          <t>127,81</t>
        </is>
      </c>
      <c r="K978" t="inlineStr">
        <is>
          <t>.</t>
        </is>
      </c>
      <c r="L978">
        <f>HYPERLINK("https://www.ncbi.nlm.nih.gov/snp/rs12530507", "rs12530507")</f>
        <v/>
      </c>
      <c r="M978">
        <f>HYPERLINK("https://www.genecards.org/Search/Keyword?queryString=%5Baliases%5D(%20FLNC%20)%20OR%20%5Baliases%5D(%20FLNC-AS1%20)&amp;keywords=FLNC,FLNC-AS1", "FLNC;FLNC-AS1")</f>
        <v/>
      </c>
      <c r="N978" t="inlineStr">
        <is>
          <t>intronic;ncRNA_intronic</t>
        </is>
      </c>
      <c r="O978" t="inlineStr">
        <is>
          <t>.</t>
        </is>
      </c>
      <c r="P978" t="inlineStr">
        <is>
          <t>.</t>
        </is>
      </c>
      <c r="Q978" t="n">
        <v>0.0199</v>
      </c>
      <c r="R978" t="n">
        <v>0.017</v>
      </c>
      <c r="S978" t="n">
        <v>0.0177</v>
      </c>
      <c r="T978" t="n">
        <v>-1</v>
      </c>
      <c r="U978" t="n">
        <v>0.0163</v>
      </c>
      <c r="V978" t="inlineStr">
        <is>
          <t>.</t>
        </is>
      </c>
      <c r="W978" t="inlineStr">
        <is>
          <t>.</t>
        </is>
      </c>
      <c r="X978" t="inlineStr">
        <is>
          <t>D</t>
        </is>
      </c>
      <c r="Y978" t="inlineStr">
        <is>
          <t>off</t>
        </is>
      </c>
      <c r="Z978" t="inlineStr">
        <is>
          <t>.</t>
        </is>
      </c>
      <c r="AA978" t="inlineStr">
        <is>
          <t>.</t>
        </is>
      </c>
      <c r="AB978" t="inlineStr">
        <is>
          <t>Benign</t>
        </is>
      </c>
      <c r="AC978" t="inlineStr">
        <is>
          <t>0/1</t>
        </is>
      </c>
      <c r="AD978" t="inlineStr">
        <is>
          <t>2;2</t>
        </is>
      </c>
      <c r="AE978" t="inlineStr">
        <is>
          <t>0.999503524836351</t>
        </is>
      </c>
      <c r="AF978" t="inlineStr">
        <is>
          <t>filamin C</t>
        </is>
      </c>
      <c r="AG978" t="inlineStr">
        <is>
          <t xml:space="preserve">FUNCTION: Muscle-specific filamin, which plays a central role in muscle cells, probably by functioning as a large actin-cross- linking protein. May be involved in reorganizing the actin cytoskeleton in response to signaling events, and may also display structural functions at the Z lines in muscle cells. Critical for normal myogenesis and for maintaining the structural integrity of the muscle fibers.; </t>
        </is>
      </c>
      <c r="AH978" t="inlineStr">
        <is>
          <t xml:space="preserve">DISEASE: Myopathy, myofibrillar, 5 (MFM5) [MIM:609524]: A neuromuscular disorder, usually with an adult onset, characterized by focal myofibrillar destruction, pathological cytoplasmic protein aggregations, and clinical features of a limb-girdle myopathy. {ECO:0000269|PubMed:15929027}. Note=The disease is caused by mutations affecting the gene represented in this entry.; DISEASE: Myopathy, distal, 4 (MPD4) [MIM:614065]: A slowly progressive muscular disorder characterized by distal muscle weakness and atrophy affecting the upper and lower limbs. Onset occurs around the third to fourth decades of life, and patients remain ambulatory even after long disease duration. Muscle biopsy shows non-specific changes with no evidence of rods, necrosis, or inflammation. {ECO:0000269|PubMed:21620354}. Note=The disease is caused by mutations affecting the gene represented in this entry.; </t>
        </is>
      </c>
      <c r="AI978" t="inlineStr">
        <is>
          <t>.</t>
        </is>
      </c>
      <c r="AJ978" t="inlineStr">
        <is>
          <t>.</t>
        </is>
      </c>
      <c r="AK978" t="inlineStr">
        <is>
          <t>.</t>
        </is>
      </c>
      <c r="AL978" t="inlineStr">
        <is>
          <t>.</t>
        </is>
      </c>
    </row>
    <row r="979">
      <c r="A979" t="inlineStr"/>
      <c r="B979">
        <f>HYPERLINK("https://genome.ucsc.edu/cgi-bin/hgTracks?db=hg19&amp;position=chr7%3A128499177%2D128499177", "chr7:128499177")</f>
        <v/>
      </c>
      <c r="C979" t="inlineStr">
        <is>
          <t>chr7</t>
        </is>
      </c>
      <c r="D979" t="n">
        <v>128499177</v>
      </c>
      <c r="E979" t="n">
        <v>128499177</v>
      </c>
      <c r="F979" t="inlineStr">
        <is>
          <t>T</t>
        </is>
      </c>
      <c r="G979" t="inlineStr">
        <is>
          <t>-</t>
        </is>
      </c>
      <c r="H979" t="inlineStr">
        <is>
          <t>36.60</t>
        </is>
      </c>
      <c r="I979" t="inlineStr">
        <is>
          <t>6</t>
        </is>
      </c>
      <c r="J979" t="inlineStr">
        <is>
          <t>4,2</t>
        </is>
      </c>
      <c r="K979" t="inlineStr">
        <is>
          <t>.</t>
        </is>
      </c>
      <c r="L979" t="inlineStr">
        <is>
          <t>.</t>
        </is>
      </c>
      <c r="M979">
        <f>HYPERLINK("https://www.genecards.org/Search/Keyword?queryString=%5Baliases%5D(%20FLNC%20)%20OR%20%5Baliases%5D(%20FLNC-AS1%20)&amp;keywords=FLNC,FLNC-AS1", "FLNC;FLNC-AS1")</f>
        <v/>
      </c>
      <c r="N979" t="inlineStr">
        <is>
          <t>UTR3;ncRNA_intronic</t>
        </is>
      </c>
      <c r="O979" t="inlineStr">
        <is>
          <t>.</t>
        </is>
      </c>
      <c r="P979" t="inlineStr">
        <is>
          <t>uc003vnz.4:c.*600delT;uc003voa.4:c.*600delT</t>
        </is>
      </c>
      <c r="Q979" t="n">
        <v>-1</v>
      </c>
      <c r="R979" t="n">
        <v>-1</v>
      </c>
      <c r="S979" t="n">
        <v>-1</v>
      </c>
      <c r="T979" t="n">
        <v>-1</v>
      </c>
      <c r="U979" t="n">
        <v>-1</v>
      </c>
      <c r="V979" t="inlineStr">
        <is>
          <t>.</t>
        </is>
      </c>
      <c r="W979" t="inlineStr">
        <is>
          <t>.</t>
        </is>
      </c>
      <c r="X979" t="inlineStr">
        <is>
          <t>.</t>
        </is>
      </c>
      <c r="Y979" t="inlineStr">
        <is>
          <t>.</t>
        </is>
      </c>
      <c r="Z979" t="inlineStr">
        <is>
          <t>.</t>
        </is>
      </c>
      <c r="AA979" t="inlineStr">
        <is>
          <t>.</t>
        </is>
      </c>
      <c r="AB979" t="inlineStr">
        <is>
          <t>.</t>
        </is>
      </c>
      <c r="AC979" t="inlineStr">
        <is>
          <t>0/1</t>
        </is>
      </c>
      <c r="AD979" t="inlineStr">
        <is>
          <t>2;2</t>
        </is>
      </c>
      <c r="AE979" t="inlineStr">
        <is>
          <t>0.999503524836351</t>
        </is>
      </c>
      <c r="AF979" t="inlineStr">
        <is>
          <t>filamin C</t>
        </is>
      </c>
      <c r="AG979" t="inlineStr">
        <is>
          <t xml:space="preserve">FUNCTION: Muscle-specific filamin, which plays a central role in muscle cells, probably by functioning as a large actin-cross- linking protein. May be involved in reorganizing the actin cytoskeleton in response to signaling events, and may also display structural functions at the Z lines in muscle cells. Critical for normal myogenesis and for maintaining the structural integrity of the muscle fibers.; </t>
        </is>
      </c>
      <c r="AH979" t="inlineStr">
        <is>
          <t xml:space="preserve">DISEASE: Myopathy, myofibrillar, 5 (MFM5) [MIM:609524]: A neuromuscular disorder, usually with an adult onset, characterized by focal myofibrillar destruction, pathological cytoplasmic protein aggregations, and clinical features of a limb-girdle myopathy. {ECO:0000269|PubMed:15929027}. Note=The disease is caused by mutations affecting the gene represented in this entry.; DISEASE: Myopathy, distal, 4 (MPD4) [MIM:614065]: A slowly progressive muscular disorder characterized by distal muscle weakness and atrophy affecting the upper and lower limbs. Onset occurs around the third to fourth decades of life, and patients remain ambulatory even after long disease duration. Muscle biopsy shows non-specific changes with no evidence of rods, necrosis, or inflammation. {ECO:0000269|PubMed:21620354}. Note=The disease is caused by mutations affecting the gene represented in this entry.; </t>
        </is>
      </c>
      <c r="AI979" t="inlineStr">
        <is>
          <t>.</t>
        </is>
      </c>
      <c r="AJ979" t="inlineStr">
        <is>
          <t>.</t>
        </is>
      </c>
      <c r="AK979" t="inlineStr">
        <is>
          <t>.</t>
        </is>
      </c>
      <c r="AL979" t="inlineStr">
        <is>
          <t>.</t>
        </is>
      </c>
    </row>
    <row r="980">
      <c r="A980" t="inlineStr"/>
      <c r="B980">
        <f>HYPERLINK("https://genome.ucsc.edu/cgi-bin/hgTracks?db=hg19&amp;position=chr7%3A131870165%2D131870165", "chr7:131870165")</f>
        <v/>
      </c>
      <c r="C980" t="inlineStr">
        <is>
          <t>chr7</t>
        </is>
      </c>
      <c r="D980" t="n">
        <v>131870165</v>
      </c>
      <c r="E980" t="n">
        <v>131870165</v>
      </c>
      <c r="F980" t="inlineStr">
        <is>
          <t>C</t>
        </is>
      </c>
      <c r="G980" t="inlineStr">
        <is>
          <t>A</t>
        </is>
      </c>
      <c r="H980" t="inlineStr">
        <is>
          <t>535.64</t>
        </is>
      </c>
      <c r="I980" t="inlineStr">
        <is>
          <t>183</t>
        </is>
      </c>
      <c r="J980" t="inlineStr">
        <is>
          <t>146,37</t>
        </is>
      </c>
      <c r="K980" t="inlineStr">
        <is>
          <t>.</t>
        </is>
      </c>
      <c r="L980" t="inlineStr">
        <is>
          <t>.</t>
        </is>
      </c>
      <c r="M980">
        <f>HYPERLINK("https://www.genecards.org/Search/Keyword?queryString=%5Baliases%5D(%20PLXNA4%20)&amp;keywords=PLXNA4", "PLXNA4")</f>
        <v/>
      </c>
      <c r="N980" t="inlineStr">
        <is>
          <t>exonic</t>
        </is>
      </c>
      <c r="O980" t="inlineStr">
        <is>
          <t>nonsynonymous SNV</t>
        </is>
      </c>
      <c r="P980" t="inlineStr">
        <is>
          <t>PLXNA4:NM_020911:exon16:c.G3051T:p.M1017I;PLXNA4:uc003vra.4:exon16:c.G3051T:p.M1017I;PLXNA4:ENST00000321063.9_5:exon16:c.G3051T:p.M1017I,PLXNA4:ENST00000359827.7_5:exon16:c.G3051T:p.M1017I</t>
        </is>
      </c>
      <c r="Q980" t="n">
        <v>-1</v>
      </c>
      <c r="R980" t="n">
        <v>-1</v>
      </c>
      <c r="S980" t="n">
        <v>-1</v>
      </c>
      <c r="T980" t="n">
        <v>-1</v>
      </c>
      <c r="U980" t="n">
        <v>-1</v>
      </c>
      <c r="V980" t="inlineStr">
        <is>
          <t>3/12</t>
        </is>
      </c>
      <c r="W980" t="inlineStr">
        <is>
          <t>.</t>
        </is>
      </c>
      <c r="X980" t="inlineStr">
        <is>
          <t>.</t>
        </is>
      </c>
      <c r="Y980" t="inlineStr">
        <is>
          <t>.</t>
        </is>
      </c>
      <c r="Z980" t="inlineStr">
        <is>
          <t>3/7</t>
        </is>
      </c>
      <c r="AA980" t="inlineStr">
        <is>
          <t>Uncertain significance</t>
        </is>
      </c>
      <c r="AB980" t="inlineStr">
        <is>
          <t>.</t>
        </is>
      </c>
      <c r="AC980" t="inlineStr">
        <is>
          <t>0/1</t>
        </is>
      </c>
      <c r="AD980" t="inlineStr">
        <is>
          <t>1</t>
        </is>
      </c>
      <c r="AE980" t="inlineStr">
        <is>
          <t>0.9999997021004</t>
        </is>
      </c>
      <c r="AF980" t="inlineStr">
        <is>
          <t>plexin A4</t>
        </is>
      </c>
      <c r="AG980" t="inlineStr">
        <is>
          <t xml:space="preserve">FUNCTION: Coreceptor for SEMA3A. Necessary for signaling by class 3 semaphorins and subsequent remodeling of the cytoskeleton. Plays a role in axon guidance in the developing nervous system. Class 3 semaphorins bind to a complex composed of a neuropilin and a plexin. The plexin modulates the affinity of the complex for specific semaphorins, and its cytoplasmic domain is required for the activation of down-stream signaling events in the cytoplasm (By similarity). {ECO:0000250}.; </t>
        </is>
      </c>
      <c r="AH980" t="inlineStr">
        <is>
          <t>.</t>
        </is>
      </c>
      <c r="AI980" t="inlineStr">
        <is>
          <t>.</t>
        </is>
      </c>
      <c r="AJ980" t="inlineStr">
        <is>
          <t>.</t>
        </is>
      </c>
      <c r="AK980" t="inlineStr">
        <is>
          <t>.</t>
        </is>
      </c>
      <c r="AL980" t="inlineStr">
        <is>
          <t>.</t>
        </is>
      </c>
    </row>
    <row r="981">
      <c r="A981" t="inlineStr"/>
      <c r="B981">
        <f>HYPERLINK("https://genome.ucsc.edu/cgi-bin/hgTracks?db=hg19&amp;position=chr7%3A134617996%2D134617996", "chr7:134617996")</f>
        <v/>
      </c>
      <c r="C981" t="inlineStr">
        <is>
          <t>chr7</t>
        </is>
      </c>
      <c r="D981" t="n">
        <v>134617996</v>
      </c>
      <c r="E981" t="n">
        <v>134617996</v>
      </c>
      <c r="F981" t="inlineStr">
        <is>
          <t>G</t>
        </is>
      </c>
      <c r="G981" t="inlineStr">
        <is>
          <t>A</t>
        </is>
      </c>
      <c r="H981" t="inlineStr">
        <is>
          <t>1619.64</t>
        </is>
      </c>
      <c r="I981" t="inlineStr">
        <is>
          <t>151</t>
        </is>
      </c>
      <c r="J981" t="inlineStr">
        <is>
          <t>80,71</t>
        </is>
      </c>
      <c r="K981" t="inlineStr">
        <is>
          <t>.</t>
        </is>
      </c>
      <c r="L981">
        <f>HYPERLINK("https://www.ncbi.nlm.nih.gov/snp/rs61755271", "rs61755271")</f>
        <v/>
      </c>
      <c r="M981">
        <f>HYPERLINK("https://www.genecards.org/Search/Keyword?queryString=%5Baliases%5D(%20CALD1%20)&amp;keywords=CALD1", "CALD1")</f>
        <v/>
      </c>
      <c r="N981" t="inlineStr">
        <is>
          <t>exonic</t>
        </is>
      </c>
      <c r="O981" t="inlineStr">
        <is>
          <t>nonsynonymous SNV</t>
        </is>
      </c>
      <c r="P981" t="inlineStr">
        <is>
          <t>CALD1:NM_033139:exon3:c.G458A:p.R153K,CALD1:NM_033140:exon3:c.G458A:p.R153K,CALD1:NM_004342:exon5:c.G476A:p.R159K,CALD1:NM_033138:exon5:c.G476A:p.R159K,CALD1:NM_033157:exon5:c.G476A:p.R159K;CALD1:uc003vse.3:exon1:c.G68A:p.R23K,CALD1:uc011kpv.2:exon2:c.G68A:p.R23K,CALD1:uc003vsc.3:exon3:c.G458A:p.R153K,CALD1:uc003vsd.3:exon3:c.G458A:p.R153K,CALD1:uc011kpu.2:exon3:c.G491A:p.R164K,CALD1:uc003vry.3:exon5:c.G476A:p.R159K,CALD1:uc003vrz.3:exon5:c.G476A:p.R159K,CALD1:uc003vsb.3:exon5:c.G476A:p.R159K,CALD1:uc010lmm.3:exon5:c.G476A:p.R159K;CALD1:ENST00000393118.6_2:exon3:c.G458A:p.R153K,CALD1:ENST00000424922.5_3:exon3:c.G458A:p.R153K,CALD1:ENST00000495522.1_2:exon3:c.G458A:p.R153K,CALD1:ENST00000361675.7_5:exon5:c.G476A:p.R159K,CALD1:ENST00000361901.6_4:exon5:c.G476A:p.R159K,CALD1:ENST00000417172.5_4:exon5:c.G476A:p.R159K,CALD1:ENST00000422748.5_2:exon5:c.G476A:p.R159K</t>
        </is>
      </c>
      <c r="Q981" t="n">
        <v>0.0031</v>
      </c>
      <c r="R981" t="n">
        <v>0.0027</v>
      </c>
      <c r="S981" t="n">
        <v>0.0031</v>
      </c>
      <c r="T981" t="n">
        <v>-1</v>
      </c>
      <c r="U981" t="n">
        <v>0.0031</v>
      </c>
      <c r="V981" t="inlineStr">
        <is>
          <t>4/11</t>
        </is>
      </c>
      <c r="W981" t="inlineStr">
        <is>
          <t>.</t>
        </is>
      </c>
      <c r="X981" t="inlineStr">
        <is>
          <t>.</t>
        </is>
      </c>
      <c r="Y981" t="inlineStr">
        <is>
          <t>.</t>
        </is>
      </c>
      <c r="Z981" t="inlineStr">
        <is>
          <t>5/7</t>
        </is>
      </c>
      <c r="AA981" t="inlineStr">
        <is>
          <t>Uncertain significance</t>
        </is>
      </c>
      <c r="AB981" t="inlineStr">
        <is>
          <t>.</t>
        </is>
      </c>
      <c r="AC981" t="inlineStr">
        <is>
          <t>0/1</t>
        </is>
      </c>
      <c r="AD981" t="inlineStr">
        <is>
          <t>1</t>
        </is>
      </c>
      <c r="AE981" t="inlineStr">
        <is>
          <t>0.99909770368326</t>
        </is>
      </c>
      <c r="AF981" t="inlineStr">
        <is>
          <t>caldesmon 1</t>
        </is>
      </c>
      <c r="AG981" t="inlineStr">
        <is>
          <t xml:space="preserve">FUNCTION: Actin- and myosin-binding protein implicated in the regulation of actomyosin interactions in smooth muscle and nonmuscle cells (could act as a bridge between myosin and actin filaments). Stimulates actin binding of tropomyosin which increases the stabilization of actin filament structure. In muscle tissues, inhibits the actomyosin ATPase by binding to F-actin. This inhibition is attenuated by calcium-calmodulin and is potentiated by tropomyosin. Interacts with actin, myosin, two molecules of tropomyosin and with calmodulin. Also play an essential role during cellular mitosis and receptor capping. Involved in Schwann cell migration during peripheral nerve regeneration (By similarity). {ECO:0000250, ECO:0000269|PubMed:8227296}.; </t>
        </is>
      </c>
      <c r="AH981" t="inlineStr">
        <is>
          <t>.</t>
        </is>
      </c>
      <c r="AI981" t="inlineStr">
        <is>
          <t>.</t>
        </is>
      </c>
      <c r="AJ981" t="inlineStr">
        <is>
          <t>.</t>
        </is>
      </c>
      <c r="AK981" t="inlineStr">
        <is>
          <t>.</t>
        </is>
      </c>
      <c r="AL981" t="inlineStr">
        <is>
          <t>.</t>
        </is>
      </c>
    </row>
    <row r="982">
      <c r="A982" t="inlineStr"/>
      <c r="B982">
        <f>HYPERLINK("https://genome.ucsc.edu/cgi-bin/hgTracks?db=hg19&amp;position=chr7%3A135393032%2D135393032", "chr7:135393032")</f>
        <v/>
      </c>
      <c r="C982" t="inlineStr">
        <is>
          <t>chr7</t>
        </is>
      </c>
      <c r="D982" t="n">
        <v>135393032</v>
      </c>
      <c r="E982" t="n">
        <v>135393032</v>
      </c>
      <c r="F982" t="inlineStr">
        <is>
          <t>C</t>
        </is>
      </c>
      <c r="G982" t="inlineStr">
        <is>
          <t>T</t>
        </is>
      </c>
      <c r="H982" t="inlineStr">
        <is>
          <t>1366.64</t>
        </is>
      </c>
      <c r="I982" t="inlineStr">
        <is>
          <t>72</t>
        </is>
      </c>
      <c r="J982" t="inlineStr">
        <is>
          <t>22,50</t>
        </is>
      </c>
      <c r="K982" t="inlineStr">
        <is>
          <t>.</t>
        </is>
      </c>
      <c r="L982">
        <f>HYPERLINK("https://www.ncbi.nlm.nih.gov/snp/rs73160733", "rs73160733")</f>
        <v/>
      </c>
      <c r="M982">
        <f>HYPERLINK("https://www.genecards.org/Search/Keyword?queryString=%5Baliases%5D(%20SLC13A4%20)&amp;keywords=SLC13A4", "SLC13A4")</f>
        <v/>
      </c>
      <c r="N982" t="inlineStr">
        <is>
          <t>intronic</t>
        </is>
      </c>
      <c r="O982" t="inlineStr">
        <is>
          <t>.</t>
        </is>
      </c>
      <c r="P982" t="inlineStr">
        <is>
          <t>.</t>
        </is>
      </c>
      <c r="Q982" t="n">
        <v>0.0245</v>
      </c>
      <c r="R982" t="n">
        <v>0.0155</v>
      </c>
      <c r="S982" t="n">
        <v>0.0165</v>
      </c>
      <c r="T982" t="n">
        <v>-1</v>
      </c>
      <c r="U982" t="n">
        <v>0.0163</v>
      </c>
      <c r="V982" t="inlineStr">
        <is>
          <t>.</t>
        </is>
      </c>
      <c r="W982" t="inlineStr">
        <is>
          <t>.</t>
        </is>
      </c>
      <c r="X982" t="inlineStr">
        <is>
          <t>PD</t>
        </is>
      </c>
      <c r="Y982" t="inlineStr">
        <is>
          <t>off</t>
        </is>
      </c>
      <c r="Z982" t="inlineStr">
        <is>
          <t>.</t>
        </is>
      </c>
      <c r="AA982" t="inlineStr">
        <is>
          <t>.</t>
        </is>
      </c>
      <c r="AB982" t="inlineStr">
        <is>
          <t>.</t>
        </is>
      </c>
      <c r="AC982" t="inlineStr">
        <is>
          <t>0/1</t>
        </is>
      </c>
      <c r="AD982" t="inlineStr">
        <is>
          <t>1</t>
        </is>
      </c>
      <c r="AE982" t="inlineStr">
        <is>
          <t>0.915550850591339</t>
        </is>
      </c>
      <c r="AF982" t="inlineStr">
        <is>
          <t>solute carrier family 13 member 4</t>
        </is>
      </c>
      <c r="AG982" t="inlineStr">
        <is>
          <t xml:space="preserve">FUNCTION: Sodium/sulfate cotransporter that mediates sulfate reabsorption in the high endothelial venules (HEV). {ECO:0000269|PubMed:10535998, ECO:0000269|PubMed:15607730}.; </t>
        </is>
      </c>
      <c r="AH982" t="inlineStr">
        <is>
          <t>.</t>
        </is>
      </c>
      <c r="AI982" t="inlineStr">
        <is>
          <t>.</t>
        </is>
      </c>
      <c r="AJ982" t="inlineStr">
        <is>
          <t>.</t>
        </is>
      </c>
      <c r="AK982" t="inlineStr">
        <is>
          <t>.</t>
        </is>
      </c>
      <c r="AL982" t="inlineStr">
        <is>
          <t>.</t>
        </is>
      </c>
    </row>
    <row r="983">
      <c r="A983" t="inlineStr"/>
      <c r="B983">
        <f>HYPERLINK("https://genome.ucsc.edu/cgi-bin/hgTracks?db=hg19&amp;position=chr7%3A140301284%2D140301284", "chr7:140301284")</f>
        <v/>
      </c>
      <c r="C983" t="inlineStr">
        <is>
          <t>chr7</t>
        </is>
      </c>
      <c r="D983" t="n">
        <v>140301284</v>
      </c>
      <c r="E983" t="n">
        <v>140301284</v>
      </c>
      <c r="F983" t="inlineStr">
        <is>
          <t>G</t>
        </is>
      </c>
      <c r="G983" t="inlineStr">
        <is>
          <t>T</t>
        </is>
      </c>
      <c r="H983" t="inlineStr">
        <is>
          <t>1063.64</t>
        </is>
      </c>
      <c r="I983" t="inlineStr">
        <is>
          <t>201</t>
        </is>
      </c>
      <c r="J983" t="inlineStr">
        <is>
          <t>152,49</t>
        </is>
      </c>
      <c r="K983" t="inlineStr">
        <is>
          <t>.</t>
        </is>
      </c>
      <c r="L983" t="inlineStr">
        <is>
          <t>.</t>
        </is>
      </c>
      <c r="M983">
        <f>HYPERLINK("https://www.genecards.org/Search/Keyword?queryString=%5Baliases%5D(%20DENND2A%20)&amp;keywords=DENND2A", "DENND2A")</f>
        <v/>
      </c>
      <c r="N983" t="inlineStr">
        <is>
          <t>exonic</t>
        </is>
      </c>
      <c r="O983" t="inlineStr">
        <is>
          <t>nonsynonymous SNV</t>
        </is>
      </c>
      <c r="P983" t="inlineStr">
        <is>
          <t>DENND2A:NM_001318052:exon2:c.C914A:p.P305Q,DENND2A:NM_001318053:exon3:c.C914A:p.P305Q,DENND2A:NM_001362678:exon3:c.C914A:p.P305Q,DENND2A:NM_015689:exon3:c.C914A:p.P305Q;DENND2A:uc010lnj.3:exon1:c.C914A:p.P305Q,DENND2A:uc003vvw.3:exon2:c.C914A:p.P305Q,DENND2A:uc003vvx.3:exon3:c.C914A:p.P305Q,DENND2A:uc010lnk.3:exon3:c.C914A:p.P305Q;DENND2A:ENST00000537639.5_3:exon1:c.C914A:p.P305Q,DENND2A:ENST00000275884.10_3:exon2:c.C914A:p.P305Q,DENND2A:ENST00000492720.5_4:exon2:c.C914A:p.P305Q,DENND2A:ENST00000496613.6_5:exon3:c.C914A:p.P305Q</t>
        </is>
      </c>
      <c r="Q983" t="n">
        <v>-1</v>
      </c>
      <c r="R983" t="n">
        <v>-1</v>
      </c>
      <c r="S983" t="n">
        <v>-1</v>
      </c>
      <c r="T983" t="n">
        <v>-1</v>
      </c>
      <c r="U983" t="n">
        <v>-1</v>
      </c>
      <c r="V983" t="inlineStr">
        <is>
          <t>7/12</t>
        </is>
      </c>
      <c r="W983" t="inlineStr">
        <is>
          <t>.</t>
        </is>
      </c>
      <c r="X983" t="inlineStr">
        <is>
          <t>.</t>
        </is>
      </c>
      <c r="Y983" t="inlineStr">
        <is>
          <t>.</t>
        </is>
      </c>
      <c r="Z983" t="inlineStr">
        <is>
          <t>3/7</t>
        </is>
      </c>
      <c r="AA983" t="inlineStr">
        <is>
          <t>Uncertain significance</t>
        </is>
      </c>
      <c r="AB983" t="inlineStr">
        <is>
          <t>.</t>
        </is>
      </c>
      <c r="AC983" t="inlineStr">
        <is>
          <t>0/1</t>
        </is>
      </c>
      <c r="AD983" t="inlineStr">
        <is>
          <t>1</t>
        </is>
      </c>
      <c r="AE983" t="inlineStr">
        <is>
          <t>0.972231280413339</t>
        </is>
      </c>
      <c r="AF983" t="inlineStr">
        <is>
          <t>DENN domain containing 2A</t>
        </is>
      </c>
      <c r="AG983" t="inlineStr">
        <is>
          <t xml:space="preserve">FUNCTION: Guanine nucleotide exchange factor (GEF) which may activate RAB9A and RAB9B. Promotes the exchange of GDP to GTP, converting inactive GDP-bound Rab proteins into their active GTP- bound form. May play a role in late endosomes back to trans-Golgi network/TGN transport. {ECO:0000269|PubMed:20937701}.; </t>
        </is>
      </c>
      <c r="AH983" t="inlineStr">
        <is>
          <t>.</t>
        </is>
      </c>
      <c r="AI983" t="inlineStr">
        <is>
          <t>.</t>
        </is>
      </c>
      <c r="AJ983" t="inlineStr">
        <is>
          <t>.</t>
        </is>
      </c>
      <c r="AK983" t="inlineStr">
        <is>
          <t>.</t>
        </is>
      </c>
      <c r="AL983" t="inlineStr">
        <is>
          <t>.</t>
        </is>
      </c>
    </row>
    <row r="984">
      <c r="A984" t="inlineStr"/>
      <c r="B984">
        <f>HYPERLINK("https://genome.ucsc.edu/cgi-bin/hgTracks?db=hg19&amp;position=chr7%3A141864616%2D141864616", "chr7:141864616")</f>
        <v/>
      </c>
      <c r="C984" t="inlineStr">
        <is>
          <t>chr7</t>
        </is>
      </c>
      <c r="D984" t="n">
        <v>141864616</v>
      </c>
      <c r="E984" t="n">
        <v>141864616</v>
      </c>
      <c r="F984" t="inlineStr">
        <is>
          <t>A</t>
        </is>
      </c>
      <c r="G984" t="inlineStr">
        <is>
          <t>G</t>
        </is>
      </c>
      <c r="H984" t="inlineStr">
        <is>
          <t>33.64</t>
        </is>
      </c>
      <c r="I984" t="inlineStr">
        <is>
          <t>46</t>
        </is>
      </c>
      <c r="J984" t="inlineStr">
        <is>
          <t>40,6</t>
        </is>
      </c>
      <c r="K984" t="inlineStr">
        <is>
          <t>.</t>
        </is>
      </c>
      <c r="L984" t="inlineStr">
        <is>
          <t>.</t>
        </is>
      </c>
      <c r="M984">
        <f>HYPERLINK("https://www.genecards.org/Search/Keyword?queryString=%5Baliases%5D(%20MGAM2%20)&amp;keywords=MGAM2", "MGAM2")</f>
        <v/>
      </c>
      <c r="N984" t="inlineStr">
        <is>
          <t>intergenic;intronic</t>
        </is>
      </c>
      <c r="O984" t="inlineStr">
        <is>
          <t>.</t>
        </is>
      </c>
      <c r="P984" t="inlineStr">
        <is>
          <t>dist=20833;dist=6354</t>
        </is>
      </c>
      <c r="Q984" t="n">
        <v>-1</v>
      </c>
      <c r="R984" t="n">
        <v>-1</v>
      </c>
      <c r="S984" t="n">
        <v>-1</v>
      </c>
      <c r="T984" t="n">
        <v>-1</v>
      </c>
      <c r="U984" t="n">
        <v>-1</v>
      </c>
      <c r="V984" t="inlineStr">
        <is>
          <t>.</t>
        </is>
      </c>
      <c r="W984" t="inlineStr">
        <is>
          <t>.</t>
        </is>
      </c>
      <c r="X984" t="inlineStr">
        <is>
          <t>D</t>
        </is>
      </c>
      <c r="Y984" t="inlineStr">
        <is>
          <t>off</t>
        </is>
      </c>
      <c r="Z984" t="inlineStr">
        <is>
          <t>.</t>
        </is>
      </c>
      <c r="AA984" t="inlineStr">
        <is>
          <t>.</t>
        </is>
      </c>
      <c r="AB984" t="inlineStr">
        <is>
          <t>.</t>
        </is>
      </c>
      <c r="AC984" t="inlineStr">
        <is>
          <t>0/1</t>
        </is>
      </c>
      <c r="AD984" t="inlineStr">
        <is>
          <t>1</t>
        </is>
      </c>
      <c r="AE984" t="inlineStr">
        <is>
          <t>.</t>
        </is>
      </c>
      <c r="AF984" t="inlineStr">
        <is>
          <t>maltase-glucoamylase 2 (putative)</t>
        </is>
      </c>
      <c r="AG984" t="inlineStr">
        <is>
          <t>.</t>
        </is>
      </c>
      <c r="AH984" t="inlineStr">
        <is>
          <t>.</t>
        </is>
      </c>
      <c r="AI984" t="inlineStr">
        <is>
          <t>.</t>
        </is>
      </c>
      <c r="AJ984" t="inlineStr">
        <is>
          <t>.</t>
        </is>
      </c>
      <c r="AK984" t="inlineStr">
        <is>
          <t>.</t>
        </is>
      </c>
      <c r="AL984" t="inlineStr">
        <is>
          <t>.</t>
        </is>
      </c>
    </row>
    <row r="985">
      <c r="A985" t="inlineStr"/>
      <c r="B985">
        <f>HYPERLINK("https://genome.ucsc.edu/cgi-bin/hgTracks?db=hg19&amp;position=chr7%3A142028606%2D142028606", "chr7:142028606")</f>
        <v/>
      </c>
      <c r="C985" t="inlineStr">
        <is>
          <t>chr7</t>
        </is>
      </c>
      <c r="D985" t="n">
        <v>142028606</v>
      </c>
      <c r="E985" t="n">
        <v>142028606</v>
      </c>
      <c r="F985" t="inlineStr">
        <is>
          <t>G</t>
        </is>
      </c>
      <c r="G985" t="inlineStr">
        <is>
          <t>T</t>
        </is>
      </c>
      <c r="H985" t="inlineStr">
        <is>
          <t>1765.64</t>
        </is>
      </c>
      <c r="I985" t="inlineStr">
        <is>
          <t>299</t>
        </is>
      </c>
      <c r="J985" t="inlineStr">
        <is>
          <t>237,62</t>
        </is>
      </c>
      <c r="K985" t="inlineStr">
        <is>
          <t>.</t>
        </is>
      </c>
      <c r="L985">
        <f>HYPERLINK("https://www.ncbi.nlm.nih.gov/snp/rs374885376", "rs374885376")</f>
        <v/>
      </c>
      <c r="M985">
        <f>HYPERLINK("https://www.genecards.org/Search/Keyword?queryString=%5Baliases%5D(%20T-cellreceptorIGRb14Vbeta13%20)&amp;keywords=T-cellreceptorIGRb14Vbeta13", "T-cellreceptorIGRb14Vbeta13")</f>
        <v/>
      </c>
      <c r="N985" t="inlineStr">
        <is>
          <t>exonic;intergenic;ncRNA_exonic</t>
        </is>
      </c>
      <c r="O985" t="inlineStr">
        <is>
          <t>stopgain</t>
        </is>
      </c>
      <c r="P985" t="inlineStr">
        <is>
          <t>dist=56538;dist=128736;TRBV6-1:ENST00000390353.2_2:exon2:c.G340T:p.E114X</t>
        </is>
      </c>
      <c r="Q985" t="n">
        <v>0.0269</v>
      </c>
      <c r="R985" t="n">
        <v>0.0011</v>
      </c>
      <c r="S985" t="n">
        <v>0.0014</v>
      </c>
      <c r="T985" t="n">
        <v>-1</v>
      </c>
      <c r="U985" t="n">
        <v>0.0014</v>
      </c>
      <c r="V985" t="inlineStr">
        <is>
          <t>.</t>
        </is>
      </c>
      <c r="W985" t="inlineStr">
        <is>
          <t>.</t>
        </is>
      </c>
      <c r="X985" t="inlineStr">
        <is>
          <t>.</t>
        </is>
      </c>
      <c r="Y985" t="inlineStr">
        <is>
          <t>.</t>
        </is>
      </c>
      <c r="Z985" t="inlineStr">
        <is>
          <t>.</t>
        </is>
      </c>
      <c r="AA985" t="inlineStr">
        <is>
          <t>.</t>
        </is>
      </c>
      <c r="AB985" t="inlineStr">
        <is>
          <t>.</t>
        </is>
      </c>
      <c r="AC985" t="inlineStr">
        <is>
          <t>0/1</t>
        </is>
      </c>
      <c r="AD985" t="inlineStr">
        <is>
          <t>1</t>
        </is>
      </c>
      <c r="AE985" t="inlineStr">
        <is>
          <t>.</t>
        </is>
      </c>
      <c r="AF985" t="inlineStr">
        <is>
          <t>.</t>
        </is>
      </c>
      <c r="AG985" t="inlineStr">
        <is>
          <t>.</t>
        </is>
      </c>
      <c r="AH985" t="inlineStr">
        <is>
          <t>.</t>
        </is>
      </c>
      <c r="AI985" t="inlineStr">
        <is>
          <t>.</t>
        </is>
      </c>
      <c r="AJ985" t="inlineStr">
        <is>
          <t>.</t>
        </is>
      </c>
      <c r="AK985" t="inlineStr">
        <is>
          <t>.</t>
        </is>
      </c>
      <c r="AL985" t="inlineStr">
        <is>
          <t>.</t>
        </is>
      </c>
    </row>
    <row r="986">
      <c r="A986" t="inlineStr"/>
      <c r="B986">
        <f>HYPERLINK("https://genome.ucsc.edu/cgi-bin/hgTracks?db=hg19&amp;position=chr7%3A142032391%2D142032391", "chr7:142032391")</f>
        <v/>
      </c>
      <c r="C986" t="inlineStr">
        <is>
          <t>chr7</t>
        </is>
      </c>
      <c r="D986" t="n">
        <v>142032391</v>
      </c>
      <c r="E986" t="n">
        <v>142032391</v>
      </c>
      <c r="F986" t="inlineStr">
        <is>
          <t>-</t>
        </is>
      </c>
      <c r="G986" t="inlineStr">
        <is>
          <t>AC</t>
        </is>
      </c>
      <c r="H986" t="inlineStr">
        <is>
          <t>584.60</t>
        </is>
      </c>
      <c r="I986" t="inlineStr">
        <is>
          <t>273</t>
        </is>
      </c>
      <c r="J986" t="inlineStr">
        <is>
          <t>241,32</t>
        </is>
      </c>
      <c r="K986" t="inlineStr">
        <is>
          <t>.</t>
        </is>
      </c>
      <c r="L986" t="inlineStr">
        <is>
          <t>.</t>
        </is>
      </c>
      <c r="M986">
        <f>HYPERLINK("https://www.genecards.org/Search/Keyword?queryString=%5Baliases%5D(%20TCRBV20S1%20)&amp;keywords=TCRBV20S1", "TCRBV20S1")</f>
        <v/>
      </c>
      <c r="N986" t="inlineStr">
        <is>
          <t>exonic;intergenic</t>
        </is>
      </c>
      <c r="O986" t="inlineStr">
        <is>
          <t>frameshift insertion</t>
        </is>
      </c>
      <c r="P986" t="inlineStr">
        <is>
          <t>dist=60323;dist=124951;TCRBV20S1:uc011krs.1:exon2:c.211_212insAC:p.K71Nfs*27;TRBV7-1:ENST00000547918.2_4:exon2:c.211_212insAC:p.K71Nfs*27</t>
        </is>
      </c>
      <c r="Q986" t="n">
        <v>0.0113</v>
      </c>
      <c r="R986" t="n">
        <v>9.239e-05</v>
      </c>
      <c r="S986" t="n">
        <v>7.469e-05</v>
      </c>
      <c r="T986" t="n">
        <v>-1</v>
      </c>
      <c r="U986" t="n">
        <v>0.0002</v>
      </c>
      <c r="V986" t="inlineStr">
        <is>
          <t>.</t>
        </is>
      </c>
      <c r="W986" t="inlineStr">
        <is>
          <t>.</t>
        </is>
      </c>
      <c r="X986" t="inlineStr">
        <is>
          <t>.</t>
        </is>
      </c>
      <c r="Y986" t="inlineStr">
        <is>
          <t>.</t>
        </is>
      </c>
      <c r="Z986" t="inlineStr">
        <is>
          <t>.</t>
        </is>
      </c>
      <c r="AA986" t="inlineStr">
        <is>
          <t>.</t>
        </is>
      </c>
      <c r="AB986" t="inlineStr">
        <is>
          <t>.</t>
        </is>
      </c>
      <c r="AC986" t="inlineStr">
        <is>
          <t>.</t>
        </is>
      </c>
      <c r="AD986" t="inlineStr">
        <is>
          <t>2</t>
        </is>
      </c>
      <c r="AE986" t="inlineStr">
        <is>
          <t>.</t>
        </is>
      </c>
      <c r="AF986" t="inlineStr">
        <is>
          <t>.</t>
        </is>
      </c>
      <c r="AG986" t="inlineStr">
        <is>
          <t>.</t>
        </is>
      </c>
      <c r="AH986" t="inlineStr">
        <is>
          <t>.</t>
        </is>
      </c>
      <c r="AI986" t="inlineStr">
        <is>
          <t>.</t>
        </is>
      </c>
      <c r="AJ986" t="inlineStr">
        <is>
          <t>.</t>
        </is>
      </c>
      <c r="AK986" t="inlineStr">
        <is>
          <t>.</t>
        </is>
      </c>
      <c r="AL986" t="inlineStr">
        <is>
          <t>.</t>
        </is>
      </c>
    </row>
    <row r="987">
      <c r="A987" t="inlineStr"/>
      <c r="B987">
        <f>HYPERLINK("https://genome.ucsc.edu/cgi-bin/hgTracks?db=hg19&amp;position=chr7%3A142032394%2D142032395", "chr7:142032394")</f>
        <v/>
      </c>
      <c r="C987" t="inlineStr">
        <is>
          <t>chr7</t>
        </is>
      </c>
      <c r="D987" t="n">
        <v>142032394</v>
      </c>
      <c r="E987" t="n">
        <v>142032395</v>
      </c>
      <c r="F987" t="inlineStr">
        <is>
          <t>GA</t>
        </is>
      </c>
      <c r="G987" t="inlineStr">
        <is>
          <t>-</t>
        </is>
      </c>
      <c r="H987" t="inlineStr">
        <is>
          <t>566.60</t>
        </is>
      </c>
      <c r="I987" t="inlineStr">
        <is>
          <t>279</t>
        </is>
      </c>
      <c r="J987" t="inlineStr">
        <is>
          <t>247,32</t>
        </is>
      </c>
      <c r="K987" t="inlineStr">
        <is>
          <t>.</t>
        </is>
      </c>
      <c r="L987" t="inlineStr">
        <is>
          <t>.</t>
        </is>
      </c>
      <c r="M987">
        <f>HYPERLINK("https://www.genecards.org/Search/Keyword?queryString=%5Baliases%5D(%20TCRBV20S1%20)&amp;keywords=TCRBV20S1", "TCRBV20S1")</f>
        <v/>
      </c>
      <c r="N987" t="inlineStr">
        <is>
          <t>exonic;intergenic</t>
        </is>
      </c>
      <c r="O987" t="inlineStr">
        <is>
          <t>frameshift deletion</t>
        </is>
      </c>
      <c r="P987" t="inlineStr">
        <is>
          <t>dist=60326;dist=124947;TCRBV20S1:uc011krs.1:exon2:c.214_215del:p.D72Cfs*10;TRBV7-1:ENST00000547918.2_4:exon2:c.214_215del:p.D72Cfs*10</t>
        </is>
      </c>
      <c r="Q987" t="n">
        <v>0.0114</v>
      </c>
      <c r="R987" t="n">
        <v>9.796e-05</v>
      </c>
      <c r="S987" t="n">
        <v>7.802e-05</v>
      </c>
      <c r="T987" t="n">
        <v>-1</v>
      </c>
      <c r="U987" t="n">
        <v>0.0002</v>
      </c>
      <c r="V987" t="inlineStr">
        <is>
          <t>.</t>
        </is>
      </c>
      <c r="W987" t="inlineStr">
        <is>
          <t>.</t>
        </is>
      </c>
      <c r="X987" t="inlineStr">
        <is>
          <t>.</t>
        </is>
      </c>
      <c r="Y987" t="inlineStr">
        <is>
          <t>.</t>
        </is>
      </c>
      <c r="Z987" t="inlineStr">
        <is>
          <t>.</t>
        </is>
      </c>
      <c r="AA987" t="inlineStr">
        <is>
          <t>.</t>
        </is>
      </c>
      <c r="AB987" t="inlineStr">
        <is>
          <t>.</t>
        </is>
      </c>
      <c r="AC987" t="inlineStr">
        <is>
          <t>.</t>
        </is>
      </c>
      <c r="AD987" t="inlineStr">
        <is>
          <t>2</t>
        </is>
      </c>
      <c r="AE987" t="inlineStr">
        <is>
          <t>.</t>
        </is>
      </c>
      <c r="AF987" t="inlineStr">
        <is>
          <t>.</t>
        </is>
      </c>
      <c r="AG987" t="inlineStr">
        <is>
          <t>.</t>
        </is>
      </c>
      <c r="AH987" t="inlineStr">
        <is>
          <t>.</t>
        </is>
      </c>
      <c r="AI987" t="inlineStr">
        <is>
          <t>.</t>
        </is>
      </c>
      <c r="AJ987" t="inlineStr">
        <is>
          <t>.</t>
        </is>
      </c>
      <c r="AK987" t="inlineStr">
        <is>
          <t>.</t>
        </is>
      </c>
      <c r="AL987" t="inlineStr">
        <is>
          <t>.</t>
        </is>
      </c>
    </row>
    <row r="988">
      <c r="A988" t="inlineStr"/>
      <c r="B988">
        <f>HYPERLINK("https://genome.ucsc.edu/cgi-bin/hgTracks?db=hg19&amp;position=chr7%3A142120124%2D142120124", "chr7:142120124")</f>
        <v/>
      </c>
      <c r="C988" t="inlineStr">
        <is>
          <t>chr7</t>
        </is>
      </c>
      <c r="D988" t="n">
        <v>142120124</v>
      </c>
      <c r="E988" t="n">
        <v>142120124</v>
      </c>
      <c r="F988" t="inlineStr">
        <is>
          <t>A</t>
        </is>
      </c>
      <c r="G988" t="inlineStr">
        <is>
          <t>C</t>
        </is>
      </c>
      <c r="H988" t="inlineStr">
        <is>
          <t>68.64</t>
        </is>
      </c>
      <c r="I988" t="inlineStr">
        <is>
          <t>165</t>
        </is>
      </c>
      <c r="J988" t="inlineStr">
        <is>
          <t>146,19</t>
        </is>
      </c>
      <c r="K988" t="inlineStr">
        <is>
          <t>.</t>
        </is>
      </c>
      <c r="L988" t="inlineStr">
        <is>
          <t>.</t>
        </is>
      </c>
      <c r="M988">
        <f>HYPERLINK("https://www.genecards.org/Search/Keyword?queryString=%5Baliases%5D(%20TCRBV6S6A2T%20)&amp;keywords=TCRBV6S6A2T", "TCRBV6S6A2T")</f>
        <v/>
      </c>
      <c r="N988" t="inlineStr">
        <is>
          <t>exonic;intergenic;intronic</t>
        </is>
      </c>
      <c r="O988" t="inlineStr">
        <is>
          <t>nonsynonymous SNV</t>
        </is>
      </c>
      <c r="P988" t="inlineStr">
        <is>
          <t>dist=148056;dist=37218;TCRBV6S6A2T:uc022anf.1:exon2:c.T58G:p.S20A</t>
        </is>
      </c>
      <c r="Q988" t="n">
        <v>-1</v>
      </c>
      <c r="R988" t="n">
        <v>-1</v>
      </c>
      <c r="S988" t="n">
        <v>-1</v>
      </c>
      <c r="T988" t="n">
        <v>-1</v>
      </c>
      <c r="U988" t="n">
        <v>-1</v>
      </c>
      <c r="V988" t="inlineStr">
        <is>
          <t>.</t>
        </is>
      </c>
      <c r="W988" t="inlineStr">
        <is>
          <t>.</t>
        </is>
      </c>
      <c r="X988" t="inlineStr">
        <is>
          <t>PD</t>
        </is>
      </c>
      <c r="Y988" t="inlineStr">
        <is>
          <t>on</t>
        </is>
      </c>
      <c r="Z988" t="inlineStr">
        <is>
          <t>.</t>
        </is>
      </c>
      <c r="AA988" t="inlineStr">
        <is>
          <t>.</t>
        </is>
      </c>
      <c r="AB988" t="inlineStr">
        <is>
          <t>.</t>
        </is>
      </c>
      <c r="AC988" t="inlineStr">
        <is>
          <t>.</t>
        </is>
      </c>
      <c r="AD988" t="inlineStr">
        <is>
          <t>1</t>
        </is>
      </c>
      <c r="AE988" t="inlineStr">
        <is>
          <t>.</t>
        </is>
      </c>
      <c r="AF988" t="inlineStr">
        <is>
          <t>.</t>
        </is>
      </c>
      <c r="AG988" t="inlineStr">
        <is>
          <t>.</t>
        </is>
      </c>
      <c r="AH988" t="inlineStr">
        <is>
          <t>.</t>
        </is>
      </c>
      <c r="AI988" t="inlineStr">
        <is>
          <t>.</t>
        </is>
      </c>
      <c r="AJ988" t="inlineStr">
        <is>
          <t>.</t>
        </is>
      </c>
      <c r="AK988" t="inlineStr">
        <is>
          <t>.</t>
        </is>
      </c>
      <c r="AL988" t="inlineStr">
        <is>
          <t>.</t>
        </is>
      </c>
    </row>
    <row r="989">
      <c r="A989" t="inlineStr"/>
      <c r="B989">
        <f>HYPERLINK("https://genome.ucsc.edu/cgi-bin/hgTracks?db=hg19&amp;position=chr7%3A142460045%2D142460045", "chr7:142460045")</f>
        <v/>
      </c>
      <c r="C989" t="inlineStr">
        <is>
          <t>chr7</t>
        </is>
      </c>
      <c r="D989" t="n">
        <v>142460045</v>
      </c>
      <c r="E989" t="n">
        <v>142460045</v>
      </c>
      <c r="F989" t="inlineStr">
        <is>
          <t>C</t>
        </is>
      </c>
      <c r="G989" t="inlineStr">
        <is>
          <t>T</t>
        </is>
      </c>
      <c r="H989" t="inlineStr">
        <is>
          <t>352.64</t>
        </is>
      </c>
      <c r="I989" t="inlineStr">
        <is>
          <t>45</t>
        </is>
      </c>
      <c r="J989" t="inlineStr">
        <is>
          <t>34,11</t>
        </is>
      </c>
      <c r="K989" t="inlineStr">
        <is>
          <t>.</t>
        </is>
      </c>
      <c r="L989">
        <f>HYPERLINK("https://www.ncbi.nlm.nih.gov/snp/rs367991574", "rs367991574")</f>
        <v/>
      </c>
      <c r="M989">
        <f>HYPERLINK("https://www.genecards.org/Search/Keyword?queryString=%5Baliases%5D(%20PRSS1%20)%20OR%20%5Baliases%5D(%20TCRVB%20)&amp;keywords=PRSS1,TCRVB", "PRSS1;TCRVB")</f>
        <v/>
      </c>
      <c r="N989" t="inlineStr">
        <is>
          <t>intronic;ncRNA_intronic</t>
        </is>
      </c>
      <c r="O989" t="inlineStr">
        <is>
          <t>.</t>
        </is>
      </c>
      <c r="P989" t="inlineStr">
        <is>
          <t>.</t>
        </is>
      </c>
      <c r="Q989" t="n">
        <v>0.000461</v>
      </c>
      <c r="R989" t="n">
        <v>-1</v>
      </c>
      <c r="S989" t="n">
        <v>-1</v>
      </c>
      <c r="T989" t="n">
        <v>-1</v>
      </c>
      <c r="U989" t="n">
        <v>-1</v>
      </c>
      <c r="V989" t="inlineStr">
        <is>
          <t>.</t>
        </is>
      </c>
      <c r="W989" t="inlineStr">
        <is>
          <t>.</t>
        </is>
      </c>
      <c r="X989" t="inlineStr">
        <is>
          <t>B</t>
        </is>
      </c>
      <c r="Y989" t="inlineStr">
        <is>
          <t>off</t>
        </is>
      </c>
      <c r="Z989" t="inlineStr">
        <is>
          <t>.</t>
        </is>
      </c>
      <c r="AA989" t="inlineStr">
        <is>
          <t>.</t>
        </is>
      </c>
      <c r="AB989" t="inlineStr">
        <is>
          <t>.</t>
        </is>
      </c>
      <c r="AC989" t="inlineStr">
        <is>
          <t>.</t>
        </is>
      </c>
      <c r="AD989" t="inlineStr">
        <is>
          <t>6;6</t>
        </is>
      </c>
      <c r="AE989" t="inlineStr">
        <is>
          <t>0.00122029540045484</t>
        </is>
      </c>
      <c r="AF989" t="inlineStr">
        <is>
          <t>protease, serine 1</t>
        </is>
      </c>
      <c r="AG989" t="inlineStr">
        <is>
          <t xml:space="preserve">FUNCTION: Has activity against the synthetic substrates Boc-Phe- Ser-Arg-Mec, Boc-Leu-Thr-Arg-Mec, Boc-Gln-Ala-Arg-Mec and Boc-Val- Pro-Arg-Mec. The single-chain form is more active than the two- chain form against all of these substrates. {ECO:0000269|PubMed:7945238}.; </t>
        </is>
      </c>
      <c r="AH989" t="inlineStr">
        <is>
          <t xml:space="preserve">DISEASE: Pancreatitis, hereditary (PCTT) [MIM:167800]: A disease characterized by pancreas inflammation, permanent destruction of the pancreatic parenchyma, maldigestion, and severe abdominal pain attacks. {ECO:0000269|PubMed:10204851, ECO:0000269|PubMed:10381903, ECO:0000269|PubMed:10930381, ECO:0000269|PubMed:11073545, ECO:0000269|PubMed:11788572, ECO:0000269|PubMed:11866271, ECO:0000269|PubMed:14695529, ECO:0000269|PubMed:15776435, ECO:0000269|PubMed:8841182, ECO:0000269|PubMed:9322498, ECO:0000269|PubMed:9633818}. Note=Disease susceptibility is associated with variations affecting the gene represented in this entry.; </t>
        </is>
      </c>
      <c r="AI989" t="inlineStr">
        <is>
          <t>.</t>
        </is>
      </c>
      <c r="AJ989" t="inlineStr">
        <is>
          <t>.</t>
        </is>
      </c>
      <c r="AK989" t="inlineStr">
        <is>
          <t>.</t>
        </is>
      </c>
      <c r="AL989" t="inlineStr">
        <is>
          <t>.</t>
        </is>
      </c>
    </row>
    <row r="990">
      <c r="A990" t="inlineStr"/>
      <c r="B990">
        <f>HYPERLINK("https://genome.ucsc.edu/cgi-bin/hgTracks?db=hg19&amp;position=chr7%3A142460046%2D142460046", "chr7:142460046")</f>
        <v/>
      </c>
      <c r="C990" t="inlineStr">
        <is>
          <t>chr7</t>
        </is>
      </c>
      <c r="D990" t="n">
        <v>142460046</v>
      </c>
      <c r="E990" t="n">
        <v>142460046</v>
      </c>
      <c r="F990" t="inlineStr">
        <is>
          <t>T</t>
        </is>
      </c>
      <c r="G990" t="inlineStr">
        <is>
          <t>G</t>
        </is>
      </c>
      <c r="H990" t="inlineStr">
        <is>
          <t>355.64</t>
        </is>
      </c>
      <c r="I990" t="inlineStr">
        <is>
          <t>44</t>
        </is>
      </c>
      <c r="J990" t="inlineStr">
        <is>
          <t>33,11</t>
        </is>
      </c>
      <c r="K990" t="inlineStr">
        <is>
          <t>.</t>
        </is>
      </c>
      <c r="L990">
        <f>HYPERLINK("https://www.ncbi.nlm.nih.gov/snp/rs371778638", "rs371778638")</f>
        <v/>
      </c>
      <c r="M990">
        <f>HYPERLINK("https://www.genecards.org/Search/Keyword?queryString=%5Baliases%5D(%20PRSS1%20)%20OR%20%5Baliases%5D(%20TCRVB%20)&amp;keywords=PRSS1,TCRVB", "PRSS1;TCRVB")</f>
        <v/>
      </c>
      <c r="N990" t="inlineStr">
        <is>
          <t>intronic;ncRNA_intronic</t>
        </is>
      </c>
      <c r="O990" t="inlineStr">
        <is>
          <t>.</t>
        </is>
      </c>
      <c r="P990" t="inlineStr">
        <is>
          <t>.</t>
        </is>
      </c>
      <c r="Q990" t="n">
        <v>0.0004226</v>
      </c>
      <c r="R990" t="n">
        <v>-1</v>
      </c>
      <c r="S990" t="n">
        <v>-1</v>
      </c>
      <c r="T990" t="n">
        <v>-1</v>
      </c>
      <c r="U990" t="n">
        <v>-1</v>
      </c>
      <c r="V990" t="inlineStr">
        <is>
          <t>.</t>
        </is>
      </c>
      <c r="W990" t="inlineStr">
        <is>
          <t>.</t>
        </is>
      </c>
      <c r="X990" t="inlineStr">
        <is>
          <t>B</t>
        </is>
      </c>
      <c r="Y990" t="inlineStr">
        <is>
          <t>off</t>
        </is>
      </c>
      <c r="Z990" t="inlineStr">
        <is>
          <t>.</t>
        </is>
      </c>
      <c r="AA990" t="inlineStr">
        <is>
          <t>.</t>
        </is>
      </c>
      <c r="AB990" t="inlineStr">
        <is>
          <t>.</t>
        </is>
      </c>
      <c r="AC990" t="inlineStr">
        <is>
          <t>.</t>
        </is>
      </c>
      <c r="AD990" t="inlineStr">
        <is>
          <t>6;6</t>
        </is>
      </c>
      <c r="AE990" t="inlineStr">
        <is>
          <t>0.00122029540045484</t>
        </is>
      </c>
      <c r="AF990" t="inlineStr">
        <is>
          <t>protease, serine 1</t>
        </is>
      </c>
      <c r="AG990" t="inlineStr">
        <is>
          <t xml:space="preserve">FUNCTION: Has activity against the synthetic substrates Boc-Phe- Ser-Arg-Mec, Boc-Leu-Thr-Arg-Mec, Boc-Gln-Ala-Arg-Mec and Boc-Val- Pro-Arg-Mec. The single-chain form is more active than the two- chain form against all of these substrates. {ECO:0000269|PubMed:7945238}.; </t>
        </is>
      </c>
      <c r="AH990" t="inlineStr">
        <is>
          <t xml:space="preserve">DISEASE: Pancreatitis, hereditary (PCTT) [MIM:167800]: A disease characterized by pancreas inflammation, permanent destruction of the pancreatic parenchyma, maldigestion, and severe abdominal pain attacks. {ECO:0000269|PubMed:10204851, ECO:0000269|PubMed:10381903, ECO:0000269|PubMed:10930381, ECO:0000269|PubMed:11073545, ECO:0000269|PubMed:11788572, ECO:0000269|PubMed:11866271, ECO:0000269|PubMed:14695529, ECO:0000269|PubMed:15776435, ECO:0000269|PubMed:8841182, ECO:0000269|PubMed:9322498, ECO:0000269|PubMed:9633818}. Note=Disease susceptibility is associated with variations affecting the gene represented in this entry.; </t>
        </is>
      </c>
      <c r="AI990" t="inlineStr">
        <is>
          <t>.</t>
        </is>
      </c>
      <c r="AJ990" t="inlineStr">
        <is>
          <t>.</t>
        </is>
      </c>
      <c r="AK990" t="inlineStr">
        <is>
          <t>.</t>
        </is>
      </c>
      <c r="AL990" t="inlineStr">
        <is>
          <t>.</t>
        </is>
      </c>
    </row>
    <row r="991">
      <c r="A991" t="inlineStr"/>
      <c r="B991">
        <f>HYPERLINK("https://genome.ucsc.edu/cgi-bin/hgTracks?db=hg19&amp;position=chr7%3A142460255%2D142460255", "chr7:142460255")</f>
        <v/>
      </c>
      <c r="C991" t="inlineStr">
        <is>
          <t>chr7</t>
        </is>
      </c>
      <c r="D991" t="n">
        <v>142460255</v>
      </c>
      <c r="E991" t="n">
        <v>142460255</v>
      </c>
      <c r="F991" t="inlineStr">
        <is>
          <t>C</t>
        </is>
      </c>
      <c r="G991" t="inlineStr">
        <is>
          <t>-</t>
        </is>
      </c>
      <c r="H991" t="inlineStr">
        <is>
          <t>2395.60</t>
        </is>
      </c>
      <c r="I991" t="inlineStr">
        <is>
          <t>179</t>
        </is>
      </c>
      <c r="J991" t="inlineStr">
        <is>
          <t>112,67</t>
        </is>
      </c>
      <c r="K991" t="inlineStr">
        <is>
          <t>.</t>
        </is>
      </c>
      <c r="L991">
        <f>HYPERLINK("https://www.ncbi.nlm.nih.gov/snp/rs376880201", "rs376880201")</f>
        <v/>
      </c>
      <c r="M991">
        <f>HYPERLINK("https://www.genecards.org/Search/Keyword?queryString=%5Baliases%5D(%20PRSS1%20)%20OR%20%5Baliases%5D(%20TCRVB%20)&amp;keywords=PRSS1,TCRVB", "PRSS1;TCRVB")</f>
        <v/>
      </c>
      <c r="N991" t="inlineStr">
        <is>
          <t>intronic;ncRNA_intronic</t>
        </is>
      </c>
      <c r="O991" t="inlineStr">
        <is>
          <t>.</t>
        </is>
      </c>
      <c r="P991" t="inlineStr">
        <is>
          <t>.</t>
        </is>
      </c>
      <c r="Q991" t="n">
        <v>0.0051</v>
      </c>
      <c r="R991" t="n">
        <v>0.0053</v>
      </c>
      <c r="S991" t="n">
        <v>0.0051</v>
      </c>
      <c r="T991" t="n">
        <v>-1</v>
      </c>
      <c r="U991" t="n">
        <v>0.0033</v>
      </c>
      <c r="V991" t="inlineStr">
        <is>
          <t>.</t>
        </is>
      </c>
      <c r="W991" t="inlineStr">
        <is>
          <t>.</t>
        </is>
      </c>
      <c r="X991" t="inlineStr">
        <is>
          <t>.</t>
        </is>
      </c>
      <c r="Y991" t="inlineStr">
        <is>
          <t>.</t>
        </is>
      </c>
      <c r="Z991" t="inlineStr">
        <is>
          <t>.</t>
        </is>
      </c>
      <c r="AA991" t="inlineStr">
        <is>
          <t>.</t>
        </is>
      </c>
      <c r="AB991" t="inlineStr">
        <is>
          <t>.</t>
        </is>
      </c>
      <c r="AC991" t="inlineStr">
        <is>
          <t>.</t>
        </is>
      </c>
      <c r="AD991" t="inlineStr">
        <is>
          <t>6;6</t>
        </is>
      </c>
      <c r="AE991" t="inlineStr">
        <is>
          <t>0.00122029540045484</t>
        </is>
      </c>
      <c r="AF991" t="inlineStr">
        <is>
          <t>protease, serine 1</t>
        </is>
      </c>
      <c r="AG991" t="inlineStr">
        <is>
          <t xml:space="preserve">FUNCTION: Has activity against the synthetic substrates Boc-Phe- Ser-Arg-Mec, Boc-Leu-Thr-Arg-Mec, Boc-Gln-Ala-Arg-Mec and Boc-Val- Pro-Arg-Mec. The single-chain form is more active than the two- chain form against all of these substrates. {ECO:0000269|PubMed:7945238}.; </t>
        </is>
      </c>
      <c r="AH991" t="inlineStr">
        <is>
          <t xml:space="preserve">DISEASE: Pancreatitis, hereditary (PCTT) [MIM:167800]: A disease characterized by pancreas inflammation, permanent destruction of the pancreatic parenchyma, maldigestion, and severe abdominal pain attacks. {ECO:0000269|PubMed:10204851, ECO:0000269|PubMed:10381903, ECO:0000269|PubMed:10930381, ECO:0000269|PubMed:11073545, ECO:0000269|PubMed:11788572, ECO:0000269|PubMed:11866271, ECO:0000269|PubMed:14695529, ECO:0000269|PubMed:15776435, ECO:0000269|PubMed:8841182, ECO:0000269|PubMed:9322498, ECO:0000269|PubMed:9633818}. Note=Disease susceptibility is associated with variations affecting the gene represented in this entry.; </t>
        </is>
      </c>
      <c r="AI991" t="inlineStr">
        <is>
          <t>.</t>
        </is>
      </c>
      <c r="AJ991" t="inlineStr">
        <is>
          <t>.</t>
        </is>
      </c>
      <c r="AK991" t="inlineStr">
        <is>
          <t>.</t>
        </is>
      </c>
      <c r="AL991" t="inlineStr">
        <is>
          <t>.</t>
        </is>
      </c>
    </row>
    <row r="992">
      <c r="A992" t="inlineStr"/>
      <c r="B992">
        <f>HYPERLINK("https://genome.ucsc.edu/cgi-bin/hgTracks?db=hg19&amp;position=chr7%3A142460614%2D142460614", "chr7:142460614")</f>
        <v/>
      </c>
      <c r="C992" t="inlineStr">
        <is>
          <t>chr7</t>
        </is>
      </c>
      <c r="D992" t="n">
        <v>142460614</v>
      </c>
      <c r="E992" t="n">
        <v>142460614</v>
      </c>
      <c r="F992" t="inlineStr">
        <is>
          <t>A</t>
        </is>
      </c>
      <c r="G992" t="inlineStr">
        <is>
          <t>G</t>
        </is>
      </c>
      <c r="H992" t="inlineStr">
        <is>
          <t>269.64</t>
        </is>
      </c>
      <c r="I992" t="inlineStr">
        <is>
          <t>44</t>
        </is>
      </c>
      <c r="J992" t="inlineStr">
        <is>
          <t>34,10</t>
        </is>
      </c>
      <c r="K992" t="inlineStr">
        <is>
          <t>.</t>
        </is>
      </c>
      <c r="L992">
        <f>HYPERLINK("https://www.ncbi.nlm.nih.gov/snp/rs373440695", "rs373440695")</f>
        <v/>
      </c>
      <c r="M992">
        <f>HYPERLINK("https://www.genecards.org/Search/Keyword?queryString=%5Baliases%5D(%20PRSS1%20)%20OR%20%5Baliases%5D(%20TCRVB%20)&amp;keywords=PRSS1,TCRVB", "PRSS1;TCRVB")</f>
        <v/>
      </c>
      <c r="N992" t="inlineStr">
        <is>
          <t>intronic;ncRNA_intronic</t>
        </is>
      </c>
      <c r="O992" t="inlineStr">
        <is>
          <t>.</t>
        </is>
      </c>
      <c r="P992" t="inlineStr">
        <is>
          <t>.</t>
        </is>
      </c>
      <c r="Q992" t="n">
        <v>0.026273</v>
      </c>
      <c r="R992" t="n">
        <v>-1</v>
      </c>
      <c r="S992" t="n">
        <v>-1</v>
      </c>
      <c r="T992" t="n">
        <v>-1</v>
      </c>
      <c r="U992" t="n">
        <v>-1</v>
      </c>
      <c r="V992" t="inlineStr">
        <is>
          <t>.</t>
        </is>
      </c>
      <c r="W992" t="inlineStr">
        <is>
          <t>.</t>
        </is>
      </c>
      <c r="X992" t="inlineStr">
        <is>
          <t>B</t>
        </is>
      </c>
      <c r="Y992" t="inlineStr">
        <is>
          <t>off</t>
        </is>
      </c>
      <c r="Z992" t="inlineStr">
        <is>
          <t>.</t>
        </is>
      </c>
      <c r="AA992" t="inlineStr">
        <is>
          <t>.</t>
        </is>
      </c>
      <c r="AB992" t="inlineStr">
        <is>
          <t>.</t>
        </is>
      </c>
      <c r="AC992" t="inlineStr">
        <is>
          <t>0/1</t>
        </is>
      </c>
      <c r="AD992" t="inlineStr">
        <is>
          <t>6;6</t>
        </is>
      </c>
      <c r="AE992" t="inlineStr">
        <is>
          <t>0.00122029540045484</t>
        </is>
      </c>
      <c r="AF992" t="inlineStr">
        <is>
          <t>protease, serine 1</t>
        </is>
      </c>
      <c r="AG992" t="inlineStr">
        <is>
          <t xml:space="preserve">FUNCTION: Has activity against the synthetic substrates Boc-Phe- Ser-Arg-Mec, Boc-Leu-Thr-Arg-Mec, Boc-Gln-Ala-Arg-Mec and Boc-Val- Pro-Arg-Mec. The single-chain form is more active than the two- chain form against all of these substrates. {ECO:0000269|PubMed:7945238}.; </t>
        </is>
      </c>
      <c r="AH992" t="inlineStr">
        <is>
          <t xml:space="preserve">DISEASE: Pancreatitis, hereditary (PCTT) [MIM:167800]: A disease characterized by pancreas inflammation, permanent destruction of the pancreatic parenchyma, maldigestion, and severe abdominal pain attacks. {ECO:0000269|PubMed:10204851, ECO:0000269|PubMed:10381903, ECO:0000269|PubMed:10930381, ECO:0000269|PubMed:11073545, ECO:0000269|PubMed:11788572, ECO:0000269|PubMed:11866271, ECO:0000269|PubMed:14695529, ECO:0000269|PubMed:15776435, ECO:0000269|PubMed:8841182, ECO:0000269|PubMed:9322498, ECO:0000269|PubMed:9633818}. Note=Disease susceptibility is associated with variations affecting the gene represented in this entry.; </t>
        </is>
      </c>
      <c r="AI992" t="inlineStr">
        <is>
          <t>.</t>
        </is>
      </c>
      <c r="AJ992" t="inlineStr">
        <is>
          <t>.</t>
        </is>
      </c>
      <c r="AK992" t="inlineStr">
        <is>
          <t>.</t>
        </is>
      </c>
      <c r="AL992" t="inlineStr">
        <is>
          <t>.</t>
        </is>
      </c>
    </row>
    <row r="993">
      <c r="A993" t="inlineStr"/>
      <c r="B993">
        <f>HYPERLINK("https://genome.ucsc.edu/cgi-bin/hgTracks?db=hg19&amp;position=chr7%3A142460642%2D142460642", "chr7:142460642")</f>
        <v/>
      </c>
      <c r="C993" t="inlineStr">
        <is>
          <t>chr7</t>
        </is>
      </c>
      <c r="D993" t="n">
        <v>142460642</v>
      </c>
      <c r="E993" t="n">
        <v>142460642</v>
      </c>
      <c r="F993" t="inlineStr">
        <is>
          <t>G</t>
        </is>
      </c>
      <c r="G993" t="inlineStr">
        <is>
          <t>C</t>
        </is>
      </c>
      <c r="H993" t="inlineStr">
        <is>
          <t>565.64</t>
        </is>
      </c>
      <c r="I993" t="inlineStr">
        <is>
          <t>65</t>
        </is>
      </c>
      <c r="J993" t="inlineStr">
        <is>
          <t>47,18</t>
        </is>
      </c>
      <c r="K993" t="inlineStr">
        <is>
          <t>.</t>
        </is>
      </c>
      <c r="L993">
        <f>HYPERLINK("https://www.ncbi.nlm.nih.gov/snp/rs373536377", "rs373536377")</f>
        <v/>
      </c>
      <c r="M993">
        <f>HYPERLINK("https://www.genecards.org/Search/Keyword?queryString=%5Baliases%5D(%20PRSS1%20)%20OR%20%5Baliases%5D(%20TCRVB%20)&amp;keywords=PRSS1,TCRVB", "PRSS1;TCRVB")</f>
        <v/>
      </c>
      <c r="N993" t="inlineStr">
        <is>
          <t>intronic;ncRNA_intronic</t>
        </is>
      </c>
      <c r="O993" t="inlineStr">
        <is>
          <t>.</t>
        </is>
      </c>
      <c r="P993" t="inlineStr">
        <is>
          <t>.</t>
        </is>
      </c>
      <c r="Q993" t="n">
        <v>0.0022668</v>
      </c>
      <c r="R993" t="n">
        <v>-1</v>
      </c>
      <c r="S993" t="n">
        <v>-1</v>
      </c>
      <c r="T993" t="n">
        <v>-1</v>
      </c>
      <c r="U993" t="n">
        <v>-1</v>
      </c>
      <c r="V993" t="inlineStr">
        <is>
          <t>.</t>
        </is>
      </c>
      <c r="W993" t="inlineStr">
        <is>
          <t>.</t>
        </is>
      </c>
      <c r="X993" t="inlineStr">
        <is>
          <t>B</t>
        </is>
      </c>
      <c r="Y993" t="inlineStr">
        <is>
          <t>off</t>
        </is>
      </c>
      <c r="Z993" t="inlineStr">
        <is>
          <t>.</t>
        </is>
      </c>
      <c r="AA993" t="inlineStr">
        <is>
          <t>.</t>
        </is>
      </c>
      <c r="AB993" t="inlineStr">
        <is>
          <t>.</t>
        </is>
      </c>
      <c r="AC993" t="inlineStr">
        <is>
          <t>0/1</t>
        </is>
      </c>
      <c r="AD993" t="inlineStr">
        <is>
          <t>6;6</t>
        </is>
      </c>
      <c r="AE993" t="inlineStr">
        <is>
          <t>0.00122029540045484</t>
        </is>
      </c>
      <c r="AF993" t="inlineStr">
        <is>
          <t>protease, serine 1</t>
        </is>
      </c>
      <c r="AG993" t="inlineStr">
        <is>
          <t xml:space="preserve">FUNCTION: Has activity against the synthetic substrates Boc-Phe- Ser-Arg-Mec, Boc-Leu-Thr-Arg-Mec, Boc-Gln-Ala-Arg-Mec and Boc-Val- Pro-Arg-Mec. The single-chain form is more active than the two- chain form against all of these substrates. {ECO:0000269|PubMed:7945238}.; </t>
        </is>
      </c>
      <c r="AH993" t="inlineStr">
        <is>
          <t xml:space="preserve">DISEASE: Pancreatitis, hereditary (PCTT) [MIM:167800]: A disease characterized by pancreas inflammation, permanent destruction of the pancreatic parenchyma, maldigestion, and severe abdominal pain attacks. {ECO:0000269|PubMed:10204851, ECO:0000269|PubMed:10381903, ECO:0000269|PubMed:10930381, ECO:0000269|PubMed:11073545, ECO:0000269|PubMed:11788572, ECO:0000269|PubMed:11866271, ECO:0000269|PubMed:14695529, ECO:0000269|PubMed:15776435, ECO:0000269|PubMed:8841182, ECO:0000269|PubMed:9322498, ECO:0000269|PubMed:9633818}. Note=Disease susceptibility is associated with variations affecting the gene represented in this entry.; </t>
        </is>
      </c>
      <c r="AI993" t="inlineStr">
        <is>
          <t>GenotypeConflict</t>
        </is>
      </c>
      <c r="AJ993" t="inlineStr">
        <is>
          <t>.</t>
        </is>
      </c>
      <c r="AK993" t="inlineStr">
        <is>
          <t>.</t>
        </is>
      </c>
      <c r="AL993" t="inlineStr">
        <is>
          <t>.</t>
        </is>
      </c>
    </row>
    <row r="994">
      <c r="A994" t="inlineStr"/>
      <c r="B994">
        <f>HYPERLINK("https://genome.ucsc.edu/cgi-bin/hgTracks?db=hg19&amp;position=chr7%3A142460660%2D142460660", "chr7:142460660")</f>
        <v/>
      </c>
      <c r="C994" t="inlineStr">
        <is>
          <t>chr7</t>
        </is>
      </c>
      <c r="D994" t="n">
        <v>142460660</v>
      </c>
      <c r="E994" t="n">
        <v>142460660</v>
      </c>
      <c r="F994" t="inlineStr">
        <is>
          <t>T</t>
        </is>
      </c>
      <c r="G994" t="inlineStr">
        <is>
          <t>C</t>
        </is>
      </c>
      <c r="H994" t="inlineStr">
        <is>
          <t>942.64</t>
        </is>
      </c>
      <c r="I994" t="inlineStr">
        <is>
          <t>88</t>
        </is>
      </c>
      <c r="J994" t="inlineStr">
        <is>
          <t>61,27</t>
        </is>
      </c>
      <c r="K994" t="inlineStr">
        <is>
          <t>.</t>
        </is>
      </c>
      <c r="L994">
        <f>HYPERLINK("https://www.ncbi.nlm.nih.gov/snp/rs796239652", "rs796239652")</f>
        <v/>
      </c>
      <c r="M994">
        <f>HYPERLINK("https://www.genecards.org/Search/Keyword?queryString=%5Baliases%5D(%20PRSS1%20)%20OR%20%5Baliases%5D(%20TCRVB%20)&amp;keywords=PRSS1,TCRVB", "PRSS1;TCRVB")</f>
        <v/>
      </c>
      <c r="N994" t="inlineStr">
        <is>
          <t>intronic;ncRNA_intronic</t>
        </is>
      </c>
      <c r="O994" t="inlineStr">
        <is>
          <t>.</t>
        </is>
      </c>
      <c r="P994" t="inlineStr">
        <is>
          <t>.</t>
        </is>
      </c>
      <c r="Q994" t="n">
        <v>0.0004226</v>
      </c>
      <c r="R994" t="n">
        <v>-1</v>
      </c>
      <c r="S994" t="n">
        <v>-1</v>
      </c>
      <c r="T994" t="n">
        <v>-1</v>
      </c>
      <c r="U994" t="n">
        <v>-1</v>
      </c>
      <c r="V994" t="inlineStr">
        <is>
          <t>.</t>
        </is>
      </c>
      <c r="W994" t="inlineStr">
        <is>
          <t>.</t>
        </is>
      </c>
      <c r="X994" t="inlineStr">
        <is>
          <t>B</t>
        </is>
      </c>
      <c r="Y994" t="inlineStr">
        <is>
          <t>off</t>
        </is>
      </c>
      <c r="Z994" t="inlineStr">
        <is>
          <t>.</t>
        </is>
      </c>
      <c r="AA994" t="inlineStr">
        <is>
          <t>.</t>
        </is>
      </c>
      <c r="AB994" t="inlineStr">
        <is>
          <t>.</t>
        </is>
      </c>
      <c r="AC994" t="inlineStr">
        <is>
          <t>.</t>
        </is>
      </c>
      <c r="AD994" t="inlineStr">
        <is>
          <t>6;6</t>
        </is>
      </c>
      <c r="AE994" t="inlineStr">
        <is>
          <t>0.00122029540045484</t>
        </is>
      </c>
      <c r="AF994" t="inlineStr">
        <is>
          <t>protease, serine 1</t>
        </is>
      </c>
      <c r="AG994" t="inlineStr">
        <is>
          <t xml:space="preserve">FUNCTION: Has activity against the synthetic substrates Boc-Phe- Ser-Arg-Mec, Boc-Leu-Thr-Arg-Mec, Boc-Gln-Ala-Arg-Mec and Boc-Val- Pro-Arg-Mec. The single-chain form is more active than the two- chain form against all of these substrates. {ECO:0000269|PubMed:7945238}.; </t>
        </is>
      </c>
      <c r="AH994" t="inlineStr">
        <is>
          <t xml:space="preserve">DISEASE: Pancreatitis, hereditary (PCTT) [MIM:167800]: A disease characterized by pancreas inflammation, permanent destruction of the pancreatic parenchyma, maldigestion, and severe abdominal pain attacks. {ECO:0000269|PubMed:10204851, ECO:0000269|PubMed:10381903, ECO:0000269|PubMed:10930381, ECO:0000269|PubMed:11073545, ECO:0000269|PubMed:11788572, ECO:0000269|PubMed:11866271, ECO:0000269|PubMed:14695529, ECO:0000269|PubMed:15776435, ECO:0000269|PubMed:8841182, ECO:0000269|PubMed:9322498, ECO:0000269|PubMed:9633818}. Note=Disease susceptibility is associated with variations affecting the gene represented in this entry.; </t>
        </is>
      </c>
      <c r="AI994" t="inlineStr">
        <is>
          <t>.</t>
        </is>
      </c>
      <c r="AJ994" t="inlineStr">
        <is>
          <t>.</t>
        </is>
      </c>
      <c r="AK994" t="inlineStr">
        <is>
          <t>.</t>
        </is>
      </c>
      <c r="AL994" t="inlineStr">
        <is>
          <t>.</t>
        </is>
      </c>
    </row>
    <row r="995">
      <c r="A995" t="inlineStr"/>
      <c r="B995">
        <f>HYPERLINK("https://genome.ucsc.edu/cgi-bin/hgTracks?db=hg19&amp;position=chr7%3A150163505%2D150163505", "chr7:150163505")</f>
        <v/>
      </c>
      <c r="C995" t="inlineStr">
        <is>
          <t>chr7</t>
        </is>
      </c>
      <c r="D995" t="n">
        <v>150163505</v>
      </c>
      <c r="E995" t="n">
        <v>150163505</v>
      </c>
      <c r="F995" t="inlineStr">
        <is>
          <t>T</t>
        </is>
      </c>
      <c r="G995" t="inlineStr">
        <is>
          <t>A</t>
        </is>
      </c>
      <c r="H995" t="inlineStr">
        <is>
          <t>53.64</t>
        </is>
      </c>
      <c r="I995" t="inlineStr">
        <is>
          <t>6</t>
        </is>
      </c>
      <c r="J995" t="inlineStr">
        <is>
          <t>4,2</t>
        </is>
      </c>
      <c r="K995" t="inlineStr">
        <is>
          <t>.</t>
        </is>
      </c>
      <c r="L995" t="inlineStr">
        <is>
          <t>.</t>
        </is>
      </c>
      <c r="M995">
        <f>HYPERLINK("https://www.genecards.org/Search/Keyword?queryString=%5Baliases%5D(%20GIMAP8%20)&amp;keywords=GIMAP8", "GIMAP8")</f>
        <v/>
      </c>
      <c r="N995" t="inlineStr">
        <is>
          <t>intronic</t>
        </is>
      </c>
      <c r="O995" t="inlineStr">
        <is>
          <t>.</t>
        </is>
      </c>
      <c r="P995" t="inlineStr">
        <is>
          <t>.</t>
        </is>
      </c>
      <c r="Q995" t="n">
        <v>-1</v>
      </c>
      <c r="R995" t="n">
        <v>-1</v>
      </c>
      <c r="S995" t="n">
        <v>-1</v>
      </c>
      <c r="T995" t="n">
        <v>-1</v>
      </c>
      <c r="U995" t="n">
        <v>-1</v>
      </c>
      <c r="V995" t="inlineStr">
        <is>
          <t>.</t>
        </is>
      </c>
      <c r="W995" t="inlineStr">
        <is>
          <t>.</t>
        </is>
      </c>
      <c r="X995" t="inlineStr">
        <is>
          <t>PD</t>
        </is>
      </c>
      <c r="Y995" t="inlineStr">
        <is>
          <t>off</t>
        </is>
      </c>
      <c r="Z995" t="inlineStr">
        <is>
          <t>.</t>
        </is>
      </c>
      <c r="AA995" t="inlineStr">
        <is>
          <t>.</t>
        </is>
      </c>
      <c r="AB995" t="inlineStr">
        <is>
          <t>.</t>
        </is>
      </c>
      <c r="AC995" t="inlineStr">
        <is>
          <t>0/1</t>
        </is>
      </c>
      <c r="AD995" t="inlineStr">
        <is>
          <t>1</t>
        </is>
      </c>
      <c r="AE995" t="inlineStr">
        <is>
          <t>6.85022595051609e-06</t>
        </is>
      </c>
      <c r="AF995" t="inlineStr">
        <is>
          <t>GTPase, IMAP family member 8</t>
        </is>
      </c>
      <c r="AG995" t="inlineStr">
        <is>
          <t xml:space="preserve">FUNCTION: Exerts an anti-apoptotic effect in the immune system and is involved in responses to infections. {ECO:0000250}.; </t>
        </is>
      </c>
      <c r="AH995" t="inlineStr">
        <is>
          <t>.</t>
        </is>
      </c>
      <c r="AI995" t="inlineStr">
        <is>
          <t>.</t>
        </is>
      </c>
      <c r="AJ995" t="inlineStr">
        <is>
          <t>.</t>
        </is>
      </c>
      <c r="AK995" t="inlineStr">
        <is>
          <t>.</t>
        </is>
      </c>
      <c r="AL995" t="inlineStr">
        <is>
          <t>.</t>
        </is>
      </c>
    </row>
    <row r="996">
      <c r="A996" t="inlineStr"/>
      <c r="B996">
        <f>HYPERLINK("https://genome.ucsc.edu/cgi-bin/hgTracks?db=hg19&amp;position=chr7%3A151927023%2D151927023", "chr7:151927023")</f>
        <v/>
      </c>
      <c r="C996" t="inlineStr">
        <is>
          <t>chr7</t>
        </is>
      </c>
      <c r="D996" t="n">
        <v>151927023</v>
      </c>
      <c r="E996" t="n">
        <v>151927023</v>
      </c>
      <c r="F996" t="inlineStr">
        <is>
          <t>G</t>
        </is>
      </c>
      <c r="G996" t="inlineStr">
        <is>
          <t>C</t>
        </is>
      </c>
      <c r="H996" t="inlineStr">
        <is>
          <t>524.64</t>
        </is>
      </c>
      <c r="I996" t="inlineStr">
        <is>
          <t>167</t>
        </is>
      </c>
      <c r="J996" t="inlineStr">
        <is>
          <t>144,23</t>
        </is>
      </c>
      <c r="K996" t="inlineStr">
        <is>
          <t>.</t>
        </is>
      </c>
      <c r="L996">
        <f>HYPERLINK("https://www.ncbi.nlm.nih.gov/snp/rs58528565", "rs58528565")</f>
        <v/>
      </c>
      <c r="M996">
        <f>HYPERLINK("https://www.genecards.org/Search/Keyword?queryString=%5Baliases%5D(%20KMT2C%20)&amp;keywords=KMT2C", "KMT2C")</f>
        <v/>
      </c>
      <c r="N996" t="inlineStr">
        <is>
          <t>exonic</t>
        </is>
      </c>
      <c r="O996" t="inlineStr">
        <is>
          <t>stopgain</t>
        </is>
      </c>
      <c r="P996" t="inlineStr">
        <is>
          <t>KMT2C:NM_170606:exon18:c.C2961G:p.Y987X;KMT2C:uc003wkz.3:exon4:c.C144G:p.Y48X,KMT2C:uc003wla.3:exon18:c.C2961G:p.Y987X;KMT2C:ENST00000679882.1_1:exon17:c.C2841G:p.Y947X,KMT2C:ENST00000262189.11_6:exon18:c.C2961G:p.Y987X,KMT2C:ENST00000682283.1_1:exon18:c.C2961G:p.Y987X,KMT2C:ENST00000683490.1_1:exon18:c.C2961G:p.Y987X,KMT2C:ENST00000684550.1_1:exon18:c.C2961G:p.Y987X</t>
        </is>
      </c>
      <c r="Q996" t="n">
        <v>1.94e-05</v>
      </c>
      <c r="R996" t="n">
        <v>-1</v>
      </c>
      <c r="S996" t="n">
        <v>-1</v>
      </c>
      <c r="T996" t="n">
        <v>-1</v>
      </c>
      <c r="U996" t="n">
        <v>-1</v>
      </c>
      <c r="V996" t="inlineStr">
        <is>
          <t>3/3</t>
        </is>
      </c>
      <c r="W996" t="inlineStr">
        <is>
          <t>.</t>
        </is>
      </c>
      <c r="X996" t="inlineStr">
        <is>
          <t>.</t>
        </is>
      </c>
      <c r="Y996" t="inlineStr">
        <is>
          <t>.</t>
        </is>
      </c>
      <c r="Z996" t="inlineStr">
        <is>
          <t>1/7</t>
        </is>
      </c>
      <c r="AA996" t="inlineStr">
        <is>
          <t>Pathogenic</t>
        </is>
      </c>
      <c r="AB996" t="inlineStr">
        <is>
          <t>Uncertain_significance</t>
        </is>
      </c>
      <c r="AC996" t="inlineStr">
        <is>
          <t>0/1</t>
        </is>
      </c>
      <c r="AD996" t="inlineStr">
        <is>
          <t>5</t>
        </is>
      </c>
      <c r="AE996" t="inlineStr">
        <is>
          <t>0.999999999999997</t>
        </is>
      </c>
      <c r="AF996" t="inlineStr">
        <is>
          <t>lysine methyltransferase 2C</t>
        </is>
      </c>
      <c r="AG996" t="inlineStr">
        <is>
          <t xml:space="preserve">FUNCTION: Histone methyltransferase. Methylates 'Lys-4' of histone H3. H3 'Lys-4' methylation represents a specific tag for epigenetic transcriptional activation. Central component of the MLL2/3 complex, a coactivator complex of nuclear receptors, involved in transcriptional coactivation. KMT2C/MLL3 may be a catalytic subunit of this complex. May be involved in leukemogenesis and developmental disorder. {ECO:0000269|PubMed:17500065}.; </t>
        </is>
      </c>
      <c r="AH996" t="inlineStr">
        <is>
          <t>.</t>
        </is>
      </c>
      <c r="AI996" t="inlineStr">
        <is>
          <t>.</t>
        </is>
      </c>
      <c r="AJ996" t="inlineStr">
        <is>
          <t>.</t>
        </is>
      </c>
      <c r="AK996" t="inlineStr">
        <is>
          <t>.</t>
        </is>
      </c>
      <c r="AL996" t="inlineStr">
        <is>
          <t>NGS_HighStringency</t>
        </is>
      </c>
    </row>
    <row r="997">
      <c r="A997" t="inlineStr"/>
      <c r="B997">
        <f>HYPERLINK("https://genome.ucsc.edu/cgi-bin/hgTracks?db=hg19&amp;position=chr7%3A151927067%2D151927067", "chr7:151927067")</f>
        <v/>
      </c>
      <c r="C997" t="inlineStr">
        <is>
          <t>chr7</t>
        </is>
      </c>
      <c r="D997" t="n">
        <v>151927067</v>
      </c>
      <c r="E997" t="n">
        <v>151927067</v>
      </c>
      <c r="F997" t="inlineStr">
        <is>
          <t>T</t>
        </is>
      </c>
      <c r="G997" t="inlineStr">
        <is>
          <t>C</t>
        </is>
      </c>
      <c r="H997" t="inlineStr">
        <is>
          <t>324.64</t>
        </is>
      </c>
      <c r="I997" t="inlineStr">
        <is>
          <t>187</t>
        </is>
      </c>
      <c r="J997" t="inlineStr">
        <is>
          <t>153,34</t>
        </is>
      </c>
      <c r="K997" t="inlineStr">
        <is>
          <t>.</t>
        </is>
      </c>
      <c r="L997">
        <f>HYPERLINK("https://www.ncbi.nlm.nih.gov/snp/rs60244562", "rs60244562")</f>
        <v/>
      </c>
      <c r="M997">
        <f>HYPERLINK("https://www.genecards.org/Search/Keyword?queryString=%5Baliases%5D(%20KMT2C%20)&amp;keywords=KMT2C", "KMT2C")</f>
        <v/>
      </c>
      <c r="N997" t="inlineStr">
        <is>
          <t>exonic</t>
        </is>
      </c>
      <c r="O997" t="inlineStr">
        <is>
          <t>nonsynonymous SNV</t>
        </is>
      </c>
      <c r="P997" t="inlineStr">
        <is>
          <t>KMT2C:NM_170606:exon18:c.A2917G:p.R973G;KMT2C:uc003wkz.3:exon4:c.A100G:p.R34G,KMT2C:uc003wla.3:exon18:c.A2917G:p.R973G;KMT2C:ENST00000679882.1_1:exon17:c.A2797G:p.R933G,KMT2C:ENST00000262189.11_6:exon18:c.A2917G:p.R973G,KMT2C:ENST00000682283.1_1:exon18:c.A2917G:p.R973G,KMT2C:ENST00000683490.1_1:exon18:c.A2917G:p.R973G,KMT2C:ENST00000684550.1_1:exon18:c.A2917G:p.R973G</t>
        </is>
      </c>
      <c r="Q997" t="n">
        <v>0.0001358</v>
      </c>
      <c r="R997" t="n">
        <v>-1</v>
      </c>
      <c r="S997" t="n">
        <v>-1</v>
      </c>
      <c r="T997" t="n">
        <v>-1</v>
      </c>
      <c r="U997" t="n">
        <v>-1</v>
      </c>
      <c r="V997" t="inlineStr">
        <is>
          <t>10/11</t>
        </is>
      </c>
      <c r="W997" t="inlineStr">
        <is>
          <t>.</t>
        </is>
      </c>
      <c r="X997" t="inlineStr">
        <is>
          <t>.</t>
        </is>
      </c>
      <c r="Y997" t="inlineStr">
        <is>
          <t>.</t>
        </is>
      </c>
      <c r="Z997" t="inlineStr">
        <is>
          <t>2/7</t>
        </is>
      </c>
      <c r="AA997" t="inlineStr">
        <is>
          <t>Uncertain significance</t>
        </is>
      </c>
      <c r="AB997" t="inlineStr">
        <is>
          <t>.</t>
        </is>
      </c>
      <c r="AC997" t="inlineStr">
        <is>
          <t>0/1</t>
        </is>
      </c>
      <c r="AD997" t="inlineStr">
        <is>
          <t>5</t>
        </is>
      </c>
      <c r="AE997" t="inlineStr">
        <is>
          <t>0.999999999999997</t>
        </is>
      </c>
      <c r="AF997" t="inlineStr">
        <is>
          <t>lysine methyltransferase 2C</t>
        </is>
      </c>
      <c r="AG997" t="inlineStr">
        <is>
          <t xml:space="preserve">FUNCTION: Histone methyltransferase. Methylates 'Lys-4' of histone H3. H3 'Lys-4' methylation represents a specific tag for epigenetic transcriptional activation. Central component of the MLL2/3 complex, a coactivator complex of nuclear receptors, involved in transcriptional coactivation. KMT2C/MLL3 may be a catalytic subunit of this complex. May be involved in leukemogenesis and developmental disorder. {ECO:0000269|PubMed:17500065}.; </t>
        </is>
      </c>
      <c r="AH997" t="inlineStr">
        <is>
          <t>.</t>
        </is>
      </c>
      <c r="AI997" t="inlineStr">
        <is>
          <t>.</t>
        </is>
      </c>
      <c r="AJ997" t="inlineStr">
        <is>
          <t>.</t>
        </is>
      </c>
      <c r="AK997" t="inlineStr">
        <is>
          <t>.</t>
        </is>
      </c>
      <c r="AL997" t="inlineStr">
        <is>
          <t>NGS_HighStringency</t>
        </is>
      </c>
    </row>
    <row r="998">
      <c r="A998" t="inlineStr"/>
      <c r="B998">
        <f>HYPERLINK("https://genome.ucsc.edu/cgi-bin/hgTracks?db=hg19&amp;position=chr7%3A151935799%2D151935799", "chr7:151935799")</f>
        <v/>
      </c>
      <c r="C998" t="inlineStr">
        <is>
          <t>chr7</t>
        </is>
      </c>
      <c r="D998" t="n">
        <v>151935799</v>
      </c>
      <c r="E998" t="n">
        <v>151935799</v>
      </c>
      <c r="F998" t="inlineStr">
        <is>
          <t>A</t>
        </is>
      </c>
      <c r="G998" t="inlineStr">
        <is>
          <t>G</t>
        </is>
      </c>
      <c r="H998" t="inlineStr">
        <is>
          <t>729.64</t>
        </is>
      </c>
      <c r="I998" t="inlineStr">
        <is>
          <t>69</t>
        </is>
      </c>
      <c r="J998" t="inlineStr">
        <is>
          <t>48,21</t>
        </is>
      </c>
      <c r="K998" t="inlineStr">
        <is>
          <t>.</t>
        </is>
      </c>
      <c r="L998">
        <f>HYPERLINK("https://www.ncbi.nlm.nih.gov/snp/rs199839047", "rs199839047")</f>
        <v/>
      </c>
      <c r="M998">
        <f>HYPERLINK("https://www.genecards.org/Search/Keyword?queryString=%5Baliases%5D(%20KMT2C%20)&amp;keywords=KMT2C", "KMT2C")</f>
        <v/>
      </c>
      <c r="N998" t="inlineStr">
        <is>
          <t>exonic</t>
        </is>
      </c>
      <c r="O998" t="inlineStr">
        <is>
          <t>nonsynonymous SNV</t>
        </is>
      </c>
      <c r="P998" t="inlineStr">
        <is>
          <t>KMT2C:NM_170606:exon15:c.T2645C:p.I882T;KMT2C:uc003wla.3:exon15:c.T2645C:p.I882T;KMT2C:ENST00000262189.11_6:exon15:c.T2645C:p.I882T,KMT2C:ENST00000682283.1_1:exon15:c.T2645C:p.I882T,KMT2C:ENST00000683490.1_1:exon15:c.T2645C:p.I882T,KMT2C:ENST00000684550.1_1:exon15:c.T2645C:p.I882T</t>
        </is>
      </c>
      <c r="Q998" t="n">
        <v>0.0003752</v>
      </c>
      <c r="R998" t="n">
        <v>-1</v>
      </c>
      <c r="S998" t="n">
        <v>-1</v>
      </c>
      <c r="T998" t="n">
        <v>-1</v>
      </c>
      <c r="U998" t="n">
        <v>-1</v>
      </c>
      <c r="V998" t="inlineStr">
        <is>
          <t>9/12</t>
        </is>
      </c>
      <c r="W998" t="inlineStr">
        <is>
          <t>.</t>
        </is>
      </c>
      <c r="X998" t="inlineStr">
        <is>
          <t>.</t>
        </is>
      </c>
      <c r="Y998" t="inlineStr">
        <is>
          <t>.</t>
        </is>
      </c>
      <c r="Z998" t="inlineStr">
        <is>
          <t>6/7</t>
        </is>
      </c>
      <c r="AA998" t="inlineStr">
        <is>
          <t>Uncertain significance</t>
        </is>
      </c>
      <c r="AB998" t="inlineStr">
        <is>
          <t>.</t>
        </is>
      </c>
      <c r="AC998" t="inlineStr">
        <is>
          <t>.</t>
        </is>
      </c>
      <c r="AD998" t="inlineStr">
        <is>
          <t>5</t>
        </is>
      </c>
      <c r="AE998" t="inlineStr">
        <is>
          <t>0.999999999999997</t>
        </is>
      </c>
      <c r="AF998" t="inlineStr">
        <is>
          <t>lysine methyltransferase 2C</t>
        </is>
      </c>
      <c r="AG998" t="inlineStr">
        <is>
          <t xml:space="preserve">FUNCTION: Histone methyltransferase. Methylates 'Lys-4' of histone H3. H3 'Lys-4' methylation represents a specific tag for epigenetic transcriptional activation. Central component of the MLL2/3 complex, a coactivator complex of nuclear receptors, involved in transcriptional coactivation. KMT2C/MLL3 may be a catalytic subunit of this complex. May be involved in leukemogenesis and developmental disorder. {ECO:0000269|PubMed:17500065}.; </t>
        </is>
      </c>
      <c r="AH998" t="inlineStr">
        <is>
          <t>.</t>
        </is>
      </c>
      <c r="AI998" t="inlineStr">
        <is>
          <t>GenotypeConflict</t>
        </is>
      </c>
      <c r="AJ998" t="inlineStr">
        <is>
          <t>.</t>
        </is>
      </c>
      <c r="AK998" t="inlineStr">
        <is>
          <t>.</t>
        </is>
      </c>
      <c r="AL998" t="inlineStr">
        <is>
          <t>NGS_LowStringency</t>
        </is>
      </c>
    </row>
    <row r="999">
      <c r="A999" t="inlineStr"/>
      <c r="B999">
        <f>HYPERLINK("https://genome.ucsc.edu/cgi-bin/hgTracks?db=hg19&amp;position=chr7%3A151935866%2D151935866", "chr7:151935866")</f>
        <v/>
      </c>
      <c r="C999" t="inlineStr">
        <is>
          <t>chr7</t>
        </is>
      </c>
      <c r="D999" t="n">
        <v>151935866</v>
      </c>
      <c r="E999" t="n">
        <v>151935866</v>
      </c>
      <c r="F999" t="inlineStr">
        <is>
          <t>G</t>
        </is>
      </c>
      <c r="G999" t="inlineStr">
        <is>
          <t>A</t>
        </is>
      </c>
      <c r="H999" t="inlineStr">
        <is>
          <t>503.64</t>
        </is>
      </c>
      <c r="I999" t="inlineStr">
        <is>
          <t>69</t>
        </is>
      </c>
      <c r="J999" t="inlineStr">
        <is>
          <t>52,17</t>
        </is>
      </c>
      <c r="K999" t="inlineStr">
        <is>
          <t>.</t>
        </is>
      </c>
      <c r="L999">
        <f>HYPERLINK("https://www.ncbi.nlm.nih.gov/snp/rs112515611", "rs112515611")</f>
        <v/>
      </c>
      <c r="M999">
        <f>HYPERLINK("https://www.genecards.org/Search/Keyword?queryString=%5Baliases%5D(%20KMT2C%20)&amp;keywords=KMT2C", "KMT2C")</f>
        <v/>
      </c>
      <c r="N999" t="inlineStr">
        <is>
          <t>exonic</t>
        </is>
      </c>
      <c r="O999" t="inlineStr">
        <is>
          <t>nonsynonymous SNV</t>
        </is>
      </c>
      <c r="P999" t="inlineStr">
        <is>
          <t>KMT2C:NM_170606:exon15:c.C2578T:p.P860S;KMT2C:uc003wla.3:exon15:c.C2578T:p.P860S;KMT2C:ENST00000262189.11_6:exon15:c.C2578T:p.P860S,KMT2C:ENST00000682283.1_1:exon15:c.C2578T:p.P860S,KMT2C:ENST00000683490.1_1:exon15:c.C2578T:p.P860S,KMT2C:ENST00000684550.1_1:exon15:c.C2578T:p.P860S</t>
        </is>
      </c>
      <c r="Q999" t="n">
        <v>0.0006727</v>
      </c>
      <c r="R999" t="n">
        <v>-1</v>
      </c>
      <c r="S999" t="n">
        <v>-1</v>
      </c>
      <c r="T999" t="n">
        <v>-1</v>
      </c>
      <c r="U999" t="n">
        <v>-1</v>
      </c>
      <c r="V999" t="inlineStr">
        <is>
          <t>7/12</t>
        </is>
      </c>
      <c r="W999" t="inlineStr">
        <is>
          <t>.</t>
        </is>
      </c>
      <c r="X999" t="inlineStr">
        <is>
          <t>.</t>
        </is>
      </c>
      <c r="Y999" t="inlineStr">
        <is>
          <t>.</t>
        </is>
      </c>
      <c r="Z999" t="inlineStr">
        <is>
          <t>4/7</t>
        </is>
      </c>
      <c r="AA999" t="inlineStr">
        <is>
          <t>Uncertain significance</t>
        </is>
      </c>
      <c r="AB999" t="inlineStr">
        <is>
          <t>.</t>
        </is>
      </c>
      <c r="AC999" t="inlineStr">
        <is>
          <t>.</t>
        </is>
      </c>
      <c r="AD999" t="inlineStr">
        <is>
          <t>5</t>
        </is>
      </c>
      <c r="AE999" t="inlineStr">
        <is>
          <t>0.999999999999997</t>
        </is>
      </c>
      <c r="AF999" t="inlineStr">
        <is>
          <t>lysine methyltransferase 2C</t>
        </is>
      </c>
      <c r="AG999" t="inlineStr">
        <is>
          <t xml:space="preserve">FUNCTION: Histone methyltransferase. Methylates 'Lys-4' of histone H3. H3 'Lys-4' methylation represents a specific tag for epigenetic transcriptional activation. Central component of the MLL2/3 complex, a coactivator complex of nuclear receptors, involved in transcriptional coactivation. KMT2C/MLL3 may be a catalytic subunit of this complex. May be involved in leukemogenesis and developmental disorder. {ECO:0000269|PubMed:17500065}.; </t>
        </is>
      </c>
      <c r="AH999" t="inlineStr">
        <is>
          <t>.</t>
        </is>
      </c>
      <c r="AI999" t="inlineStr">
        <is>
          <t>.</t>
        </is>
      </c>
      <c r="AJ999" t="inlineStr">
        <is>
          <t>.</t>
        </is>
      </c>
      <c r="AK999" t="inlineStr">
        <is>
          <t>.</t>
        </is>
      </c>
      <c r="AL999" t="inlineStr">
        <is>
          <t>NGS_LowStringency</t>
        </is>
      </c>
    </row>
    <row r="1000">
      <c r="A1000" t="inlineStr"/>
      <c r="B1000">
        <f>HYPERLINK("https://genome.ucsc.edu/cgi-bin/hgTracks?db=hg19&amp;position=chr7%3A151935871%2D151935871", "chr7:151935871")</f>
        <v/>
      </c>
      <c r="C1000" t="inlineStr">
        <is>
          <t>chr7</t>
        </is>
      </c>
      <c r="D1000" t="n">
        <v>151935871</v>
      </c>
      <c r="E1000" t="n">
        <v>151935871</v>
      </c>
      <c r="F1000" t="inlineStr">
        <is>
          <t>C</t>
        </is>
      </c>
      <c r="G1000" t="inlineStr">
        <is>
          <t>A</t>
        </is>
      </c>
      <c r="H1000" t="inlineStr">
        <is>
          <t>487.64</t>
        </is>
      </c>
      <c r="I1000" t="inlineStr">
        <is>
          <t>66</t>
        </is>
      </c>
      <c r="J1000" t="inlineStr">
        <is>
          <t>50,16</t>
        </is>
      </c>
      <c r="K1000" t="inlineStr">
        <is>
          <t>.</t>
        </is>
      </c>
      <c r="L1000">
        <f>HYPERLINK("https://www.ncbi.nlm.nih.gov/snp/rs111493987", "rs111493987")</f>
        <v/>
      </c>
      <c r="M1000">
        <f>HYPERLINK("https://www.genecards.org/Search/Keyword?queryString=%5Baliases%5D(%20KMT2C%20)&amp;keywords=KMT2C", "KMT2C")</f>
        <v/>
      </c>
      <c r="N1000" t="inlineStr">
        <is>
          <t>exonic</t>
        </is>
      </c>
      <c r="O1000" t="inlineStr">
        <is>
          <t>nonsynonymous SNV</t>
        </is>
      </c>
      <c r="P1000" t="inlineStr">
        <is>
          <t>KMT2C:NM_170606:exon15:c.G2573T:p.W858L;KMT2C:uc003wla.3:exon15:c.G2573T:p.W858L;KMT2C:ENST00000262189.11_6:exon15:c.G2573T:p.W858L,KMT2C:ENST00000682283.1_1:exon15:c.G2573T:p.W858L,KMT2C:ENST00000683490.1_1:exon15:c.G2573T:p.W858L,KMT2C:ENST00000684550.1_1:exon15:c.G2573T:p.W858L</t>
        </is>
      </c>
      <c r="Q1000" t="n">
        <v>3.88e-05</v>
      </c>
      <c r="R1000" t="n">
        <v>-1</v>
      </c>
      <c r="S1000" t="n">
        <v>-1</v>
      </c>
      <c r="T1000" t="n">
        <v>-1</v>
      </c>
      <c r="U1000" t="n">
        <v>-1</v>
      </c>
      <c r="V1000" t="inlineStr">
        <is>
          <t>10/12</t>
        </is>
      </c>
      <c r="W1000" t="inlineStr">
        <is>
          <t>.</t>
        </is>
      </c>
      <c r="X1000" t="inlineStr">
        <is>
          <t>.</t>
        </is>
      </c>
      <c r="Y1000" t="inlineStr">
        <is>
          <t>.</t>
        </is>
      </c>
      <c r="Z1000" t="inlineStr">
        <is>
          <t>5/7</t>
        </is>
      </c>
      <c r="AA1000" t="inlineStr">
        <is>
          <t>Uncertain significance</t>
        </is>
      </c>
      <c r="AB1000" t="inlineStr">
        <is>
          <t>.</t>
        </is>
      </c>
      <c r="AC1000" t="inlineStr">
        <is>
          <t>.</t>
        </is>
      </c>
      <c r="AD1000" t="inlineStr">
        <is>
          <t>5</t>
        </is>
      </c>
      <c r="AE1000" t="inlineStr">
        <is>
          <t>0.999999999999997</t>
        </is>
      </c>
      <c r="AF1000" t="inlineStr">
        <is>
          <t>lysine methyltransferase 2C</t>
        </is>
      </c>
      <c r="AG1000" t="inlineStr">
        <is>
          <t xml:space="preserve">FUNCTION: Histone methyltransferase. Methylates 'Lys-4' of histone H3. H3 'Lys-4' methylation represents a specific tag for epigenetic transcriptional activation. Central component of the MLL2/3 complex, a coactivator complex of nuclear receptors, involved in transcriptional coactivation. KMT2C/MLL3 may be a catalytic subunit of this complex. May be involved in leukemogenesis and developmental disorder. {ECO:0000269|PubMed:17500065}.; </t>
        </is>
      </c>
      <c r="AH1000" t="inlineStr">
        <is>
          <t>.</t>
        </is>
      </c>
      <c r="AI1000" t="inlineStr">
        <is>
          <t>.</t>
        </is>
      </c>
      <c r="AJ1000" t="inlineStr">
        <is>
          <t>.</t>
        </is>
      </c>
      <c r="AK1000" t="inlineStr">
        <is>
          <t>.</t>
        </is>
      </c>
      <c r="AL1000" t="inlineStr">
        <is>
          <t>NGS_LowStringency</t>
        </is>
      </c>
    </row>
    <row r="1001">
      <c r="A1001" t="inlineStr"/>
      <c r="B1001">
        <f>HYPERLINK("https://genome.ucsc.edu/cgi-bin/hgTracks?db=hg19&amp;position=chr7%3A154461087%2D154461087", "chr7:154461087")</f>
        <v/>
      </c>
      <c r="C1001" t="inlineStr">
        <is>
          <t>chr7</t>
        </is>
      </c>
      <c r="D1001" t="n">
        <v>154461087</v>
      </c>
      <c r="E1001" t="n">
        <v>154461087</v>
      </c>
      <c r="F1001" t="inlineStr">
        <is>
          <t>A</t>
        </is>
      </c>
      <c r="G1001" t="inlineStr">
        <is>
          <t>G</t>
        </is>
      </c>
      <c r="H1001" t="inlineStr">
        <is>
          <t>967.64</t>
        </is>
      </c>
      <c r="I1001" t="inlineStr">
        <is>
          <t>254</t>
        </is>
      </c>
      <c r="J1001" t="inlineStr">
        <is>
          <t>192,62</t>
        </is>
      </c>
      <c r="K1001" t="inlineStr">
        <is>
          <t>.</t>
        </is>
      </c>
      <c r="L1001" t="inlineStr">
        <is>
          <t>.</t>
        </is>
      </c>
      <c r="M1001">
        <f>HYPERLINK("https://www.genecards.org/Search/Keyword?queryString=%5Baliases%5D(%20DPP6%20)&amp;keywords=DPP6", "DPP6")</f>
        <v/>
      </c>
      <c r="N1001" t="inlineStr">
        <is>
          <t>exonic</t>
        </is>
      </c>
      <c r="O1001" t="inlineStr">
        <is>
          <t>nonsynonymous SNV</t>
        </is>
      </c>
      <c r="P1001" t="inlineStr">
        <is>
          <t>DPP6:NM_001039350:exon7:c.A506G:p.D169G,DPP6:NM_001364501:exon7:c.A506G:p.D169G,DPP6:NM_001936:exon7:c.A512G:p.D171G,DPP6:NM_130797:exon7:c.A698G:p.D233G,DPP6:NM_001364497:exon8:c.A515G:p.D172G,DPP6:NM_001364498:exon8:c.A515G:p.D172G,DPP6:NM_001364499:exon8:c.A515G:p.D172G,DPP6:NM_001364500:exon8:c.A515G:p.D172G;DPP6:uc003wli.3:exon7:c.A506G:p.D169G,DPP6:uc003wlk.3:exon7:c.A698G:p.D233G,DPP6:uc003wlm.3:exon7:c.A512G:p.D171G;DPP6:ENST00000332007.7_3:exon7:c.A512G:p.D171G,DPP6:ENST00000377770.8_5:exon7:c.A698G:p.D233G,DPP6:ENST00000404039.5_3:exon7:c.A506G:p.D169G</t>
        </is>
      </c>
      <c r="Q1001" t="n">
        <v>-1</v>
      </c>
      <c r="R1001" t="n">
        <v>-1</v>
      </c>
      <c r="S1001" t="n">
        <v>-1</v>
      </c>
      <c r="T1001" t="n">
        <v>-1</v>
      </c>
      <c r="U1001" t="n">
        <v>-1</v>
      </c>
      <c r="V1001" t="inlineStr">
        <is>
          <t>4/12</t>
        </is>
      </c>
      <c r="W1001" t="inlineStr">
        <is>
          <t>.</t>
        </is>
      </c>
      <c r="X1001" t="inlineStr">
        <is>
          <t>.</t>
        </is>
      </c>
      <c r="Y1001" t="inlineStr">
        <is>
          <t>.</t>
        </is>
      </c>
      <c r="Z1001" t="inlineStr">
        <is>
          <t>4/7</t>
        </is>
      </c>
      <c r="AA1001" t="inlineStr">
        <is>
          <t>Uncertain significance</t>
        </is>
      </c>
      <c r="AB1001" t="inlineStr">
        <is>
          <t>.</t>
        </is>
      </c>
      <c r="AC1001" t="inlineStr">
        <is>
          <t>.</t>
        </is>
      </c>
      <c r="AD1001" t="inlineStr">
        <is>
          <t>1</t>
        </is>
      </c>
      <c r="AE1001" t="inlineStr">
        <is>
          <t>0.96769110706309</t>
        </is>
      </c>
      <c r="AF1001" t="inlineStr">
        <is>
          <t>dipeptidyl peptidase like 6</t>
        </is>
      </c>
      <c r="AG1001" t="inlineStr">
        <is>
          <t xml:space="preserve">FUNCTION: Promotes cell surface expression of the potassium channel KCND2 (PubMed:15454437, PubMed:19441798). Modulates the activity and gating characteristics of the potassium channel KCND2 (PubMed:18364354). Has no dipeptidyl aminopeptidase activity (PubMed:8103397, PubMed:15476821). {ECO:0000269|PubMed:15454437, ECO:0000269|PubMed:18364354, ECO:0000269|PubMed:8103397, ECO:0000305|PubMed:15476821}.; </t>
        </is>
      </c>
      <c r="AH1001" t="inlineStr">
        <is>
          <t xml:space="preserve">DISEASE: Familial paroxysmal ventricular fibrillation 2 (VF2) [MIM:612956]: A cardiac arrhythmia marked by fibrillary contractions of the ventricular muscle due to rapid repetitive excitation of myocardial fibers without coordinated contraction of the ventricle and by absence of atrial activity. {ECO:0000269|PubMed:19285295}. Note=The disease is caused by mutations affecting the gene represented in this entry. A genetic variation 340 bases upstream from the ATG start site of the DPP6 gene is the cause of familial paroxysmal ventricular fibrillation type 2.; DISEASE: Mental retardation, autosomal dominant 33 (MRD33) [MIM:616311]: A form of mental retardation, a disorder characterized by significantly below average general intellectual functioning associated with impairments in adaptive behavior and manifested during the developmental period. MRD33 patients manifest microcephaly and intellectual disability. {ECO:0000269|PubMed:23832105}. Note=The disease is caused by mutations affecting the gene represented in this entry.; </t>
        </is>
      </c>
      <c r="AI1001" t="inlineStr">
        <is>
          <t>.</t>
        </is>
      </c>
      <c r="AJ1001" t="inlineStr">
        <is>
          <t>.</t>
        </is>
      </c>
      <c r="AK1001" t="inlineStr">
        <is>
          <t>.</t>
        </is>
      </c>
      <c r="AL1001" t="inlineStr">
        <is>
          <t>.</t>
        </is>
      </c>
    </row>
    <row r="1002">
      <c r="A1002" t="inlineStr"/>
      <c r="B1002">
        <f>HYPERLINK("https://genome.ucsc.edu/cgi-bin/hgTracks?db=hg19&amp;position=chr8%3A2831968%2D2831968", "chr8:2831968")</f>
        <v/>
      </c>
      <c r="C1002" t="inlineStr">
        <is>
          <t>chr8</t>
        </is>
      </c>
      <c r="D1002" t="n">
        <v>2831968</v>
      </c>
      <c r="E1002" t="n">
        <v>2831968</v>
      </c>
      <c r="F1002" t="inlineStr">
        <is>
          <t>C</t>
        </is>
      </c>
      <c r="G1002" t="inlineStr">
        <is>
          <t>T</t>
        </is>
      </c>
      <c r="H1002" t="inlineStr">
        <is>
          <t>663.64</t>
        </is>
      </c>
      <c r="I1002" t="inlineStr">
        <is>
          <t>65</t>
        </is>
      </c>
      <c r="J1002" t="inlineStr">
        <is>
          <t>42,23</t>
        </is>
      </c>
      <c r="K1002" t="inlineStr">
        <is>
          <t>.</t>
        </is>
      </c>
      <c r="L1002">
        <f>HYPERLINK("https://www.ncbi.nlm.nih.gov/snp/rs11784931", "rs11784931")</f>
        <v/>
      </c>
      <c r="M1002">
        <f>HYPERLINK("https://www.genecards.org/Search/Keyword?queryString=%5Baliases%5D(%20CSMD1%20)%20OR%20%5Baliases%5D(%20LOC105377785%20)&amp;keywords=CSMD1,LOC105377785", "CSMD1;LOC105377785")</f>
        <v/>
      </c>
      <c r="N1002" t="inlineStr">
        <is>
          <t>intronic;ncRNA_intronic</t>
        </is>
      </c>
      <c r="O1002" t="inlineStr">
        <is>
          <t>.</t>
        </is>
      </c>
      <c r="P1002" t="inlineStr">
        <is>
          <t>.</t>
        </is>
      </c>
      <c r="Q1002" t="n">
        <v>0.0207</v>
      </c>
      <c r="R1002" t="n">
        <v>0.0141</v>
      </c>
      <c r="S1002" t="n">
        <v>0.0134</v>
      </c>
      <c r="T1002" t="n">
        <v>-1</v>
      </c>
      <c r="U1002" t="n">
        <v>0.0163</v>
      </c>
      <c r="V1002" t="inlineStr">
        <is>
          <t>.</t>
        </is>
      </c>
      <c r="W1002" t="inlineStr">
        <is>
          <t>D</t>
        </is>
      </c>
      <c r="X1002" t="inlineStr">
        <is>
          <t>D</t>
        </is>
      </c>
      <c r="Y1002" t="inlineStr">
        <is>
          <t>on</t>
        </is>
      </c>
      <c r="Z1002" t="inlineStr">
        <is>
          <t>.</t>
        </is>
      </c>
      <c r="AA1002" t="inlineStr">
        <is>
          <t>.</t>
        </is>
      </c>
      <c r="AB1002" t="inlineStr">
        <is>
          <t>.</t>
        </is>
      </c>
      <c r="AC1002" t="inlineStr">
        <is>
          <t>0/1</t>
        </is>
      </c>
      <c r="AD1002" t="inlineStr">
        <is>
          <t>2;1</t>
        </is>
      </c>
      <c r="AE1002" t="inlineStr">
        <is>
          <t>.</t>
        </is>
      </c>
      <c r="AF1002" t="inlineStr">
        <is>
          <t>CUB and Sushi multiple domains 1</t>
        </is>
      </c>
      <c r="AG1002" t="inlineStr">
        <is>
          <t xml:space="preserve">FUNCTION: Potential suppressor of squamous cell carcinomas.; </t>
        </is>
      </c>
      <c r="AH1002" t="inlineStr">
        <is>
          <t>.</t>
        </is>
      </c>
      <c r="AI1002" t="inlineStr">
        <is>
          <t>.</t>
        </is>
      </c>
      <c r="AJ1002" t="inlineStr">
        <is>
          <t>.</t>
        </is>
      </c>
      <c r="AK1002" t="inlineStr">
        <is>
          <t>.</t>
        </is>
      </c>
      <c r="AL1002" t="inlineStr">
        <is>
          <t>.</t>
        </is>
      </c>
    </row>
    <row r="1003">
      <c r="A1003" t="inlineStr"/>
      <c r="B1003">
        <f>HYPERLINK("https://genome.ucsc.edu/cgi-bin/hgTracks?db=hg19&amp;position=chr8%3A3253756%2D3253756", "chr8:3253756")</f>
        <v/>
      </c>
      <c r="C1003" t="inlineStr">
        <is>
          <t>chr8</t>
        </is>
      </c>
      <c r="D1003" t="n">
        <v>3253756</v>
      </c>
      <c r="E1003" t="n">
        <v>3253756</v>
      </c>
      <c r="F1003" t="inlineStr">
        <is>
          <t>G</t>
        </is>
      </c>
      <c r="G1003" t="inlineStr">
        <is>
          <t>T</t>
        </is>
      </c>
      <c r="H1003" t="inlineStr">
        <is>
          <t>429.64</t>
        </is>
      </c>
      <c r="I1003" t="inlineStr">
        <is>
          <t>73</t>
        </is>
      </c>
      <c r="J1003" t="inlineStr">
        <is>
          <t>54,19</t>
        </is>
      </c>
      <c r="K1003" t="inlineStr">
        <is>
          <t>.</t>
        </is>
      </c>
      <c r="L1003">
        <f>HYPERLINK("https://www.ncbi.nlm.nih.gov/snp/rs973833139", "rs973833139")</f>
        <v/>
      </c>
      <c r="M1003">
        <f>HYPERLINK("https://www.genecards.org/Search/Keyword?queryString=%5Baliases%5D(%20CSMD1%20)&amp;keywords=CSMD1", "CSMD1")</f>
        <v/>
      </c>
      <c r="N1003" t="inlineStr">
        <is>
          <t>exonic</t>
        </is>
      </c>
      <c r="O1003" t="inlineStr">
        <is>
          <t>nonsynonymous SNV</t>
        </is>
      </c>
      <c r="P1003" t="inlineStr">
        <is>
          <t>CSMD1:NM_033225:exon17:c.C2553A:p.D851E;CSMD1:uc003wqe.3:exon1:c.C24A:p.D8E,CSMD1:uc011kwj.2:exon5:c.C732A:p.D244E,CSMD1:uc022aqr.1:exon17:c.C2553A:p.D851E;CSMD1:ENST00000635120.2_12:exon17:c.C2553A:p.D851E,CSMD1:ENST00000400186.7_7:exon18:c.C2556A:p.D852E,CSMD1:ENST00000520002.5_6:exon18:c.C2556A:p.D852E,CSMD1:ENST00000602557.5_6:exon18:c.C2556A:p.D852E,CSMD1:ENST00000602723.5_7:exon18:c.C2556A:p.D852E</t>
        </is>
      </c>
      <c r="Q1003" t="n">
        <v>0.0001</v>
      </c>
      <c r="R1003" t="n">
        <v>0.0001</v>
      </c>
      <c r="S1003" t="n">
        <v>0.0003</v>
      </c>
      <c r="T1003" t="n">
        <v>-1</v>
      </c>
      <c r="U1003" t="n">
        <v>0.0004</v>
      </c>
      <c r="V1003" t="inlineStr">
        <is>
          <t>9/11</t>
        </is>
      </c>
      <c r="W1003" t="inlineStr">
        <is>
          <t>.</t>
        </is>
      </c>
      <c r="X1003" t="inlineStr">
        <is>
          <t>.</t>
        </is>
      </c>
      <c r="Y1003" t="inlineStr">
        <is>
          <t>.</t>
        </is>
      </c>
      <c r="Z1003" t="inlineStr">
        <is>
          <t>1/7</t>
        </is>
      </c>
      <c r="AA1003" t="inlineStr">
        <is>
          <t>Uncertain significance</t>
        </is>
      </c>
      <c r="AB1003" t="inlineStr">
        <is>
          <t>.</t>
        </is>
      </c>
      <c r="AC1003" t="inlineStr">
        <is>
          <t>0/1</t>
        </is>
      </c>
      <c r="AD1003" t="inlineStr">
        <is>
          <t>2</t>
        </is>
      </c>
      <c r="AE1003" t="inlineStr">
        <is>
          <t>.</t>
        </is>
      </c>
      <c r="AF1003" t="inlineStr">
        <is>
          <t>CUB and Sushi multiple domains 1</t>
        </is>
      </c>
      <c r="AG1003" t="inlineStr">
        <is>
          <t xml:space="preserve">FUNCTION: Potential suppressor of squamous cell carcinomas.; </t>
        </is>
      </c>
      <c r="AH1003" t="inlineStr">
        <is>
          <t>.</t>
        </is>
      </c>
      <c r="AI1003" t="inlineStr">
        <is>
          <t>.</t>
        </is>
      </c>
      <c r="AJ1003" t="inlineStr">
        <is>
          <t>.</t>
        </is>
      </c>
      <c r="AK1003" t="inlineStr">
        <is>
          <t>.</t>
        </is>
      </c>
      <c r="AL1003" t="inlineStr">
        <is>
          <t>.</t>
        </is>
      </c>
    </row>
    <row r="1004">
      <c r="A1004" t="inlineStr"/>
      <c r="B1004">
        <f>HYPERLINK("https://genome.ucsc.edu/cgi-bin/hgTracks?db=hg19&amp;position=chr8%3A8998846%2D8998846", "chr8:8998846")</f>
        <v/>
      </c>
      <c r="C1004" t="inlineStr">
        <is>
          <t>chr8</t>
        </is>
      </c>
      <c r="D1004" t="n">
        <v>8998846</v>
      </c>
      <c r="E1004" t="n">
        <v>8998846</v>
      </c>
      <c r="F1004" t="inlineStr">
        <is>
          <t>C</t>
        </is>
      </c>
      <c r="G1004" t="inlineStr">
        <is>
          <t>T</t>
        </is>
      </c>
      <c r="H1004" t="inlineStr">
        <is>
          <t>2410.64</t>
        </is>
      </c>
      <c r="I1004" t="inlineStr">
        <is>
          <t>125</t>
        </is>
      </c>
      <c r="J1004" t="inlineStr">
        <is>
          <t>40,85</t>
        </is>
      </c>
      <c r="K1004" t="inlineStr">
        <is>
          <t>.</t>
        </is>
      </c>
      <c r="L1004">
        <f>HYPERLINK("https://www.ncbi.nlm.nih.gov/snp/rs200503589", "rs200503589")</f>
        <v/>
      </c>
      <c r="M1004">
        <f>HYPERLINK("https://www.genecards.org/Search/Keyword?queryString=%5Baliases%5D(%20PPP1R3B%20)&amp;keywords=PPP1R3B", "PPP1R3B")</f>
        <v/>
      </c>
      <c r="N1004" t="inlineStr">
        <is>
          <t>exonic</t>
        </is>
      </c>
      <c r="O1004" t="inlineStr">
        <is>
          <t>nonsynonymous SNV</t>
        </is>
      </c>
      <c r="P1004" t="inlineStr">
        <is>
          <t>PPP1R3B:NM_001201329:exon2:c.G316A:p.E106K,PPP1R3B:NM_024607:exon2:c.G316A:p.E106K;PPP1R3B:uc022arp.1:exon1:c.G316A:p.E106K,PPP1R3B:uc003wsn.4:exon2:c.G316A:p.E106K,PPP1R3B:uc003wso.4:exon2:c.G316A:p.E106K;PPP1R3B:ENST00000310455.4_5:exon2:c.G316A:p.E106K,PPP1R3B:ENST00000519699.1_3:exon2:c.G316A:p.E106K</t>
        </is>
      </c>
      <c r="Q1004" t="n">
        <v>7.7e-05</v>
      </c>
      <c r="R1004" t="n">
        <v>9.019e-05</v>
      </c>
      <c r="S1004" t="n">
        <v>7.342e-05</v>
      </c>
      <c r="T1004" t="n">
        <v>-1</v>
      </c>
      <c r="U1004" t="n">
        <v>-1</v>
      </c>
      <c r="V1004" t="inlineStr">
        <is>
          <t>6/11</t>
        </is>
      </c>
      <c r="W1004" t="inlineStr">
        <is>
          <t>.</t>
        </is>
      </c>
      <c r="X1004" t="inlineStr">
        <is>
          <t>.</t>
        </is>
      </c>
      <c r="Y1004" t="inlineStr">
        <is>
          <t>.</t>
        </is>
      </c>
      <c r="Z1004" t="inlineStr">
        <is>
          <t>4/7</t>
        </is>
      </c>
      <c r="AA1004" t="inlineStr">
        <is>
          <t>Uncertain significance</t>
        </is>
      </c>
      <c r="AB1004" t="inlineStr">
        <is>
          <t>.</t>
        </is>
      </c>
      <c r="AC1004" t="inlineStr">
        <is>
          <t>0/1</t>
        </is>
      </c>
      <c r="AD1004" t="inlineStr">
        <is>
          <t>1</t>
        </is>
      </c>
      <c r="AE1004" t="inlineStr">
        <is>
          <t>0.0229191412335762</t>
        </is>
      </c>
      <c r="AF1004" t="inlineStr">
        <is>
          <t>protein phosphatase 1 regulatory subunit 3B</t>
        </is>
      </c>
      <c r="AG1004" t="inlineStr">
        <is>
          <t xml:space="preserve">FUNCTION: Acts as a glycogen-targeting subunit for phosphatase PP1. Facilitates interaction of the PP1 with enzymes of the glycogen metabolism and regulates its activity. Suppresses the rate at which PP1 dephosphorylates (inactivates) glycogen phosphorylase and enhances the rate at which it activates glycogen synthase and therefore limits glycogen breakdown. Its activity is inhibited by PYGL, resulting in inhibition of the glycogen synthase and glycogen phosphorylase phosphatase activities of PP1. Dramatically increases basal and insulin-stimulated glycogen synthesis upon overexpression in hepatocytes (By similarity). {ECO:0000250}.; </t>
        </is>
      </c>
      <c r="AH1004" t="inlineStr">
        <is>
          <t>.</t>
        </is>
      </c>
      <c r="AI1004" t="inlineStr">
        <is>
          <t>.</t>
        </is>
      </c>
      <c r="AJ1004" t="inlineStr">
        <is>
          <t>.</t>
        </is>
      </c>
      <c r="AK1004" t="inlineStr">
        <is>
          <t>.</t>
        </is>
      </c>
      <c r="AL1004" t="inlineStr">
        <is>
          <t>.</t>
        </is>
      </c>
    </row>
    <row r="1005">
      <c r="A1005" t="inlineStr"/>
      <c r="B1005">
        <f>HYPERLINK("https://genome.ucsc.edu/cgi-bin/hgTracks?db=hg19&amp;position=chr8%3A10387044%2D10387044", "chr8:10387044")</f>
        <v/>
      </c>
      <c r="C1005" t="inlineStr">
        <is>
          <t>chr8</t>
        </is>
      </c>
      <c r="D1005" t="n">
        <v>10387044</v>
      </c>
      <c r="E1005" t="n">
        <v>10387044</v>
      </c>
      <c r="F1005" t="inlineStr">
        <is>
          <t>G</t>
        </is>
      </c>
      <c r="G1005" t="inlineStr">
        <is>
          <t>T</t>
        </is>
      </c>
      <c r="H1005" t="inlineStr">
        <is>
          <t>679.64</t>
        </is>
      </c>
      <c r="I1005" t="inlineStr">
        <is>
          <t>109</t>
        </is>
      </c>
      <c r="J1005" t="inlineStr">
        <is>
          <t>74,35</t>
        </is>
      </c>
      <c r="K1005" t="inlineStr">
        <is>
          <t>.</t>
        </is>
      </c>
      <c r="L1005" t="inlineStr">
        <is>
          <t>.</t>
        </is>
      </c>
      <c r="M1005">
        <f>HYPERLINK("https://www.genecards.org/Search/Keyword?queryString=%5Baliases%5D(%20PRSS55%20)&amp;keywords=PRSS55", "PRSS55")</f>
        <v/>
      </c>
      <c r="N1005" t="inlineStr">
        <is>
          <t>exonic</t>
        </is>
      </c>
      <c r="O1005" t="inlineStr">
        <is>
          <t>nonsynonymous SNV</t>
        </is>
      </c>
      <c r="P1005" t="inlineStr">
        <is>
          <t>PRSS55:NM_001197020:exon2:c.G182T:p.G61V,PRSS55:NM_198464:exon2:c.G182T:p.G61V;PRSS55:uc003wta.3:exon2:c.G182T:p.G61V,PRSS55:uc022art.1:exon2:c.G182T:p.G61V;PRSS55:ENST00000328655.8_3:exon2:c.G182T:p.G61V,PRSS55:ENST00000522210.1_1:exon2:c.G182T:p.G61V</t>
        </is>
      </c>
      <c r="Q1005" t="n">
        <v>-1</v>
      </c>
      <c r="R1005" t="n">
        <v>-1</v>
      </c>
      <c r="S1005" t="n">
        <v>-1</v>
      </c>
      <c r="T1005" t="n">
        <v>-1</v>
      </c>
      <c r="U1005" t="n">
        <v>-1</v>
      </c>
      <c r="V1005" t="inlineStr">
        <is>
          <t>5/11</t>
        </is>
      </c>
      <c r="W1005" t="inlineStr">
        <is>
          <t>.</t>
        </is>
      </c>
      <c r="X1005" t="inlineStr">
        <is>
          <t>.</t>
        </is>
      </c>
      <c r="Y1005" t="inlineStr">
        <is>
          <t>.</t>
        </is>
      </c>
      <c r="Z1005" t="inlineStr">
        <is>
          <t>0/7</t>
        </is>
      </c>
      <c r="AA1005" t="inlineStr">
        <is>
          <t>Uncertain significance</t>
        </is>
      </c>
      <c r="AB1005" t="inlineStr">
        <is>
          <t>.</t>
        </is>
      </c>
      <c r="AC1005" t="inlineStr">
        <is>
          <t>0/1</t>
        </is>
      </c>
      <c r="AD1005" t="inlineStr">
        <is>
          <t>1</t>
        </is>
      </c>
      <c r="AE1005" t="inlineStr">
        <is>
          <t>1.2335690846368e-08</t>
        </is>
      </c>
      <c r="AF1005" t="inlineStr">
        <is>
          <t>protease, serine 55</t>
        </is>
      </c>
      <c r="AG1005" t="inlineStr">
        <is>
          <t xml:space="preserve">FUNCTION: Probable serine protease. {ECO:0000250}.; </t>
        </is>
      </c>
      <c r="AH1005" t="inlineStr">
        <is>
          <t>.</t>
        </is>
      </c>
      <c r="AI1005" t="inlineStr">
        <is>
          <t>.</t>
        </is>
      </c>
      <c r="AJ1005" t="inlineStr">
        <is>
          <t>.</t>
        </is>
      </c>
      <c r="AK1005" t="inlineStr">
        <is>
          <t>.</t>
        </is>
      </c>
      <c r="AL1005" t="inlineStr">
        <is>
          <t>.</t>
        </is>
      </c>
    </row>
    <row r="1006">
      <c r="A1006" t="inlineStr"/>
      <c r="B1006">
        <f>HYPERLINK("https://genome.ucsc.edu/cgi-bin/hgTracks?db=hg19&amp;position=chr8%3A16859261%2D16859261", "chr8:16859261")</f>
        <v/>
      </c>
      <c r="C1006" t="inlineStr">
        <is>
          <t>chr8</t>
        </is>
      </c>
      <c r="D1006" t="n">
        <v>16859261</v>
      </c>
      <c r="E1006" t="n">
        <v>16859261</v>
      </c>
      <c r="F1006" t="inlineStr">
        <is>
          <t>A</t>
        </is>
      </c>
      <c r="G1006" t="inlineStr">
        <is>
          <t>C</t>
        </is>
      </c>
      <c r="H1006" t="inlineStr">
        <is>
          <t>198.64</t>
        </is>
      </c>
      <c r="I1006" t="inlineStr">
        <is>
          <t>99</t>
        </is>
      </c>
      <c r="J1006" t="inlineStr">
        <is>
          <t>84,15</t>
        </is>
      </c>
      <c r="K1006" t="inlineStr">
        <is>
          <t>.</t>
        </is>
      </c>
      <c r="L1006" t="inlineStr">
        <is>
          <t>.</t>
        </is>
      </c>
      <c r="M1006">
        <f>HYPERLINK("https://www.genecards.org/Search/Keyword?queryString=%5Baliases%5D(%20FGF20%20)&amp;keywords=FGF20", "FGF20")</f>
        <v/>
      </c>
      <c r="N1006" t="inlineStr">
        <is>
          <t>exonic</t>
        </is>
      </c>
      <c r="O1006" t="inlineStr">
        <is>
          <t>nonsynonymous SNV</t>
        </is>
      </c>
      <c r="P1006" t="inlineStr">
        <is>
          <t>FGF20:NM_019851:exon1:c.T281G:p.L94R;FGF20:uc003wxc.1:exon1:c.T281G:p.L94R,FGF20:uc010lsw.1:exon1:c.T281G:p.L94R;FGF20:ENST00000180166.6_5:exon1:c.T281G:p.L94R</t>
        </is>
      </c>
      <c r="Q1006" t="n">
        <v>-1</v>
      </c>
      <c r="R1006" t="n">
        <v>-1</v>
      </c>
      <c r="S1006" t="n">
        <v>-1</v>
      </c>
      <c r="T1006" t="n">
        <v>-1</v>
      </c>
      <c r="U1006" t="n">
        <v>-1</v>
      </c>
      <c r="V1006" t="inlineStr">
        <is>
          <t>4/12</t>
        </is>
      </c>
      <c r="W1006" t="inlineStr">
        <is>
          <t>.</t>
        </is>
      </c>
      <c r="X1006" t="inlineStr">
        <is>
          <t>.</t>
        </is>
      </c>
      <c r="Y1006" t="inlineStr">
        <is>
          <t>.</t>
        </is>
      </c>
      <c r="Z1006" t="inlineStr">
        <is>
          <t>2/7</t>
        </is>
      </c>
      <c r="AA1006" t="inlineStr">
        <is>
          <t>Likely benign</t>
        </is>
      </c>
      <c r="AB1006" t="inlineStr">
        <is>
          <t>.</t>
        </is>
      </c>
      <c r="AC1006" t="inlineStr">
        <is>
          <t>0/1</t>
        </is>
      </c>
      <c r="AD1006" t="inlineStr">
        <is>
          <t>5</t>
        </is>
      </c>
      <c r="AE1006" t="inlineStr">
        <is>
          <t>0.702854984376326</t>
        </is>
      </c>
      <c r="AF1006" t="inlineStr">
        <is>
          <t>fibroblast growth factor 20</t>
        </is>
      </c>
      <c r="AG1006" t="inlineStr">
        <is>
          <t xml:space="preserve">FUNCTION: Neurotrophic factor that regulates central nervous development and function. {ECO:0000269|PubMed:16597617}.; </t>
        </is>
      </c>
      <c r="AH1006" t="inlineStr">
        <is>
          <t>.</t>
        </is>
      </c>
      <c r="AI1006" t="inlineStr">
        <is>
          <t>.</t>
        </is>
      </c>
      <c r="AJ1006" t="inlineStr">
        <is>
          <t>.</t>
        </is>
      </c>
      <c r="AK1006" t="inlineStr">
        <is>
          <t>.</t>
        </is>
      </c>
      <c r="AL1006" t="inlineStr">
        <is>
          <t>.</t>
        </is>
      </c>
    </row>
    <row r="1007">
      <c r="A1007" t="inlineStr"/>
      <c r="B1007">
        <f>HYPERLINK("https://genome.ucsc.edu/cgi-bin/hgTracks?db=hg19&amp;position=chr8%3A16859272%2D16859272", "chr8:16859272")</f>
        <v/>
      </c>
      <c r="C1007" t="inlineStr">
        <is>
          <t>chr8</t>
        </is>
      </c>
      <c r="D1007" t="n">
        <v>16859272</v>
      </c>
      <c r="E1007" t="n">
        <v>16859272</v>
      </c>
      <c r="F1007" t="inlineStr">
        <is>
          <t>C</t>
        </is>
      </c>
      <c r="G1007" t="inlineStr">
        <is>
          <t>G</t>
        </is>
      </c>
      <c r="H1007" t="inlineStr">
        <is>
          <t>420.64</t>
        </is>
      </c>
      <c r="I1007" t="inlineStr">
        <is>
          <t>97</t>
        </is>
      </c>
      <c r="J1007" t="inlineStr">
        <is>
          <t>81,16</t>
        </is>
      </c>
      <c r="K1007" t="inlineStr">
        <is>
          <t>.</t>
        </is>
      </c>
      <c r="L1007" t="inlineStr">
        <is>
          <t>.</t>
        </is>
      </c>
      <c r="M1007">
        <f>HYPERLINK("https://www.genecards.org/Search/Keyword?queryString=%5Baliases%5D(%20FGF20%20)&amp;keywords=FGF20", "FGF20")</f>
        <v/>
      </c>
      <c r="N1007" t="inlineStr">
        <is>
          <t>exonic</t>
        </is>
      </c>
      <c r="O1007" t="inlineStr">
        <is>
          <t>nonsynonymous SNV</t>
        </is>
      </c>
      <c r="P1007" t="inlineStr">
        <is>
          <t>FGF20:NM_019851:exon1:c.G270C:p.Q90H;FGF20:uc003wxc.1:exon1:c.G270C:p.Q90H,FGF20:uc010lsw.1:exon1:c.G270C:p.Q90H;FGF20:ENST00000180166.6_5:exon1:c.G270C:p.Q90H</t>
        </is>
      </c>
      <c r="Q1007" t="n">
        <v>0.0027</v>
      </c>
      <c r="R1007" t="n">
        <v>0.0001</v>
      </c>
      <c r="S1007" t="n">
        <v>-1</v>
      </c>
      <c r="T1007" t="n">
        <v>-1</v>
      </c>
      <c r="U1007" t="n">
        <v>-1</v>
      </c>
      <c r="V1007" t="inlineStr">
        <is>
          <t>4/12</t>
        </is>
      </c>
      <c r="W1007" t="inlineStr">
        <is>
          <t>.</t>
        </is>
      </c>
      <c r="X1007" t="inlineStr">
        <is>
          <t>.</t>
        </is>
      </c>
      <c r="Y1007" t="inlineStr">
        <is>
          <t>.</t>
        </is>
      </c>
      <c r="Z1007" t="inlineStr">
        <is>
          <t>0/7</t>
        </is>
      </c>
      <c r="AA1007" t="inlineStr">
        <is>
          <t>Likely benign</t>
        </is>
      </c>
      <c r="AB1007" t="inlineStr">
        <is>
          <t>.</t>
        </is>
      </c>
      <c r="AC1007" t="inlineStr">
        <is>
          <t>.</t>
        </is>
      </c>
      <c r="AD1007" t="inlineStr">
        <is>
          <t>5</t>
        </is>
      </c>
      <c r="AE1007" t="inlineStr">
        <is>
          <t>0.702854984376326</t>
        </is>
      </c>
      <c r="AF1007" t="inlineStr">
        <is>
          <t>fibroblast growth factor 20</t>
        </is>
      </c>
      <c r="AG1007" t="inlineStr">
        <is>
          <t xml:space="preserve">FUNCTION: Neurotrophic factor that regulates central nervous development and function. {ECO:0000269|PubMed:16597617}.; </t>
        </is>
      </c>
      <c r="AH1007" t="inlineStr">
        <is>
          <t>.</t>
        </is>
      </c>
      <c r="AI1007" t="inlineStr">
        <is>
          <t>.</t>
        </is>
      </c>
      <c r="AJ1007" t="inlineStr">
        <is>
          <t>.</t>
        </is>
      </c>
      <c r="AK1007" t="inlineStr">
        <is>
          <t>.</t>
        </is>
      </c>
      <c r="AL1007" t="inlineStr">
        <is>
          <t>.</t>
        </is>
      </c>
    </row>
    <row r="1008">
      <c r="A1008" t="inlineStr"/>
      <c r="B1008">
        <f>HYPERLINK("https://genome.ucsc.edu/cgi-bin/hgTracks?db=hg19&amp;position=chr8%3A16859284%2D16859284", "chr8:16859284")</f>
        <v/>
      </c>
      <c r="C1008" t="inlineStr">
        <is>
          <t>chr8</t>
        </is>
      </c>
      <c r="D1008" t="n">
        <v>16859284</v>
      </c>
      <c r="E1008" t="n">
        <v>16859284</v>
      </c>
      <c r="F1008" t="inlineStr">
        <is>
          <t>C</t>
        </is>
      </c>
      <c r="G1008" t="inlineStr">
        <is>
          <t>G</t>
        </is>
      </c>
      <c r="H1008" t="inlineStr">
        <is>
          <t>402.64</t>
        </is>
      </c>
      <c r="I1008" t="inlineStr">
        <is>
          <t>103</t>
        </is>
      </c>
      <c r="J1008" t="inlineStr">
        <is>
          <t>87,16</t>
        </is>
      </c>
      <c r="K1008" t="inlineStr">
        <is>
          <t>.</t>
        </is>
      </c>
      <c r="L1008" t="inlineStr">
        <is>
          <t>.</t>
        </is>
      </c>
      <c r="M1008">
        <f>HYPERLINK("https://www.genecards.org/Search/Keyword?queryString=%5Baliases%5D(%20FGF20%20)&amp;keywords=FGF20", "FGF20")</f>
        <v/>
      </c>
      <c r="N1008" t="inlineStr">
        <is>
          <t>exonic</t>
        </is>
      </c>
      <c r="O1008" t="inlineStr">
        <is>
          <t>nonsynonymous SNV</t>
        </is>
      </c>
      <c r="P1008" t="inlineStr">
        <is>
          <t>FGF20:NM_019851:exon1:c.G258C:p.Q86H;FGF20:uc003wxc.1:exon1:c.G258C:p.Q86H,FGF20:uc010lsw.1:exon1:c.G258C:p.Q86H;FGF20:ENST00000180166.6_5:exon1:c.G258C:p.Q86H</t>
        </is>
      </c>
      <c r="Q1008" t="n">
        <v>0.0057</v>
      </c>
      <c r="R1008" t="n">
        <v>0.0001</v>
      </c>
      <c r="S1008" t="n">
        <v>7.527e-05</v>
      </c>
      <c r="T1008" t="n">
        <v>-1</v>
      </c>
      <c r="U1008" t="n">
        <v>0.0002</v>
      </c>
      <c r="V1008" t="inlineStr">
        <is>
          <t>3/12</t>
        </is>
      </c>
      <c r="W1008" t="inlineStr">
        <is>
          <t>.</t>
        </is>
      </c>
      <c r="X1008" t="inlineStr">
        <is>
          <t>.</t>
        </is>
      </c>
      <c r="Y1008" t="inlineStr">
        <is>
          <t>.</t>
        </is>
      </c>
      <c r="Z1008" t="inlineStr">
        <is>
          <t>1/7</t>
        </is>
      </c>
      <c r="AA1008" t="inlineStr">
        <is>
          <t>Likely benign</t>
        </is>
      </c>
      <c r="AB1008" t="inlineStr">
        <is>
          <t>.</t>
        </is>
      </c>
      <c r="AC1008" t="inlineStr">
        <is>
          <t>.</t>
        </is>
      </c>
      <c r="AD1008" t="inlineStr">
        <is>
          <t>5</t>
        </is>
      </c>
      <c r="AE1008" t="inlineStr">
        <is>
          <t>0.702854984376326</t>
        </is>
      </c>
      <c r="AF1008" t="inlineStr">
        <is>
          <t>fibroblast growth factor 20</t>
        </is>
      </c>
      <c r="AG1008" t="inlineStr">
        <is>
          <t xml:space="preserve">FUNCTION: Neurotrophic factor that regulates central nervous development and function. {ECO:0000269|PubMed:16597617}.; </t>
        </is>
      </c>
      <c r="AH1008" t="inlineStr">
        <is>
          <t>.</t>
        </is>
      </c>
      <c r="AI1008" t="inlineStr">
        <is>
          <t>.</t>
        </is>
      </c>
      <c r="AJ1008" t="inlineStr">
        <is>
          <t>.</t>
        </is>
      </c>
      <c r="AK1008" t="inlineStr">
        <is>
          <t>.</t>
        </is>
      </c>
      <c r="AL1008" t="inlineStr">
        <is>
          <t>.</t>
        </is>
      </c>
    </row>
    <row r="1009">
      <c r="A1009" t="inlineStr"/>
      <c r="B1009">
        <f>HYPERLINK("https://genome.ucsc.edu/cgi-bin/hgTracks?db=hg19&amp;position=chr8%3A16859290%2D16859290", "chr8:16859290")</f>
        <v/>
      </c>
      <c r="C1009" t="inlineStr">
        <is>
          <t>chr8</t>
        </is>
      </c>
      <c r="D1009" t="n">
        <v>16859290</v>
      </c>
      <c r="E1009" t="n">
        <v>16859290</v>
      </c>
      <c r="F1009" t="inlineStr">
        <is>
          <t>G</t>
        </is>
      </c>
      <c r="G1009" t="inlineStr">
        <is>
          <t>C</t>
        </is>
      </c>
      <c r="H1009" t="inlineStr">
        <is>
          <t>444.64</t>
        </is>
      </c>
      <c r="I1009" t="inlineStr">
        <is>
          <t>104</t>
        </is>
      </c>
      <c r="J1009" t="inlineStr">
        <is>
          <t>87,17</t>
        </is>
      </c>
      <c r="K1009" t="inlineStr">
        <is>
          <t>.</t>
        </is>
      </c>
      <c r="L1009" t="inlineStr">
        <is>
          <t>.</t>
        </is>
      </c>
      <c r="M1009">
        <f>HYPERLINK("https://www.genecards.org/Search/Keyword?queryString=%5Baliases%5D(%20FGF20%20)&amp;keywords=FGF20", "FGF20")</f>
        <v/>
      </c>
      <c r="N1009" t="inlineStr">
        <is>
          <t>exonic</t>
        </is>
      </c>
      <c r="O1009" t="inlineStr">
        <is>
          <t>nonsynonymous SNV</t>
        </is>
      </c>
      <c r="P1009" t="inlineStr">
        <is>
          <t>FGF20:NM_019851:exon1:c.C252G:p.S84R;FGF20:uc003wxc.1:exon1:c.C252G:p.S84R,FGF20:uc010lsw.1:exon1:c.C252G:p.S84R;FGF20:ENST00000180166.6_5:exon1:c.C252G:p.S84R</t>
        </is>
      </c>
      <c r="Q1009" t="n">
        <v>0.0066</v>
      </c>
      <c r="R1009" t="n">
        <v>0.0001</v>
      </c>
      <c r="S1009" t="n">
        <v>7.543e-05</v>
      </c>
      <c r="T1009" t="n">
        <v>-1</v>
      </c>
      <c r="U1009" t="n">
        <v>0.0002</v>
      </c>
      <c r="V1009" t="inlineStr">
        <is>
          <t>4/12</t>
        </is>
      </c>
      <c r="W1009" t="inlineStr">
        <is>
          <t>.</t>
        </is>
      </c>
      <c r="X1009" t="inlineStr">
        <is>
          <t>.</t>
        </is>
      </c>
      <c r="Y1009" t="inlineStr">
        <is>
          <t>.</t>
        </is>
      </c>
      <c r="Z1009" t="inlineStr">
        <is>
          <t>2/7</t>
        </is>
      </c>
      <c r="AA1009" t="inlineStr">
        <is>
          <t>Likely benign</t>
        </is>
      </c>
      <c r="AB1009" t="inlineStr">
        <is>
          <t>.</t>
        </is>
      </c>
      <c r="AC1009" t="inlineStr">
        <is>
          <t>.</t>
        </is>
      </c>
      <c r="AD1009" t="inlineStr">
        <is>
          <t>5</t>
        </is>
      </c>
      <c r="AE1009" t="inlineStr">
        <is>
          <t>0.702854984376326</t>
        </is>
      </c>
      <c r="AF1009" t="inlineStr">
        <is>
          <t>fibroblast growth factor 20</t>
        </is>
      </c>
      <c r="AG1009" t="inlineStr">
        <is>
          <t xml:space="preserve">FUNCTION: Neurotrophic factor that regulates central nervous development and function. {ECO:0000269|PubMed:16597617}.; </t>
        </is>
      </c>
      <c r="AH1009" t="inlineStr">
        <is>
          <t>.</t>
        </is>
      </c>
      <c r="AI1009" t="inlineStr">
        <is>
          <t>.</t>
        </is>
      </c>
      <c r="AJ1009" t="inlineStr">
        <is>
          <t>.</t>
        </is>
      </c>
      <c r="AK1009" t="inlineStr">
        <is>
          <t>.</t>
        </is>
      </c>
      <c r="AL1009" t="inlineStr">
        <is>
          <t>.</t>
        </is>
      </c>
    </row>
    <row r="1010">
      <c r="A1010" t="inlineStr"/>
      <c r="B1010">
        <f>HYPERLINK("https://genome.ucsc.edu/cgi-bin/hgTracks?db=hg19&amp;position=chr8%3A16859298%2D16859298", "chr8:16859298")</f>
        <v/>
      </c>
      <c r="C1010" t="inlineStr">
        <is>
          <t>chr8</t>
        </is>
      </c>
      <c r="D1010" t="n">
        <v>16859298</v>
      </c>
      <c r="E1010" t="n">
        <v>16859298</v>
      </c>
      <c r="F1010" t="inlineStr">
        <is>
          <t>C</t>
        </is>
      </c>
      <c r="G1010" t="inlineStr">
        <is>
          <t>T</t>
        </is>
      </c>
      <c r="H1010" t="inlineStr">
        <is>
          <t>585.64</t>
        </is>
      </c>
      <c r="I1010" t="inlineStr">
        <is>
          <t>102</t>
        </is>
      </c>
      <c r="J1010" t="inlineStr">
        <is>
          <t>82,20</t>
        </is>
      </c>
      <c r="K1010" t="inlineStr">
        <is>
          <t>.</t>
        </is>
      </c>
      <c r="L1010" t="inlineStr">
        <is>
          <t>.</t>
        </is>
      </c>
      <c r="M1010">
        <f>HYPERLINK("https://www.genecards.org/Search/Keyword?queryString=%5Baliases%5D(%20FGF20%20)&amp;keywords=FGF20", "FGF20")</f>
        <v/>
      </c>
      <c r="N1010" t="inlineStr">
        <is>
          <t>exonic</t>
        </is>
      </c>
      <c r="O1010" t="inlineStr">
        <is>
          <t>nonsynonymous SNV</t>
        </is>
      </c>
      <c r="P1010" t="inlineStr">
        <is>
          <t>FGF20:NM_019851:exon1:c.G244A:p.D82N;FGF20:uc003wxc.1:exon1:c.G244A:p.D82N,FGF20:uc010lsw.1:exon1:c.G244A:p.D82N;FGF20:ENST00000180166.6_5:exon1:c.G244A:p.D82N</t>
        </is>
      </c>
      <c r="Q1010" t="n">
        <v>0.0104</v>
      </c>
      <c r="R1010" t="n">
        <v>0.0004</v>
      </c>
      <c r="S1010" t="n">
        <v>0.0005999999999999999</v>
      </c>
      <c r="T1010" t="n">
        <v>-1</v>
      </c>
      <c r="U1010" t="n">
        <v>0.0008</v>
      </c>
      <c r="V1010" t="inlineStr">
        <is>
          <t>5/12</t>
        </is>
      </c>
      <c r="W1010" t="inlineStr">
        <is>
          <t>.</t>
        </is>
      </c>
      <c r="X1010" t="inlineStr">
        <is>
          <t>.</t>
        </is>
      </c>
      <c r="Y1010" t="inlineStr">
        <is>
          <t>.</t>
        </is>
      </c>
      <c r="Z1010" t="inlineStr">
        <is>
          <t>1/7</t>
        </is>
      </c>
      <c r="AA1010" t="inlineStr">
        <is>
          <t>Likely benign</t>
        </is>
      </c>
      <c r="AB1010" t="inlineStr">
        <is>
          <t>.</t>
        </is>
      </c>
      <c r="AC1010" t="inlineStr">
        <is>
          <t>.</t>
        </is>
      </c>
      <c r="AD1010" t="inlineStr">
        <is>
          <t>5</t>
        </is>
      </c>
      <c r="AE1010" t="inlineStr">
        <is>
          <t>0.702854984376326</t>
        </is>
      </c>
      <c r="AF1010" t="inlineStr">
        <is>
          <t>fibroblast growth factor 20</t>
        </is>
      </c>
      <c r="AG1010" t="inlineStr">
        <is>
          <t xml:space="preserve">FUNCTION: Neurotrophic factor that regulates central nervous development and function. {ECO:0000269|PubMed:16597617}.; </t>
        </is>
      </c>
      <c r="AH1010" t="inlineStr">
        <is>
          <t>.</t>
        </is>
      </c>
      <c r="AI1010" t="inlineStr">
        <is>
          <t>.</t>
        </is>
      </c>
      <c r="AJ1010" t="inlineStr">
        <is>
          <t>.</t>
        </is>
      </c>
      <c r="AK1010" t="inlineStr">
        <is>
          <t>.</t>
        </is>
      </c>
      <c r="AL1010" t="inlineStr">
        <is>
          <t>.</t>
        </is>
      </c>
    </row>
    <row r="1011">
      <c r="A1011" t="inlineStr"/>
      <c r="B1011">
        <f>HYPERLINK("https://genome.ucsc.edu/cgi-bin/hgTracks?db=hg19&amp;position=chr8%3A22473222%2D22473222", "chr8:22473222")</f>
        <v/>
      </c>
      <c r="C1011" t="inlineStr">
        <is>
          <t>chr8</t>
        </is>
      </c>
      <c r="D1011" t="n">
        <v>22473222</v>
      </c>
      <c r="E1011" t="n">
        <v>22473222</v>
      </c>
      <c r="F1011" t="inlineStr">
        <is>
          <t>G</t>
        </is>
      </c>
      <c r="G1011" t="inlineStr">
        <is>
          <t>T</t>
        </is>
      </c>
      <c r="H1011" t="inlineStr">
        <is>
          <t>1038.64</t>
        </is>
      </c>
      <c r="I1011" t="inlineStr">
        <is>
          <t>119</t>
        </is>
      </c>
      <c r="J1011" t="inlineStr">
        <is>
          <t>76,43</t>
        </is>
      </c>
      <c r="K1011" t="inlineStr">
        <is>
          <t>.</t>
        </is>
      </c>
      <c r="L1011">
        <f>HYPERLINK("https://www.ncbi.nlm.nih.gov/snp/rs147092133", "rs147092133")</f>
        <v/>
      </c>
      <c r="M1011">
        <f>HYPERLINK("https://www.genecards.org/Search/Keyword?queryString=%5Baliases%5D(%20CCAR2%20)%20OR%20%5Baliases%5D(%20KIAA1967%20)&amp;keywords=CCAR2,KIAA1967", "CCAR2;KIAA1967")</f>
        <v/>
      </c>
      <c r="N1011" t="inlineStr">
        <is>
          <t>exonic</t>
        </is>
      </c>
      <c r="O1011" t="inlineStr">
        <is>
          <t>nonsynonymous SNV</t>
        </is>
      </c>
      <c r="P1011" t="inlineStr">
        <is>
          <t>CCAR2:NM_001363068:exon13:c.G1405T:p.D469Y,CCAR2:NM_001363069:exon13:c.G1405T:p.D469Y,CCAR2:NM_021174:exon13:c.G1405T:p.D469Y;KIAA1967:uc003xcj.1:exon10:c.G412T:p.D138Y,KIAA1967:uc003xch.3:exon13:c.G1405T:p.D469Y,KIAA1967:uc003xci.3:exon13:c.G1405T:p.D469Y;CCAR2:ENST00000520861.5_1:exon9:c.G430T:p.D144Y,CCAR2:ENST00000308511.9_3:exon13:c.G1405T:p.D469Y,CCAR2:ENST00000389279.7_1:exon13:c.G1405T:p.D469Y</t>
        </is>
      </c>
      <c r="Q1011" t="n">
        <v>0.007</v>
      </c>
      <c r="R1011" t="n">
        <v>0.0042</v>
      </c>
      <c r="S1011" t="n">
        <v>0.0045</v>
      </c>
      <c r="T1011" t="n">
        <v>-1</v>
      </c>
      <c r="U1011" t="n">
        <v>0.0022</v>
      </c>
      <c r="V1011" t="inlineStr">
        <is>
          <t>3/11</t>
        </is>
      </c>
      <c r="W1011" t="inlineStr">
        <is>
          <t>.</t>
        </is>
      </c>
      <c r="X1011" t="inlineStr">
        <is>
          <t>.</t>
        </is>
      </c>
      <c r="Y1011" t="inlineStr">
        <is>
          <t>.</t>
        </is>
      </c>
      <c r="Z1011" t="inlineStr">
        <is>
          <t>1/7</t>
        </is>
      </c>
      <c r="AA1011" t="inlineStr">
        <is>
          <t>Uncertain significance</t>
        </is>
      </c>
      <c r="AB1011" t="inlineStr">
        <is>
          <t>Benign</t>
        </is>
      </c>
      <c r="AC1011" t="inlineStr">
        <is>
          <t>0/1</t>
        </is>
      </c>
      <c r="AD1011" t="inlineStr">
        <is>
          <t>1;1</t>
        </is>
      </c>
      <c r="AE1011" t="inlineStr">
        <is>
          <t>0.960454889427648</t>
        </is>
      </c>
      <c r="AF1011" t="inlineStr">
        <is>
          <t>cell cycle and apoptosis regulator 2</t>
        </is>
      </c>
      <c r="AG1011" t="inlineStr">
        <is>
          <t xml:space="preserve">FUNCTION: Core component of the DBIRD complex, a multiprotein complex that acts at the interface between core mRNP particles and RNA polymerase II (RNAPII) and integrates transcript elongation with the regulation of alternative splicing: the DBIRD complex affects local transcript elongation rates and alternative splicing of a large set of exons embedded in (A + T)-rich DNA regions. Inhibits SIRT1 deacetylase activity leading to increasing levels of p53/TP53 acetylation and p53-mediated apoptosis. Inhibits SUV39H1 methyltransferase activity. As part of a histone H3- specific methyltransferase complex may mediate ligand-dependent transcriptional activation by nuclear hormone receptors. Plays a critical role in maintaining genomic stability and cellular integrity following UV-induced genotoxic stress. Regulates the circadian expression of the core clock components NR1D1 and ARNTL/BMAL1. Enhances the transcriptional repressor activity of NR1D1 through stabilization of NR1D1 protein levels by preventing its ubiquitination and subsequent degradation (PubMed:18235501, PubMed:18235502, PubMed:19131338, PubMed:19218236, PubMed:22446626, PubMed:23352644, PubMed:23398316). Represses the ligand-dependent transcriptional activation function of ESR2 (PubMed:20074560). Acts as a regulator of PCK1 expression and gluconeogenesis by a mechanism that involves, at least in part, both NR1D1 and SIRT1 (PubMed:24415752). Negatively regulates the deacetylase activity of HDAC3 and can alter its subcellular localization (PubMed:21030595). Positively regulates the beta- catenin pathway (canonical Wnt signaling pathway) and is required for MCC-mediated repression of the beta-catenin pathway (PubMed:24824780). Represses ligand-dependent transcriptional activation function of NR1H2 and NR1H3 and inhibits the interaction of SIRT1 with NR1H3 (PubMed:25661920). Plays an important role in tumor suppression through p53/TP53 regulation; stabilizes p53/TP53 by affecting its interaction with ubiquitin ligase MDM2 (PubMed:25732823). Represses the transcriptional activator activity of BRCA1 (PubMed:20160719). Inhibits SIRT1 in a CHEK2 and PSEM3-dependent manner and inhibits the activity of CHEK2 in vitro (PubMed:25361978). {ECO:0000269|PubMed:18235501, ECO:0000269|PubMed:18235502, ECO:0000269|PubMed:19131338, ECO:0000269|PubMed:19218236, ECO:0000269|PubMed:20074560, ECO:0000269|PubMed:20160719, ECO:0000269|PubMed:21030595, ECO:0000269|PubMed:22446626, ECO:0000269|PubMed:23352644, ECO:0000269|PubMed:23398316, ECO:0000269|PubMed:24415752, ECO:0000269|PubMed:24824780, ECO:0000269|PubMed:25361978, ECO:0000269|PubMed:25661920, ECO:0000269|PubMed:25732823}.; </t>
        </is>
      </c>
      <c r="AH1011" t="inlineStr">
        <is>
          <t>.</t>
        </is>
      </c>
      <c r="AI1011" t="inlineStr">
        <is>
          <t>.</t>
        </is>
      </c>
      <c r="AJ1011" t="inlineStr">
        <is>
          <t>.</t>
        </is>
      </c>
      <c r="AK1011" t="inlineStr">
        <is>
          <t>.</t>
        </is>
      </c>
      <c r="AL1011" t="inlineStr">
        <is>
          <t>.</t>
        </is>
      </c>
    </row>
    <row r="1012">
      <c r="A1012" t="inlineStr"/>
      <c r="B1012">
        <f>HYPERLINK("https://genome.ucsc.edu/cgi-bin/hgTracks?db=hg19&amp;position=chr8%3A26365532%2D26365532", "chr8:26365532")</f>
        <v/>
      </c>
      <c r="C1012" t="inlineStr">
        <is>
          <t>chr8</t>
        </is>
      </c>
      <c r="D1012" t="n">
        <v>26365532</v>
      </c>
      <c r="E1012" t="n">
        <v>26365532</v>
      </c>
      <c r="F1012" t="inlineStr">
        <is>
          <t>C</t>
        </is>
      </c>
      <c r="G1012" t="inlineStr">
        <is>
          <t>A</t>
        </is>
      </c>
      <c r="H1012" t="inlineStr">
        <is>
          <t>903.64</t>
        </is>
      </c>
      <c r="I1012" t="inlineStr">
        <is>
          <t>121</t>
        </is>
      </c>
      <c r="J1012" t="inlineStr">
        <is>
          <t>84,37</t>
        </is>
      </c>
      <c r="K1012" t="inlineStr">
        <is>
          <t>.</t>
        </is>
      </c>
      <c r="L1012">
        <f>HYPERLINK("https://www.ncbi.nlm.nih.gov/snp/rs547951989", "rs547951989")</f>
        <v/>
      </c>
      <c r="M1012">
        <f>HYPERLINK("https://www.genecards.org/Search/Keyword?queryString=%5Baliases%5D(%20PNMA2%20)&amp;keywords=PNMA2", "PNMA2")</f>
        <v/>
      </c>
      <c r="N1012" t="inlineStr">
        <is>
          <t>exonic</t>
        </is>
      </c>
      <c r="O1012" t="inlineStr">
        <is>
          <t>nonsynonymous SNV</t>
        </is>
      </c>
      <c r="P1012" t="inlineStr">
        <is>
          <t>PNMA2:NM_007257:exon3:c.G740T:p.R247L;PNMA2:uc022atc.1:exon1:c.G740T:p.R247L,PNMA2:uc003xez.2:exon3:c.G740T:p.R247L;PNMA2:ENST00000522362.7_5:exon3:c.G740T:p.R247L</t>
        </is>
      </c>
      <c r="Q1012" t="n">
        <v>0.0001</v>
      </c>
      <c r="R1012" t="n">
        <v>0.0001</v>
      </c>
      <c r="S1012" t="n">
        <v>0.0003</v>
      </c>
      <c r="T1012" t="n">
        <v>-1</v>
      </c>
      <c r="U1012" t="n">
        <v>-1</v>
      </c>
      <c r="V1012" t="inlineStr">
        <is>
          <t>4/11</t>
        </is>
      </c>
      <c r="W1012" t="inlineStr">
        <is>
          <t>.</t>
        </is>
      </c>
      <c r="X1012" t="inlineStr">
        <is>
          <t>.</t>
        </is>
      </c>
      <c r="Y1012" t="inlineStr">
        <is>
          <t>.</t>
        </is>
      </c>
      <c r="Z1012" t="inlineStr">
        <is>
          <t>1/7</t>
        </is>
      </c>
      <c r="AA1012" t="inlineStr">
        <is>
          <t>Uncertain significance</t>
        </is>
      </c>
      <c r="AB1012" t="inlineStr">
        <is>
          <t>.</t>
        </is>
      </c>
      <c r="AC1012" t="inlineStr">
        <is>
          <t>0/1</t>
        </is>
      </c>
      <c r="AD1012" t="inlineStr">
        <is>
          <t>1</t>
        </is>
      </c>
      <c r="AE1012" t="inlineStr">
        <is>
          <t>0.101076994690922</t>
        </is>
      </c>
      <c r="AF1012" t="inlineStr">
        <is>
          <t>paraneoplastic Ma antigen 2</t>
        </is>
      </c>
      <c r="AG1012" t="inlineStr">
        <is>
          <t>.</t>
        </is>
      </c>
      <c r="AH1012" t="inlineStr">
        <is>
          <t>.</t>
        </is>
      </c>
      <c r="AI1012" t="inlineStr">
        <is>
          <t>.</t>
        </is>
      </c>
      <c r="AJ1012" t="inlineStr">
        <is>
          <t>.</t>
        </is>
      </c>
      <c r="AK1012" t="inlineStr">
        <is>
          <t>.</t>
        </is>
      </c>
      <c r="AL1012" t="inlineStr">
        <is>
          <t>.</t>
        </is>
      </c>
    </row>
    <row r="1013">
      <c r="A1013" t="inlineStr"/>
      <c r="B1013">
        <f>HYPERLINK("https://genome.ucsc.edu/cgi-bin/hgTracks?db=hg19&amp;position=chr8%3A27690580%2D27690580", "chr8:27690580")</f>
        <v/>
      </c>
      <c r="C1013" t="inlineStr">
        <is>
          <t>chr8</t>
        </is>
      </c>
      <c r="D1013" t="n">
        <v>27690580</v>
      </c>
      <c r="E1013" t="n">
        <v>27690580</v>
      </c>
      <c r="F1013" t="inlineStr">
        <is>
          <t>C</t>
        </is>
      </c>
      <c r="G1013" t="inlineStr">
        <is>
          <t>G</t>
        </is>
      </c>
      <c r="H1013" t="inlineStr">
        <is>
          <t>1314.64</t>
        </is>
      </c>
      <c r="I1013" t="inlineStr">
        <is>
          <t>155</t>
        </is>
      </c>
      <c r="J1013" t="inlineStr">
        <is>
          <t>91,64</t>
        </is>
      </c>
      <c r="K1013" t="inlineStr">
        <is>
          <t>.</t>
        </is>
      </c>
      <c r="L1013" t="inlineStr">
        <is>
          <t>.</t>
        </is>
      </c>
      <c r="M1013">
        <f>HYPERLINK("https://www.genecards.org/Search/Keyword?queryString=%5Baliases%5D(%20PBK%20)&amp;keywords=PBK", "PBK")</f>
        <v/>
      </c>
      <c r="N1013" t="inlineStr">
        <is>
          <t>exonic</t>
        </is>
      </c>
      <c r="O1013" t="inlineStr">
        <is>
          <t>nonsynonymous SNV</t>
        </is>
      </c>
      <c r="P1013" t="inlineStr">
        <is>
          <t>PBK:NM_001278945:exon2:c.G51C:p.K17N,PBK:NM_001363040:exon2:c.G51C:p.K17N,PBK:NM_018492:exon2:c.G51C:p.K17N;PBK:uc003xgi.3:exon2:c.G51C:p.K17N,PBK:uc011lap.2:exon2:c.G51C:p.K17N;PBK:ENST00000301905.9_5:exon2:c.G51C:p.K17N,PBK:ENST00000522944.5_3:exon2:c.G51C:p.K17N</t>
        </is>
      </c>
      <c r="Q1013" t="n">
        <v>-1</v>
      </c>
      <c r="R1013" t="n">
        <v>-1</v>
      </c>
      <c r="S1013" t="n">
        <v>-1</v>
      </c>
      <c r="T1013" t="n">
        <v>-1</v>
      </c>
      <c r="U1013" t="n">
        <v>-1</v>
      </c>
      <c r="V1013" t="inlineStr">
        <is>
          <t>4/12</t>
        </is>
      </c>
      <c r="W1013" t="inlineStr">
        <is>
          <t>.</t>
        </is>
      </c>
      <c r="X1013" t="inlineStr">
        <is>
          <t>.</t>
        </is>
      </c>
      <c r="Y1013" t="inlineStr">
        <is>
          <t>.</t>
        </is>
      </c>
      <c r="Z1013" t="inlineStr">
        <is>
          <t>1/7</t>
        </is>
      </c>
      <c r="AA1013" t="inlineStr">
        <is>
          <t>Uncertain significance</t>
        </is>
      </c>
      <c r="AB1013" t="inlineStr">
        <is>
          <t>.</t>
        </is>
      </c>
      <c r="AC1013" t="inlineStr">
        <is>
          <t>0/1</t>
        </is>
      </c>
      <c r="AD1013" t="inlineStr">
        <is>
          <t>1</t>
        </is>
      </c>
      <c r="AE1013" t="inlineStr">
        <is>
          <t>4.09216216235921e-05</t>
        </is>
      </c>
      <c r="AF1013" t="inlineStr">
        <is>
          <t>PDZ binding kinase</t>
        </is>
      </c>
      <c r="AG1013" t="inlineStr">
        <is>
          <t xml:space="preserve">FUNCTION: Phosphorylates MAP kinase p38. Seems to be active only in mitosis. May also play a role in the activation of lymphoid cells. When phosphorylated, forms a complex with TP53, leading to TP53 destabilization and attenuation of G2/M checkpoint during doxorubicin-induced DNA damage. {ECO:0000269|PubMed:10781613, ECO:0000269|PubMed:17482142}.; </t>
        </is>
      </c>
      <c r="AH1013" t="inlineStr">
        <is>
          <t>.</t>
        </is>
      </c>
      <c r="AI1013" t="inlineStr">
        <is>
          <t>.</t>
        </is>
      </c>
      <c r="AJ1013" t="inlineStr">
        <is>
          <t>.</t>
        </is>
      </c>
      <c r="AK1013" t="inlineStr">
        <is>
          <t>.</t>
        </is>
      </c>
      <c r="AL1013" t="inlineStr">
        <is>
          <t>.</t>
        </is>
      </c>
    </row>
    <row r="1014">
      <c r="A1014" t="inlineStr"/>
      <c r="B1014">
        <f>HYPERLINK("https://genome.ucsc.edu/cgi-bin/hgTracks?db=hg19&amp;position=chr8%3A27880848%2D27880848", "chr8:27880848")</f>
        <v/>
      </c>
      <c r="C1014" t="inlineStr">
        <is>
          <t>chr8</t>
        </is>
      </c>
      <c r="D1014" t="n">
        <v>27880848</v>
      </c>
      <c r="E1014" t="n">
        <v>27880848</v>
      </c>
      <c r="F1014" t="inlineStr">
        <is>
          <t>-</t>
        </is>
      </c>
      <c r="G1014" t="inlineStr">
        <is>
          <t>G</t>
        </is>
      </c>
      <c r="H1014" t="inlineStr">
        <is>
          <t>651.60</t>
        </is>
      </c>
      <c r="I1014" t="inlineStr">
        <is>
          <t>98</t>
        </is>
      </c>
      <c r="J1014" t="inlineStr">
        <is>
          <t>66,32</t>
        </is>
      </c>
      <c r="K1014" t="inlineStr">
        <is>
          <t>.</t>
        </is>
      </c>
      <c r="L1014">
        <f>HYPERLINK("https://www.ncbi.nlm.nih.gov/snp/rs771905699", "rs771905699")</f>
        <v/>
      </c>
      <c r="M1014">
        <f>HYPERLINK("https://www.genecards.org/Search/Keyword?queryString=%5Baliases%5D(%20NUGGC%20)&amp;keywords=NUGGC", "NUGGC")</f>
        <v/>
      </c>
      <c r="N1014" t="inlineStr">
        <is>
          <t>exonic</t>
        </is>
      </c>
      <c r="O1014" t="inlineStr">
        <is>
          <t>frameshift insertion</t>
        </is>
      </c>
      <c r="P1014" t="inlineStr">
        <is>
          <t>NUGGC:NM_001010906:exon19:c.2376dupC:p.G793Rfs*10;NUGGC:uc003xgm.4:exon19:c.2376dupC:p.G793Rfs*10;NUGGC:ENST00000413272.7_5:exon19:c.2376dupC:p.G793Rfs*10</t>
        </is>
      </c>
      <c r="Q1014" t="n">
        <v>0.008621</v>
      </c>
      <c r="R1014" t="n">
        <v>0.0008</v>
      </c>
      <c r="S1014" t="n">
        <v>0.001</v>
      </c>
      <c r="T1014" t="n">
        <v>-1</v>
      </c>
      <c r="U1014" t="n">
        <v>0.0009</v>
      </c>
      <c r="V1014" t="inlineStr">
        <is>
          <t>.</t>
        </is>
      </c>
      <c r="W1014" t="inlineStr">
        <is>
          <t>.</t>
        </is>
      </c>
      <c r="X1014" t="inlineStr">
        <is>
          <t>.</t>
        </is>
      </c>
      <c r="Y1014" t="inlineStr">
        <is>
          <t>.</t>
        </is>
      </c>
      <c r="Z1014" t="inlineStr">
        <is>
          <t>.</t>
        </is>
      </c>
      <c r="AA1014" t="inlineStr">
        <is>
          <t>.</t>
        </is>
      </c>
      <c r="AB1014" t="inlineStr">
        <is>
          <t>.</t>
        </is>
      </c>
      <c r="AC1014" t="inlineStr">
        <is>
          <t>0/1</t>
        </is>
      </c>
      <c r="AD1014" t="inlineStr">
        <is>
          <t>1</t>
        </is>
      </c>
      <c r="AE1014" t="inlineStr">
        <is>
          <t>1.95612770357102e-07</t>
        </is>
      </c>
      <c r="AF1014" t="inlineStr">
        <is>
          <t>nuclear GTPase, germinal center associated</t>
        </is>
      </c>
      <c r="AG1014" t="inlineStr">
        <is>
          <t xml:space="preserve">FUNCTION: Plays a role as replication-related GTPase protein in germinal center B-cell. {ECO:0000269|PubMed:19734146}.; </t>
        </is>
      </c>
      <c r="AH1014" t="inlineStr">
        <is>
          <t>.</t>
        </is>
      </c>
      <c r="AI1014" t="inlineStr">
        <is>
          <t>.</t>
        </is>
      </c>
      <c r="AJ1014" t="inlineStr">
        <is>
          <t>.</t>
        </is>
      </c>
      <c r="AK1014" t="inlineStr">
        <is>
          <t>.</t>
        </is>
      </c>
      <c r="AL1014" t="inlineStr">
        <is>
          <t>.</t>
        </is>
      </c>
    </row>
    <row r="1015">
      <c r="A1015" t="inlineStr"/>
      <c r="B1015">
        <f>HYPERLINK("https://genome.ucsc.edu/cgi-bin/hgTracks?db=hg19&amp;position=chr8%3A30699840%2D30699840", "chr8:30699840")</f>
        <v/>
      </c>
      <c r="C1015" t="inlineStr">
        <is>
          <t>chr8</t>
        </is>
      </c>
      <c r="D1015" t="n">
        <v>30699840</v>
      </c>
      <c r="E1015" t="n">
        <v>30699840</v>
      </c>
      <c r="F1015" t="inlineStr">
        <is>
          <t>C</t>
        </is>
      </c>
      <c r="G1015" t="inlineStr">
        <is>
          <t>A</t>
        </is>
      </c>
      <c r="H1015" t="inlineStr">
        <is>
          <t>616.64</t>
        </is>
      </c>
      <c r="I1015" t="inlineStr">
        <is>
          <t>131</t>
        </is>
      </c>
      <c r="J1015" t="inlineStr">
        <is>
          <t>96,35</t>
        </is>
      </c>
      <c r="K1015" t="inlineStr">
        <is>
          <t>.</t>
        </is>
      </c>
      <c r="L1015" t="inlineStr">
        <is>
          <t>.</t>
        </is>
      </c>
      <c r="M1015">
        <f>HYPERLINK("https://www.genecards.org/Search/Keyword?queryString=%5Baliases%5D(%20TEX15%20)&amp;keywords=TEX15", "TEX15")</f>
        <v/>
      </c>
      <c r="N1015" t="inlineStr">
        <is>
          <t>exonic</t>
        </is>
      </c>
      <c r="O1015" t="inlineStr">
        <is>
          <t>nonsynonymous SNV</t>
        </is>
      </c>
      <c r="P1015" t="inlineStr">
        <is>
          <t>TEX15:NM_001350162:exon8:c.G7843T:p.V2615F;TEX15:uc003xil.3:exon1:c.G6694T:p.V2232F;TEX15:ENST00000256246.5_5:exon1:c.G6694T:p.V2232F,TEX15:ENST00000638951.1_5:exon7:c.G7855T:p.V2619F,TEX15:ENST00000643185.2_9:exon8:c.G7843T:p.V2615F</t>
        </is>
      </c>
      <c r="Q1015" t="n">
        <v>-1</v>
      </c>
      <c r="R1015" t="n">
        <v>-1</v>
      </c>
      <c r="S1015" t="n">
        <v>-1</v>
      </c>
      <c r="T1015" t="n">
        <v>-1</v>
      </c>
      <c r="U1015" t="n">
        <v>-1</v>
      </c>
      <c r="V1015" t="inlineStr">
        <is>
          <t>5/12</t>
        </is>
      </c>
      <c r="W1015" t="inlineStr">
        <is>
          <t>.</t>
        </is>
      </c>
      <c r="X1015" t="inlineStr">
        <is>
          <t>.</t>
        </is>
      </c>
      <c r="Y1015" t="inlineStr">
        <is>
          <t>.</t>
        </is>
      </c>
      <c r="Z1015" t="inlineStr">
        <is>
          <t>2/7</t>
        </is>
      </c>
      <c r="AA1015" t="inlineStr">
        <is>
          <t>Uncertain significance</t>
        </is>
      </c>
      <c r="AB1015" t="inlineStr">
        <is>
          <t>.</t>
        </is>
      </c>
      <c r="AC1015" t="inlineStr">
        <is>
          <t>0/1</t>
        </is>
      </c>
      <c r="AD1015" t="inlineStr">
        <is>
          <t>1</t>
        </is>
      </c>
      <c r="AE1015" t="inlineStr">
        <is>
          <t>3.89144760802236e-17</t>
        </is>
      </c>
      <c r="AF1015" t="inlineStr">
        <is>
          <t>testis expressed 15</t>
        </is>
      </c>
      <c r="AG1015" t="inlineStr">
        <is>
          <t xml:space="preserve">FUNCTION: Required during spermatogenesis for normal chromosome synapsis and meiotic recombination in germ cells. Necessary for formation of DMC1 and RAD51 foci on meiotic chromosomes, suggesting a specific role in DNA double-stranded break repair. {ECO:0000250|UniProtKB:F8VPN2}.; </t>
        </is>
      </c>
      <c r="AH1015" t="inlineStr">
        <is>
          <t>.</t>
        </is>
      </c>
      <c r="AI1015" t="inlineStr">
        <is>
          <t>.</t>
        </is>
      </c>
      <c r="AJ1015" t="inlineStr">
        <is>
          <t>.</t>
        </is>
      </c>
      <c r="AK1015" t="inlineStr">
        <is>
          <t>.</t>
        </is>
      </c>
      <c r="AL1015" t="inlineStr">
        <is>
          <t>.</t>
        </is>
      </c>
    </row>
    <row r="1016">
      <c r="A1016" t="inlineStr"/>
      <c r="B1016">
        <f>HYPERLINK("https://genome.ucsc.edu/cgi-bin/hgTracks?db=hg19&amp;position=chr8%3A38260050%2D38260050", "chr8:38260050")</f>
        <v/>
      </c>
      <c r="C1016" t="inlineStr">
        <is>
          <t>chr8</t>
        </is>
      </c>
      <c r="D1016" t="n">
        <v>38260050</v>
      </c>
      <c r="E1016" t="n">
        <v>38260050</v>
      </c>
      <c r="F1016" t="inlineStr">
        <is>
          <t>C</t>
        </is>
      </c>
      <c r="G1016" t="inlineStr">
        <is>
          <t>T</t>
        </is>
      </c>
      <c r="H1016" t="inlineStr">
        <is>
          <t>1439.64</t>
        </is>
      </c>
      <c r="I1016" t="inlineStr">
        <is>
          <t>85</t>
        </is>
      </c>
      <c r="J1016" t="inlineStr">
        <is>
          <t>27,58</t>
        </is>
      </c>
      <c r="K1016" t="inlineStr">
        <is>
          <t>.</t>
        </is>
      </c>
      <c r="L1016">
        <f>HYPERLINK("https://www.ncbi.nlm.nih.gov/snp/rs145121919", "rs145121919")</f>
        <v/>
      </c>
      <c r="M1016">
        <f>HYPERLINK("https://www.genecards.org/Search/Keyword?queryString=%5Baliases%5D(%20LETM2%20)&amp;keywords=LETM2", "LETM2")</f>
        <v/>
      </c>
      <c r="N1016" t="inlineStr">
        <is>
          <t>exonic</t>
        </is>
      </c>
      <c r="O1016" t="inlineStr">
        <is>
          <t>nonsynonymous SNV</t>
        </is>
      </c>
      <c r="P1016" t="inlineStr">
        <is>
          <t>LETM2:NM_001330515:exon6:c.C848T:p.A283V,LETM2:NM_144652:exon6:c.C707T:p.A236V,LETM2:NM_001199659:exon7:c.C851T:p.A284V,LETM2:NM_001199660:exon7:c.C383T:p.A128V,LETM2:NM_001286787:exon7:c.C383T:p.A128V,LETM2:NM_001286819:exon7:c.C992T:p.A331V,LETM2:NM_001363204:exon7:c.C449T:p.A150V,LETM2:NM_001363205:exon7:c.C383T:p.A128V;LETM2:uc003xll.2:exon6:c.C707T:p.A236V,LETM2:uc003xlm.2:exon7:c.C851T:p.A284V,LETM2:uc003xln.2:exon7:c.C383T:p.A128V,LETM2:uc003xlo.2:exon7:c.C383T:p.A128V,LETM2:uc011lbn.2:exon7:c.C383T:p.A128V;LETM2:ENST00000527710.5_1:exon4:c.C350T:p.A117V,LETM2:ENST00000297720.9_1:exon6:c.C707T:p.A236V,LETM2:ENST00000524874.5_2:exon6:c.C848T:p.A283V,LETM2:ENST00000379957.9_7:exon7:c.C992T:p.A331V,LETM2:ENST00000523983.6_4:exon7:c.C851T:p.A284V</t>
        </is>
      </c>
      <c r="Q1016" t="n">
        <v>0.0101</v>
      </c>
      <c r="R1016" t="n">
        <v>0.0037</v>
      </c>
      <c r="S1016" t="n">
        <v>0.0034</v>
      </c>
      <c r="T1016" t="n">
        <v>-1</v>
      </c>
      <c r="U1016" t="n">
        <v>0.0041</v>
      </c>
      <c r="V1016" t="inlineStr">
        <is>
          <t>5/10</t>
        </is>
      </c>
      <c r="W1016" t="inlineStr">
        <is>
          <t>.</t>
        </is>
      </c>
      <c r="X1016" t="inlineStr">
        <is>
          <t>.</t>
        </is>
      </c>
      <c r="Y1016" t="inlineStr">
        <is>
          <t>.</t>
        </is>
      </c>
      <c r="Z1016" t="inlineStr">
        <is>
          <t>4/7</t>
        </is>
      </c>
      <c r="AA1016" t="inlineStr">
        <is>
          <t>Uncertain significance</t>
        </is>
      </c>
      <c r="AB1016" t="inlineStr">
        <is>
          <t>.</t>
        </is>
      </c>
      <c r="AC1016" t="inlineStr">
        <is>
          <t>0/1</t>
        </is>
      </c>
      <c r="AD1016" t="inlineStr">
        <is>
          <t>1</t>
        </is>
      </c>
      <c r="AE1016" t="inlineStr">
        <is>
          <t>1.34235674967667e-10</t>
        </is>
      </c>
      <c r="AF1016" t="inlineStr">
        <is>
          <t>leucine zipper and EF-hand containing transmembrane protein 2</t>
        </is>
      </c>
      <c r="AG1016" t="inlineStr">
        <is>
          <t>.</t>
        </is>
      </c>
      <c r="AH1016" t="inlineStr">
        <is>
          <t>.</t>
        </is>
      </c>
      <c r="AI1016" t="inlineStr">
        <is>
          <t>.</t>
        </is>
      </c>
      <c r="AJ1016" t="inlineStr">
        <is>
          <t>.</t>
        </is>
      </c>
      <c r="AK1016" t="inlineStr">
        <is>
          <t>.</t>
        </is>
      </c>
      <c r="AL1016" t="inlineStr">
        <is>
          <t>.</t>
        </is>
      </c>
    </row>
    <row r="1017">
      <c r="A1017" t="inlineStr"/>
      <c r="B1017">
        <f>HYPERLINK("https://genome.ucsc.edu/cgi-bin/hgTracks?db=hg19&amp;position=chr8%3A41655209%2D41655209", "chr8:41655209")</f>
        <v/>
      </c>
      <c r="C1017" t="inlineStr">
        <is>
          <t>chr8</t>
        </is>
      </c>
      <c r="D1017" t="n">
        <v>41655209</v>
      </c>
      <c r="E1017" t="n">
        <v>41655209</v>
      </c>
      <c r="F1017" t="inlineStr">
        <is>
          <t>C</t>
        </is>
      </c>
      <c r="G1017" t="inlineStr">
        <is>
          <t>T</t>
        </is>
      </c>
      <c r="H1017" t="inlineStr">
        <is>
          <t>165.64</t>
        </is>
      </c>
      <c r="I1017" t="inlineStr">
        <is>
          <t>46</t>
        </is>
      </c>
      <c r="J1017" t="inlineStr">
        <is>
          <t>36,10</t>
        </is>
      </c>
      <c r="K1017" t="inlineStr">
        <is>
          <t>CR984612</t>
        </is>
      </c>
      <c r="L1017">
        <f>HYPERLINK("https://www.ncbi.nlm.nih.gov/snp/rs183894680", "rs183894680")</f>
        <v/>
      </c>
      <c r="M1017">
        <f>HYPERLINK("https://www.genecards.org/Search/Keyword?queryString=%5Baliases%5D(%20ANK1%20)&amp;keywords=ANK1", "ANK1")</f>
        <v/>
      </c>
      <c r="N1017" t="inlineStr">
        <is>
          <t>intronic</t>
        </is>
      </c>
      <c r="O1017" t="inlineStr">
        <is>
          <t>.</t>
        </is>
      </c>
      <c r="P1017" t="inlineStr">
        <is>
          <t>.</t>
        </is>
      </c>
      <c r="Q1017" t="n">
        <v>0.0204</v>
      </c>
      <c r="R1017" t="n">
        <v>0.0194</v>
      </c>
      <c r="S1017" t="n">
        <v>0.0211</v>
      </c>
      <c r="T1017" t="n">
        <v>-1</v>
      </c>
      <c r="U1017" t="n">
        <v>0.02</v>
      </c>
      <c r="V1017" t="inlineStr">
        <is>
          <t>.</t>
        </is>
      </c>
      <c r="W1017" t="inlineStr">
        <is>
          <t>.</t>
        </is>
      </c>
      <c r="X1017" t="inlineStr">
        <is>
          <t>.</t>
        </is>
      </c>
      <c r="Y1017" t="inlineStr">
        <is>
          <t>.</t>
        </is>
      </c>
      <c r="Z1017" t="inlineStr">
        <is>
          <t>.</t>
        </is>
      </c>
      <c r="AA1017" t="inlineStr">
        <is>
          <t>.</t>
        </is>
      </c>
      <c r="AB1017" t="inlineStr">
        <is>
          <t>Conflicting_interpretations_of_pathogenicity</t>
        </is>
      </c>
      <c r="AC1017" t="inlineStr">
        <is>
          <t>0/1</t>
        </is>
      </c>
      <c r="AD1017" t="inlineStr">
        <is>
          <t>1</t>
        </is>
      </c>
      <c r="AE1017" t="inlineStr">
        <is>
          <t>0.999999999957629</t>
        </is>
      </c>
      <c r="AF1017" t="inlineStr">
        <is>
          <t>ankyrin 1</t>
        </is>
      </c>
      <c r="AG1017" t="inlineStr">
        <is>
          <t xml:space="preserve">FUNCTION: Attaches integral membrane proteins to cytoskeletal elements; binds to the erythrocyte membrane protein band 4.2, to Na-K ATPase, to the lymphocyte membrane protein GP85, and to the cytoskeletal proteins fodrin, tubulin, vimentin and desmin. Erythrocyte ankyrins also link spectrin (beta chain) to the cytoplasmic domain of the erythrocytes anion exchange protein; they retain most or all of these binding functions. {ECO:0000269|PubMed:12456646}.; </t>
        </is>
      </c>
      <c r="AH1017" t="inlineStr">
        <is>
          <t xml:space="preserve">DISEASE: Spherocytosis 1 (SPH1) [MIM:182900]: Spherocytosis is a hematologic disorder leading to chronic hemolytic anemia and characterized by numerous abnormally shaped erythrocytes which are generally spheroidal. SPH1 is characterized by severe hemolytic anemia. Inheritance is autosomal recessive. {ECO:0000269|PubMed:11102985, ECO:0000269|PubMed:8640229}. Note=The disease is caused by mutations affecting the gene represented in this entry.; </t>
        </is>
      </c>
      <c r="AI1017" t="inlineStr">
        <is>
          <t>.</t>
        </is>
      </c>
      <c r="AJ1017" t="inlineStr">
        <is>
          <t>.</t>
        </is>
      </c>
      <c r="AK1017" t="inlineStr">
        <is>
          <t>.</t>
        </is>
      </c>
      <c r="AL1017" t="inlineStr">
        <is>
          <t>.</t>
        </is>
      </c>
    </row>
    <row r="1018">
      <c r="A1018" t="inlineStr"/>
      <c r="B1018">
        <f>HYPERLINK("https://genome.ucsc.edu/cgi-bin/hgTracks?db=hg19&amp;position=chr8%3A41790109%2D41790109", "chr8:41790109")</f>
        <v/>
      </c>
      <c r="C1018" t="inlineStr">
        <is>
          <t>chr8</t>
        </is>
      </c>
      <c r="D1018" t="n">
        <v>41790109</v>
      </c>
      <c r="E1018" t="n">
        <v>41790109</v>
      </c>
      <c r="F1018" t="inlineStr">
        <is>
          <t>G</t>
        </is>
      </c>
      <c r="G1018" t="inlineStr">
        <is>
          <t>A</t>
        </is>
      </c>
      <c r="H1018" t="inlineStr">
        <is>
          <t>1147.64</t>
        </is>
      </c>
      <c r="I1018" t="inlineStr">
        <is>
          <t>140</t>
        </is>
      </c>
      <c r="J1018" t="inlineStr">
        <is>
          <t>93,47</t>
        </is>
      </c>
      <c r="K1018" t="inlineStr">
        <is>
          <t>.</t>
        </is>
      </c>
      <c r="L1018">
        <f>HYPERLINK("https://www.ncbi.nlm.nih.gov/snp/rs772414652", "rs772414652")</f>
        <v/>
      </c>
      <c r="M1018">
        <f>HYPERLINK("https://www.genecards.org/Search/Keyword?queryString=%5Baliases%5D(%20KAT6A%20)&amp;keywords=KAT6A", "KAT6A")</f>
        <v/>
      </c>
      <c r="N1018" t="inlineStr">
        <is>
          <t>exonic</t>
        </is>
      </c>
      <c r="O1018" t="inlineStr">
        <is>
          <t>nonsynonymous SNV</t>
        </is>
      </c>
      <c r="P1018" t="inlineStr">
        <is>
          <t>KAT6A:NM_006766:exon17:c.C5629T:p.R1877C;KAT6A:uc003xon.4:exon17:c.C5629T:p.R1877C,KAT6A:uc010lxb.3:exon18:c.C5629T:p.R1877C,KAT6A:uc010lxc.3:exon18:c.C5629T:p.R1877C;KAT6A:ENST00000265713.8_11:exon17:c.C5629T:p.R1877C,KAT6A:ENST00000396930.4_9:exon18:c.C5629T:p.R1877C,KAT6A:ENST00000406337.6_6:exon18:c.C5635T:p.R1879C</t>
        </is>
      </c>
      <c r="Q1018" t="n">
        <v>6.478999999999999e-05</v>
      </c>
      <c r="R1018" t="n">
        <v>9.016e-05</v>
      </c>
      <c r="S1018" t="n">
        <v>7.34e-05</v>
      </c>
      <c r="T1018" t="n">
        <v>-1</v>
      </c>
      <c r="U1018" t="n">
        <v>-1</v>
      </c>
      <c r="V1018" t="inlineStr">
        <is>
          <t>6/12</t>
        </is>
      </c>
      <c r="W1018" t="inlineStr">
        <is>
          <t>.</t>
        </is>
      </c>
      <c r="X1018" t="inlineStr">
        <is>
          <t>.</t>
        </is>
      </c>
      <c r="Y1018" t="inlineStr">
        <is>
          <t>.</t>
        </is>
      </c>
      <c r="Z1018" t="inlineStr">
        <is>
          <t>5/7</t>
        </is>
      </c>
      <c r="AA1018" t="inlineStr">
        <is>
          <t>Uncertain significance</t>
        </is>
      </c>
      <c r="AB1018" t="inlineStr">
        <is>
          <t>.</t>
        </is>
      </c>
      <c r="AC1018" t="inlineStr">
        <is>
          <t>0/1</t>
        </is>
      </c>
      <c r="AD1018" t="inlineStr">
        <is>
          <t>1</t>
        </is>
      </c>
      <c r="AE1018" t="inlineStr">
        <is>
          <t>0.999999984631619</t>
        </is>
      </c>
      <c r="AF1018" t="inlineStr">
        <is>
          <t>lysine acetyltransferase 6A</t>
        </is>
      </c>
      <c r="AG1018" t="inlineStr">
        <is>
          <t xml:space="preserve">FUNCTION: Histone acetyltransferase that acetylates lysine residues in histone H3 and histone H4 (in vitro). Component of the MOZ/MORF complex which has a histone H3 acetyltransferase activity. May act as a transcriptional coactivator for RUNX1 and RUNX2. Acetylates p53/TP53 at 'Lys-120' and 'Lys-382' and controls its transcriptional activity via association with PML. {ECO:0000269|PubMed:11742995, ECO:0000269|PubMed:11965546, ECO:0000269|PubMed:12771199, ECO:0000269|PubMed:16387653, ECO:0000269|PubMed:17925393, ECO:0000269|PubMed:23431171}.; </t>
        </is>
      </c>
      <c r="AH1018" t="inlineStr">
        <is>
          <t xml:space="preserve">DISEASE: Note=Chromosomal aberrations involving KAT6A may be a cause of acute myeloid leukemias. Translocation t(8;16)(p11;p13) with CREBBP (PubMed:8782817). Translocation t(8;22)(p11;q13) with EP300 (PubMed:10824998). KAT6A-CREBBP may induce leukemia by inhibiting RUNX1-mediated transcription (PubMed:11742995). Inversion inv(8)(p11;q13) generates the KAT6A-NCOA2 oncogene, which consists of the N-terminal part of KAT6A and the C-terminal part of NCOA2/TIF2. KAT6A-NCOA2 binds to CREBBP and disrupts its function in transcription activation (PubMed:12676584). {ECO:0000269|PubMed:10824998, ECO:0000269|PubMed:11742995, ECO:0000269|PubMed:12676584, ECO:0000269|PubMed:8782817}.; DISEASE: Note=A chromosomal aberration involving KAT6A is a cause of therapy-related myelodysplastic syndrome. Translocation t(2;8)(p23;p11.2) with ASXL2 generates a KAT6A-ASXL2 fusion protein. {ECO:0000269|Ref.3}.; DISEASE: Mental retardation, autosomal dominant 32 (MRD32) [MIM:616268]: A form of mental retardation, a disorder characterized by significantly below average general intellectual functioning associated with impairments in adaptive behavior and manifested during the developmental period. MRD32 patients manifest intellectual disability, dysmorphic facial features, delayed psychomotor development, and lack of speech. {ECO:0000269|PubMed:25728775, ECO:0000269|PubMed:25728777}. Note=The disease is caused by mutations affecting the gene represented in this entry.; </t>
        </is>
      </c>
      <c r="AI1018" t="inlineStr">
        <is>
          <t>.</t>
        </is>
      </c>
      <c r="AJ1018" t="inlineStr">
        <is>
          <t>.</t>
        </is>
      </c>
      <c r="AK1018" t="inlineStr">
        <is>
          <t>.</t>
        </is>
      </c>
      <c r="AL1018" t="inlineStr">
        <is>
          <t>.</t>
        </is>
      </c>
    </row>
    <row r="1019">
      <c r="A1019" t="inlineStr"/>
      <c r="B1019">
        <f>HYPERLINK("https://genome.ucsc.edu/cgi-bin/hgTracks?db=hg19&amp;position=chr8%3A49832477%2D49832477", "chr8:49832477")</f>
        <v/>
      </c>
      <c r="C1019" t="inlineStr">
        <is>
          <t>chr8</t>
        </is>
      </c>
      <c r="D1019" t="n">
        <v>49832477</v>
      </c>
      <c r="E1019" t="n">
        <v>49832477</v>
      </c>
      <c r="F1019" t="inlineStr">
        <is>
          <t>T</t>
        </is>
      </c>
      <c r="G1019" t="inlineStr">
        <is>
          <t>A</t>
        </is>
      </c>
      <c r="H1019" t="inlineStr">
        <is>
          <t>582.64</t>
        </is>
      </c>
      <c r="I1019" t="inlineStr">
        <is>
          <t>99</t>
        </is>
      </c>
      <c r="J1019" t="inlineStr">
        <is>
          <t>73,26</t>
        </is>
      </c>
      <c r="K1019" t="inlineStr">
        <is>
          <t>.</t>
        </is>
      </c>
      <c r="L1019" t="inlineStr">
        <is>
          <t>.</t>
        </is>
      </c>
      <c r="M1019">
        <f>HYPERLINK("https://www.genecards.org/Search/Keyword?queryString=%5Baliases%5D(%20SNAI2%20)&amp;keywords=SNAI2", "SNAI2")</f>
        <v/>
      </c>
      <c r="N1019" t="inlineStr">
        <is>
          <t>exonic</t>
        </is>
      </c>
      <c r="O1019" t="inlineStr">
        <is>
          <t>nonsynonymous SNV</t>
        </is>
      </c>
      <c r="P1019" t="inlineStr">
        <is>
          <t>SNAI2:NM_003068:exon2:c.A603T:p.Q201H;SNAI2:uc003xqp.3:exon2:c.A603T:p.Q201H;SNAI2:ENST00000020945.4_7:exon2:c.A603T:p.Q201H</t>
        </is>
      </c>
      <c r="Q1019" t="n">
        <v>-1</v>
      </c>
      <c r="R1019" t="n">
        <v>-1</v>
      </c>
      <c r="S1019" t="n">
        <v>-1</v>
      </c>
      <c r="T1019" t="n">
        <v>-1</v>
      </c>
      <c r="U1019" t="n">
        <v>-1</v>
      </c>
      <c r="V1019" t="inlineStr">
        <is>
          <t>7/12</t>
        </is>
      </c>
      <c r="W1019" t="inlineStr">
        <is>
          <t>.</t>
        </is>
      </c>
      <c r="X1019" t="inlineStr">
        <is>
          <t>.</t>
        </is>
      </c>
      <c r="Y1019" t="inlineStr">
        <is>
          <t>.</t>
        </is>
      </c>
      <c r="Z1019" t="inlineStr">
        <is>
          <t>2/7</t>
        </is>
      </c>
      <c r="AA1019" t="inlineStr">
        <is>
          <t>Uncertain significance</t>
        </is>
      </c>
      <c r="AB1019" t="inlineStr">
        <is>
          <t>.</t>
        </is>
      </c>
      <c r="AC1019" t="inlineStr">
        <is>
          <t>0/1</t>
        </is>
      </c>
      <c r="AD1019" t="inlineStr">
        <is>
          <t>1</t>
        </is>
      </c>
      <c r="AE1019" t="inlineStr">
        <is>
          <t>0.871690015207373</t>
        </is>
      </c>
      <c r="AF1019" t="inlineStr">
        <is>
          <t>snail family zinc finger 2</t>
        </is>
      </c>
      <c r="AG1019" t="inlineStr">
        <is>
          <t xml:space="preserve">FUNCTION: Transcriptional repressor that modulates both activator- dependent and basal transcription. Involved in the generation and migration of neural crest cells. Plays a role in mediating RAF1- induced transcriptional repression of the TJ protein, occludin (OCLN) and subsequent oncogenic transformation of epithelial cells (By similarity). Represses BRCA2 expression by binding to its E2- box-containing silencer and recruiting CTBP1 and HDAC1 in breast cells. In epidermal keratinocytes, binds to the E-box in ITGA3 promoter and represses its transcription. Involved in the regulation of ITGB1 and ITGB4 expression and cell adhesion and proliferation in epidermal keratinocytes. Binds to E-box2 domain of BSG and activates its expression during TGFB1-induced epithelial-mesenchymal transition (EMT) in hepatocytes. Represses E-Cadherin/CDH1 transcription via E-box elements. Involved in osteoblast maturation. Binds to RUNX2 and SOC9 promoters and may act as a positive and negative transcription regulator, respectively, in osteoblasts. Binds to CXCL12 promoter via E-box regions in mesenchymal stem cells and osteoblasts. Plays an essential role in TWIST1-induced EMT and its ability to promote invasion and metastasis. {ECO:0000250, ECO:0000269|PubMed:10866665, ECO:0000269|PubMed:11912130, ECO:0000269|PubMed:15734731, ECO:0000269|PubMed:16707493, ECO:0000269|PubMed:19756381, ECO:0000269|PubMed:21182836}.; </t>
        </is>
      </c>
      <c r="AH1019" t="inlineStr">
        <is>
          <t xml:space="preserve">DISEASE: Waardenburg syndrome 2D (WS2D) [MIM:608890]: WS2 is a genetically heterogeneous, autosomal dominant disorder characterized by sensorineural deafness, pigmentary disturbances, and absence of dystopia canthorum. The frequency of deafness is higher in WS2 than in WS1. {ECO:0000269|PubMed:12444107}. Note=The disease is caused by mutations affecting the gene represented in this entry.; DISEASE: Piebald trait (PBT) [MIM:172800]: Autosomal dominant genetic developmental abnormality of pigmentation characterized by congenital patches of white skin and hair that lack melanocytes. {ECO:0000269|PubMed:12955764}. Note=The disease is caused by mutations affecting the gene represented in this entry.; </t>
        </is>
      </c>
      <c r="AI1019" t="inlineStr">
        <is>
          <t>.</t>
        </is>
      </c>
      <c r="AJ1019" t="inlineStr">
        <is>
          <t>.</t>
        </is>
      </c>
      <c r="AK1019" t="inlineStr">
        <is>
          <t>.</t>
        </is>
      </c>
      <c r="AL1019" t="inlineStr">
        <is>
          <t>.</t>
        </is>
      </c>
    </row>
    <row r="1020">
      <c r="A1020" t="inlineStr"/>
      <c r="B1020">
        <f>HYPERLINK("https://genome.ucsc.edu/cgi-bin/hgTracks?db=hg19&amp;position=chr8%3A57228621%2D57228621", "chr8:57228621")</f>
        <v/>
      </c>
      <c r="C1020" t="inlineStr">
        <is>
          <t>chr8</t>
        </is>
      </c>
      <c r="D1020" t="n">
        <v>57228621</v>
      </c>
      <c r="E1020" t="n">
        <v>57228621</v>
      </c>
      <c r="F1020" t="inlineStr">
        <is>
          <t>T</t>
        </is>
      </c>
      <c r="G1020" t="inlineStr">
        <is>
          <t>G</t>
        </is>
      </c>
      <c r="H1020" t="inlineStr">
        <is>
          <t>2940.64</t>
        </is>
      </c>
      <c r="I1020" t="inlineStr">
        <is>
          <t>156</t>
        </is>
      </c>
      <c r="J1020" t="inlineStr">
        <is>
          <t>48,108</t>
        </is>
      </c>
      <c r="K1020" t="inlineStr">
        <is>
          <t>.</t>
        </is>
      </c>
      <c r="L1020">
        <f>HYPERLINK("https://www.ncbi.nlm.nih.gov/snp/rs750218007", "rs750218007")</f>
        <v/>
      </c>
      <c r="M1020">
        <f>HYPERLINK("https://www.genecards.org/Search/Keyword?queryString=%5Baliases%5D(%20SDR16C5%20)&amp;keywords=SDR16C5", "SDR16C5")</f>
        <v/>
      </c>
      <c r="N1020" t="inlineStr">
        <is>
          <t>exonic</t>
        </is>
      </c>
      <c r="O1020" t="inlineStr">
        <is>
          <t>nonsynonymous SNV</t>
        </is>
      </c>
      <c r="P1020" t="inlineStr">
        <is>
          <t>SDR16C5:NM_001318049:exon2:c.A286C:p.T96P,SDR16C5:NM_001318050:exon2:c.A286C:p.T96P,SDR16C5:NM_138969:exon2:c.A286C:p.T96P;SDR16C5:uc003xsy.1:exon2:c.A286C:p.T96P,SDR16C5:uc010lyk.1:exon2:c.A286C:p.T96P,SDR16C5:uc010lyl.1:exon2:c.A286C:p.T96P;SDR16C5:ENST00000303749.8_6:exon2:c.A286C:p.T96P,SDR16C5:ENST00000396721.6_4:exon2:c.A286C:p.T96P,SDR16C5:ENST00000522671.1_6:exon2:c.A286C:p.T96P</t>
        </is>
      </c>
      <c r="Q1020" t="n">
        <v>6.5e-06</v>
      </c>
      <c r="R1020" t="n">
        <v>-1</v>
      </c>
      <c r="S1020" t="n">
        <v>-1</v>
      </c>
      <c r="T1020" t="n">
        <v>-1</v>
      </c>
      <c r="U1020" t="n">
        <v>-1</v>
      </c>
      <c r="V1020" t="inlineStr">
        <is>
          <t>4/12</t>
        </is>
      </c>
      <c r="W1020" t="inlineStr">
        <is>
          <t>.</t>
        </is>
      </c>
      <c r="X1020" t="inlineStr">
        <is>
          <t>.</t>
        </is>
      </c>
      <c r="Y1020" t="inlineStr">
        <is>
          <t>.</t>
        </is>
      </c>
      <c r="Z1020" t="inlineStr">
        <is>
          <t>0/7</t>
        </is>
      </c>
      <c r="AA1020" t="inlineStr">
        <is>
          <t>Uncertain significance</t>
        </is>
      </c>
      <c r="AB1020" t="inlineStr">
        <is>
          <t>.</t>
        </is>
      </c>
      <c r="AC1020" t="inlineStr">
        <is>
          <t>0/1</t>
        </is>
      </c>
      <c r="AD1020" t="inlineStr">
        <is>
          <t>1</t>
        </is>
      </c>
      <c r="AE1020" t="inlineStr">
        <is>
          <t>0.00291744009323263</t>
        </is>
      </c>
      <c r="AF1020" t="inlineStr">
        <is>
          <t>short chain dehydrogenase/reductase family 16C, member 5</t>
        </is>
      </c>
      <c r="AG1020" t="inlineStr">
        <is>
          <t xml:space="preserve">FUNCTION: Oxidoreductase with strong preference for NAD. Active in both the oxidative and reductive directions. Oxidizes all-trans- retinol in all-trans-retinaldehyde. No activity was detected with 11-cis-retinol or 11-cis-retinaldehyde as substrates with either NAD(+)/NADH or NADP(+)/NADPH. {ECO:0000269|PubMed:18926804}.; </t>
        </is>
      </c>
      <c r="AH1020" t="inlineStr">
        <is>
          <t>.</t>
        </is>
      </c>
      <c r="AI1020" t="inlineStr">
        <is>
          <t>.</t>
        </is>
      </c>
      <c r="AJ1020" t="inlineStr">
        <is>
          <t>.</t>
        </is>
      </c>
      <c r="AK1020" t="inlineStr">
        <is>
          <t>.</t>
        </is>
      </c>
      <c r="AL1020" t="inlineStr">
        <is>
          <t>.</t>
        </is>
      </c>
    </row>
    <row r="1021">
      <c r="A1021" t="inlineStr"/>
      <c r="B1021">
        <f>HYPERLINK("https://genome.ucsc.edu/cgi-bin/hgTracks?db=hg19&amp;position=chr8%3A67065018%2D67065018", "chr8:67065018")</f>
        <v/>
      </c>
      <c r="C1021" t="inlineStr">
        <is>
          <t>chr8</t>
        </is>
      </c>
      <c r="D1021" t="n">
        <v>67065018</v>
      </c>
      <c r="E1021" t="n">
        <v>67065018</v>
      </c>
      <c r="F1021" t="inlineStr">
        <is>
          <t>G</t>
        </is>
      </c>
      <c r="G1021" t="inlineStr">
        <is>
          <t>A</t>
        </is>
      </c>
      <c r="H1021" t="inlineStr">
        <is>
          <t>116.64</t>
        </is>
      </c>
      <c r="I1021" t="inlineStr">
        <is>
          <t>30</t>
        </is>
      </c>
      <c r="J1021" t="inlineStr">
        <is>
          <t>24,6</t>
        </is>
      </c>
      <c r="K1021" t="inlineStr">
        <is>
          <t>.</t>
        </is>
      </c>
      <c r="L1021">
        <f>HYPERLINK("https://www.ncbi.nlm.nih.gov/snp/rs772919723", "rs772919723")</f>
        <v/>
      </c>
      <c r="M1021">
        <f>HYPERLINK("https://www.genecards.org/Search/Keyword?queryString=%5Baliases%5D(%20TRIM55%20)&amp;keywords=TRIM55", "TRIM55")</f>
        <v/>
      </c>
      <c r="N1021" t="inlineStr">
        <is>
          <t>intronic</t>
        </is>
      </c>
      <c r="O1021" t="inlineStr">
        <is>
          <t>.</t>
        </is>
      </c>
      <c r="P1021" t="inlineStr">
        <is>
          <t>.</t>
        </is>
      </c>
      <c r="Q1021" t="n">
        <v>3.84e-05</v>
      </c>
      <c r="R1021" t="n">
        <v>-1</v>
      </c>
      <c r="S1021" t="n">
        <v>-1</v>
      </c>
      <c r="T1021" t="n">
        <v>-1</v>
      </c>
      <c r="U1021" t="n">
        <v>-1</v>
      </c>
      <c r="V1021" t="inlineStr">
        <is>
          <t>.</t>
        </is>
      </c>
      <c r="W1021" t="inlineStr">
        <is>
          <t>.</t>
        </is>
      </c>
      <c r="X1021" t="inlineStr">
        <is>
          <t>D</t>
        </is>
      </c>
      <c r="Y1021" t="inlineStr">
        <is>
          <t>off</t>
        </is>
      </c>
      <c r="Z1021" t="inlineStr">
        <is>
          <t>.</t>
        </is>
      </c>
      <c r="AA1021" t="inlineStr">
        <is>
          <t>.</t>
        </is>
      </c>
      <c r="AB1021" t="inlineStr">
        <is>
          <t>.</t>
        </is>
      </c>
      <c r="AC1021" t="inlineStr">
        <is>
          <t>0/1</t>
        </is>
      </c>
      <c r="AD1021" t="inlineStr">
        <is>
          <t>1</t>
        </is>
      </c>
      <c r="AE1021" t="inlineStr">
        <is>
          <t>0.000207996390208794</t>
        </is>
      </c>
      <c r="AF1021" t="inlineStr">
        <is>
          <t>tripartite motif containing 55</t>
        </is>
      </c>
      <c r="AG1021" t="inlineStr">
        <is>
          <t xml:space="preserve">FUNCTION: May regulate gene expression and protein turnover in muscle cells. {ECO:0000250}.; </t>
        </is>
      </c>
      <c r="AH1021" t="inlineStr">
        <is>
          <t>.</t>
        </is>
      </c>
      <c r="AI1021" t="inlineStr">
        <is>
          <t>.</t>
        </is>
      </c>
      <c r="AJ1021" t="inlineStr">
        <is>
          <t>.</t>
        </is>
      </c>
      <c r="AK1021" t="inlineStr">
        <is>
          <t>.</t>
        </is>
      </c>
      <c r="AL1021" t="inlineStr">
        <is>
          <t>.</t>
        </is>
      </c>
    </row>
    <row r="1022">
      <c r="A1022" t="inlineStr"/>
      <c r="B1022">
        <f>HYPERLINK("https://genome.ucsc.edu/cgi-bin/hgTracks?db=hg19&amp;position=chr8%3A77618486%2D77618486", "chr8:77618486")</f>
        <v/>
      </c>
      <c r="C1022" t="inlineStr">
        <is>
          <t>chr8</t>
        </is>
      </c>
      <c r="D1022" t="n">
        <v>77618486</v>
      </c>
      <c r="E1022" t="n">
        <v>77618486</v>
      </c>
      <c r="F1022" t="inlineStr">
        <is>
          <t>C</t>
        </is>
      </c>
      <c r="G1022" t="inlineStr">
        <is>
          <t>A</t>
        </is>
      </c>
      <c r="H1022" t="inlineStr">
        <is>
          <t>756.64</t>
        </is>
      </c>
      <c r="I1022" t="inlineStr">
        <is>
          <t>89</t>
        </is>
      </c>
      <c r="J1022" t="inlineStr">
        <is>
          <t>59,30</t>
        </is>
      </c>
      <c r="K1022" t="inlineStr">
        <is>
          <t>.</t>
        </is>
      </c>
      <c r="L1022" t="inlineStr">
        <is>
          <t>.</t>
        </is>
      </c>
      <c r="M1022">
        <f>HYPERLINK("https://www.genecards.org/Search/Keyword?queryString=%5Baliases%5D(%20ZFHX4%20)&amp;keywords=ZFHX4", "ZFHX4")</f>
        <v/>
      </c>
      <c r="N1022" t="inlineStr">
        <is>
          <t>exonic</t>
        </is>
      </c>
      <c r="O1022" t="inlineStr">
        <is>
          <t>nonsynonymous SNV</t>
        </is>
      </c>
      <c r="P1022" t="inlineStr">
        <is>
          <t>ZFHX4:NM_024721:exon2:c.C2163A:p.D721E;ZFHX4:uc003yaw.1:exon1:c.C2163A:p.D721E,ZFHX4:uc003yat.1:exon2:c.C2163A:p.D721E,ZFHX4:uc003yau.2:exon2:c.C2163A:p.D721E;ZFHX4:ENST00000518282.5_1:exon1:c.C2163A:p.D721E,ZFHX4:ENST00000651372.2_7:exon2:c.C2163A:p.D721E</t>
        </is>
      </c>
      <c r="Q1022" t="n">
        <v>-1</v>
      </c>
      <c r="R1022" t="n">
        <v>-1</v>
      </c>
      <c r="S1022" t="n">
        <v>-1</v>
      </c>
      <c r="T1022" t="n">
        <v>-1</v>
      </c>
      <c r="U1022" t="n">
        <v>-1</v>
      </c>
      <c r="V1022" t="inlineStr">
        <is>
          <t>5/11</t>
        </is>
      </c>
      <c r="W1022" t="inlineStr">
        <is>
          <t>.</t>
        </is>
      </c>
      <c r="X1022" t="inlineStr">
        <is>
          <t>.</t>
        </is>
      </c>
      <c r="Y1022" t="inlineStr">
        <is>
          <t>.</t>
        </is>
      </c>
      <c r="Z1022" t="inlineStr">
        <is>
          <t>2/7</t>
        </is>
      </c>
      <c r="AA1022" t="inlineStr">
        <is>
          <t>Uncertain significance</t>
        </is>
      </c>
      <c r="AB1022" t="inlineStr">
        <is>
          <t>.</t>
        </is>
      </c>
      <c r="AC1022" t="inlineStr">
        <is>
          <t>0/1</t>
        </is>
      </c>
      <c r="AD1022" t="inlineStr">
        <is>
          <t>1</t>
        </is>
      </c>
      <c r="AE1022" t="inlineStr">
        <is>
          <t>0.999999642290115</t>
        </is>
      </c>
      <c r="AF1022" t="inlineStr">
        <is>
          <t>zinc finger homeobox 4</t>
        </is>
      </c>
      <c r="AG1022" t="inlineStr">
        <is>
          <t xml:space="preserve">FUNCTION: May play a role in neural and muscle differentiation (By similarity). May be involved in transcriptional regulation. {ECO:0000250}.; </t>
        </is>
      </c>
      <c r="AH1022" t="inlineStr">
        <is>
          <t>.</t>
        </is>
      </c>
      <c r="AI1022" t="inlineStr">
        <is>
          <t>.</t>
        </is>
      </c>
      <c r="AJ1022" t="inlineStr">
        <is>
          <t>.</t>
        </is>
      </c>
      <c r="AK1022" t="inlineStr">
        <is>
          <t>.</t>
        </is>
      </c>
      <c r="AL1022" t="inlineStr">
        <is>
          <t>.</t>
        </is>
      </c>
    </row>
    <row r="1023">
      <c r="A1023" t="inlineStr"/>
      <c r="B1023">
        <f>HYPERLINK("https://genome.ucsc.edu/cgi-bin/hgTracks?db=hg19&amp;position=chr8%3A92085971%2D92085971", "chr8:92085971")</f>
        <v/>
      </c>
      <c r="C1023" t="inlineStr">
        <is>
          <t>chr8</t>
        </is>
      </c>
      <c r="D1023" t="n">
        <v>92085971</v>
      </c>
      <c r="E1023" t="n">
        <v>92085971</v>
      </c>
      <c r="F1023" t="inlineStr">
        <is>
          <t>C</t>
        </is>
      </c>
      <c r="G1023" t="inlineStr">
        <is>
          <t>G</t>
        </is>
      </c>
      <c r="H1023" t="inlineStr">
        <is>
          <t>142.64</t>
        </is>
      </c>
      <c r="I1023" t="inlineStr">
        <is>
          <t>26</t>
        </is>
      </c>
      <c r="J1023" t="inlineStr">
        <is>
          <t>20,6</t>
        </is>
      </c>
      <c r="K1023" t="inlineStr">
        <is>
          <t>.</t>
        </is>
      </c>
      <c r="L1023" t="inlineStr">
        <is>
          <t>.</t>
        </is>
      </c>
      <c r="M1023">
        <f>HYPERLINK("https://www.genecards.org/Search/Keyword?queryString=%5Baliases%5D(%20OTUD6B%20)&amp;keywords=OTUD6B", "OTUD6B")</f>
        <v/>
      </c>
      <c r="N1023" t="inlineStr">
        <is>
          <t>intronic</t>
        </is>
      </c>
      <c r="O1023" t="inlineStr">
        <is>
          <t>.</t>
        </is>
      </c>
      <c r="P1023" t="inlineStr">
        <is>
          <t>.</t>
        </is>
      </c>
      <c r="Q1023" t="n">
        <v>-1</v>
      </c>
      <c r="R1023" t="n">
        <v>-1</v>
      </c>
      <c r="S1023" t="n">
        <v>-1</v>
      </c>
      <c r="T1023" t="n">
        <v>-1</v>
      </c>
      <c r="U1023" t="n">
        <v>-1</v>
      </c>
      <c r="V1023" t="inlineStr">
        <is>
          <t>.</t>
        </is>
      </c>
      <c r="W1023" t="inlineStr">
        <is>
          <t>.</t>
        </is>
      </c>
      <c r="X1023" t="inlineStr">
        <is>
          <t>PD</t>
        </is>
      </c>
      <c r="Y1023" t="inlineStr">
        <is>
          <t>off</t>
        </is>
      </c>
      <c r="Z1023" t="inlineStr">
        <is>
          <t>.</t>
        </is>
      </c>
      <c r="AA1023" t="inlineStr">
        <is>
          <t>.</t>
        </is>
      </c>
      <c r="AB1023" t="inlineStr">
        <is>
          <t>.</t>
        </is>
      </c>
      <c r="AC1023" t="inlineStr">
        <is>
          <t>0/1</t>
        </is>
      </c>
      <c r="AD1023" t="inlineStr">
        <is>
          <t>1</t>
        </is>
      </c>
      <c r="AE1023" t="inlineStr">
        <is>
          <t>6.25843988413621e-08</t>
        </is>
      </c>
      <c r="AF1023" t="inlineStr">
        <is>
          <t>OTU domain containing 6B</t>
        </is>
      </c>
      <c r="AG1023" t="inlineStr">
        <is>
          <t>.</t>
        </is>
      </c>
      <c r="AH1023" t="inlineStr">
        <is>
          <t>.</t>
        </is>
      </c>
      <c r="AI1023" t="inlineStr">
        <is>
          <t>.</t>
        </is>
      </c>
      <c r="AJ1023" t="inlineStr">
        <is>
          <t>.</t>
        </is>
      </c>
      <c r="AK1023" t="inlineStr">
        <is>
          <t>.</t>
        </is>
      </c>
      <c r="AL1023" t="inlineStr">
        <is>
          <t>.</t>
        </is>
      </c>
    </row>
    <row r="1024">
      <c r="A1024" t="inlineStr"/>
      <c r="B1024">
        <f>HYPERLINK("https://genome.ucsc.edu/cgi-bin/hgTracks?db=hg19&amp;position=chr8%3A94717077%2D94717077", "chr8:94717077")</f>
        <v/>
      </c>
      <c r="C1024" t="inlineStr">
        <is>
          <t>chr8</t>
        </is>
      </c>
      <c r="D1024" t="n">
        <v>94717077</v>
      </c>
      <c r="E1024" t="n">
        <v>94717077</v>
      </c>
      <c r="F1024" t="inlineStr">
        <is>
          <t>C</t>
        </is>
      </c>
      <c r="G1024" t="inlineStr">
        <is>
          <t>G</t>
        </is>
      </c>
      <c r="H1024" t="inlineStr">
        <is>
          <t>215.64</t>
        </is>
      </c>
      <c r="I1024" t="inlineStr">
        <is>
          <t>52</t>
        </is>
      </c>
      <c r="J1024" t="inlineStr">
        <is>
          <t>39,13</t>
        </is>
      </c>
      <c r="K1024" t="inlineStr">
        <is>
          <t>.</t>
        </is>
      </c>
      <c r="L1024">
        <f>HYPERLINK("https://www.ncbi.nlm.nih.gov/snp/rs150267996", "rs150267996")</f>
        <v/>
      </c>
      <c r="M1024">
        <f>HYPERLINK("https://www.genecards.org/Search/Keyword?queryString=%5Baliases%5D(%20CIBAR1%20)%20OR%20%5Baliases%5D(%20FAM92A1%20)&amp;keywords=CIBAR1,FAM92A1", "CIBAR1;FAM92A1")</f>
        <v/>
      </c>
      <c r="N1024" t="inlineStr">
        <is>
          <t>intronic</t>
        </is>
      </c>
      <c r="O1024" t="inlineStr">
        <is>
          <t>.</t>
        </is>
      </c>
      <c r="P1024" t="inlineStr">
        <is>
          <t>.</t>
        </is>
      </c>
      <c r="Q1024" t="n">
        <v>0.0069</v>
      </c>
      <c r="R1024" t="n">
        <v>0.0037</v>
      </c>
      <c r="S1024" t="n">
        <v>0.0039</v>
      </c>
      <c r="T1024" t="n">
        <v>-1</v>
      </c>
      <c r="U1024" t="n">
        <v>0.0041</v>
      </c>
      <c r="V1024" t="inlineStr">
        <is>
          <t>.</t>
        </is>
      </c>
      <c r="W1024" t="inlineStr">
        <is>
          <t>.</t>
        </is>
      </c>
      <c r="X1024" t="inlineStr">
        <is>
          <t>PD</t>
        </is>
      </c>
      <c r="Y1024" t="inlineStr">
        <is>
          <t>off</t>
        </is>
      </c>
      <c r="Z1024" t="inlineStr">
        <is>
          <t>.</t>
        </is>
      </c>
      <c r="AA1024" t="inlineStr">
        <is>
          <t>.</t>
        </is>
      </c>
      <c r="AB1024" t="inlineStr">
        <is>
          <t>.</t>
        </is>
      </c>
      <c r="AC1024" t="inlineStr">
        <is>
          <t>0/1</t>
        </is>
      </c>
      <c r="AD1024" t="inlineStr">
        <is>
          <t>1;1</t>
        </is>
      </c>
      <c r="AE1024" t="inlineStr">
        <is>
          <t>3.68953972008855e-05</t>
        </is>
      </c>
      <c r="AF1024" t="inlineStr">
        <is>
          <t>family with sequence similarity 92 member A1</t>
        </is>
      </c>
      <c r="AG1024" t="inlineStr">
        <is>
          <t>.</t>
        </is>
      </c>
      <c r="AH1024" t="inlineStr">
        <is>
          <t>.</t>
        </is>
      </c>
      <c r="AI1024" t="inlineStr">
        <is>
          <t>.</t>
        </is>
      </c>
      <c r="AJ1024" t="inlineStr">
        <is>
          <t>.</t>
        </is>
      </c>
      <c r="AK1024" t="inlineStr">
        <is>
          <t>.</t>
        </is>
      </c>
      <c r="AL1024" t="inlineStr">
        <is>
          <t>.</t>
        </is>
      </c>
    </row>
    <row r="1025">
      <c r="A1025" t="inlineStr"/>
      <c r="B1025">
        <f>HYPERLINK("https://genome.ucsc.edu/cgi-bin/hgTracks?db=hg19&amp;position=chr8%3A95878387%2D95878387", "chr8:95878387")</f>
        <v/>
      </c>
      <c r="C1025" t="inlineStr">
        <is>
          <t>chr8</t>
        </is>
      </c>
      <c r="D1025" t="n">
        <v>95878387</v>
      </c>
      <c r="E1025" t="n">
        <v>95878387</v>
      </c>
      <c r="F1025" t="inlineStr">
        <is>
          <t>A</t>
        </is>
      </c>
      <c r="G1025" t="inlineStr">
        <is>
          <t>C</t>
        </is>
      </c>
      <c r="H1025" t="inlineStr">
        <is>
          <t>1052.64</t>
        </is>
      </c>
      <c r="I1025" t="inlineStr">
        <is>
          <t>130</t>
        </is>
      </c>
      <c r="J1025" t="inlineStr">
        <is>
          <t>75,55</t>
        </is>
      </c>
      <c r="K1025" t="inlineStr">
        <is>
          <t>.</t>
        </is>
      </c>
      <c r="L1025">
        <f>HYPERLINK("https://www.ncbi.nlm.nih.gov/snp/rs150502842", "rs150502842")</f>
        <v/>
      </c>
      <c r="M1025">
        <f>HYPERLINK("https://www.genecards.org/Search/Keyword?queryString=%5Baliases%5D(%20INTS8%20)&amp;keywords=INTS8", "INTS8")</f>
        <v/>
      </c>
      <c r="N1025" t="inlineStr">
        <is>
          <t>exonic</t>
        </is>
      </c>
      <c r="O1025" t="inlineStr">
        <is>
          <t>nonsynonymous SNV</t>
        </is>
      </c>
      <c r="P1025" t="inlineStr">
        <is>
          <t>INTS8:NM_017864:exon18:c.A2263C:p.S755R;INTS8:uc010mba.3:exon14:c.A1744C:p.S582R,INTS8:uc003yhb.4:exon18:c.A2263C:p.S755R;INTS8:ENST00000523731.6_3:exon18:c.A2263C:p.S755R</t>
        </is>
      </c>
      <c r="Q1025" t="n">
        <v>0.0083</v>
      </c>
      <c r="R1025" t="n">
        <v>0.0086</v>
      </c>
      <c r="S1025" t="n">
        <v>0.008999999999999999</v>
      </c>
      <c r="T1025" t="n">
        <v>-1</v>
      </c>
      <c r="U1025" t="n">
        <v>0.0081</v>
      </c>
      <c r="V1025" t="inlineStr">
        <is>
          <t>5/11</t>
        </is>
      </c>
      <c r="W1025" t="inlineStr">
        <is>
          <t>D</t>
        </is>
      </c>
      <c r="X1025" t="inlineStr">
        <is>
          <t>.</t>
        </is>
      </c>
      <c r="Y1025" t="inlineStr">
        <is>
          <t>.</t>
        </is>
      </c>
      <c r="Z1025" t="inlineStr">
        <is>
          <t>5/7</t>
        </is>
      </c>
      <c r="AA1025" t="inlineStr">
        <is>
          <t>Uncertain significance</t>
        </is>
      </c>
      <c r="AB1025" t="inlineStr">
        <is>
          <t>Benign</t>
        </is>
      </c>
      <c r="AC1025" t="inlineStr">
        <is>
          <t>0/1</t>
        </is>
      </c>
      <c r="AD1025" t="inlineStr">
        <is>
          <t>1</t>
        </is>
      </c>
      <c r="AE1025" t="inlineStr">
        <is>
          <t>0.989948635386659</t>
        </is>
      </c>
      <c r="AF1025" t="inlineStr">
        <is>
          <t>integrator complex subunit 8</t>
        </is>
      </c>
      <c r="AG1025" t="inlineStr">
        <is>
          <t xml:space="preserve">FUNCTION: Component of the Integrator complex, a complex involved in the small nuclear RNAs (snRNA) U1 and U2 transcription and in their 3'-box-dependent processing. The Integrator complex is associated with the C-terminal domain (CTD) of RNA polymerase II largest subunit (POLR2A) and is recruited to the U1 and U2 snRNAs genes.; </t>
        </is>
      </c>
      <c r="AH1025" t="inlineStr">
        <is>
          <t>.</t>
        </is>
      </c>
      <c r="AI1025" t="inlineStr">
        <is>
          <t>.</t>
        </is>
      </c>
      <c r="AJ1025" t="inlineStr">
        <is>
          <t>.</t>
        </is>
      </c>
      <c r="AK1025" t="inlineStr">
        <is>
          <t>.</t>
        </is>
      </c>
      <c r="AL1025" t="inlineStr">
        <is>
          <t>.</t>
        </is>
      </c>
    </row>
    <row r="1026">
      <c r="A1026" t="inlineStr"/>
      <c r="B1026">
        <f>HYPERLINK("https://genome.ucsc.edu/cgi-bin/hgTracks?db=hg19&amp;position=chr8%3A101540109%2D101540109", "chr8:101540109")</f>
        <v/>
      </c>
      <c r="C1026" t="inlineStr">
        <is>
          <t>chr8</t>
        </is>
      </c>
      <c r="D1026" t="n">
        <v>101540109</v>
      </c>
      <c r="E1026" t="n">
        <v>101540109</v>
      </c>
      <c r="F1026" t="inlineStr">
        <is>
          <t>G</t>
        </is>
      </c>
      <c r="G1026" t="inlineStr">
        <is>
          <t>A</t>
        </is>
      </c>
      <c r="H1026" t="inlineStr">
        <is>
          <t>922.64</t>
        </is>
      </c>
      <c r="I1026" t="inlineStr">
        <is>
          <t>126</t>
        </is>
      </c>
      <c r="J1026" t="inlineStr">
        <is>
          <t>84,42</t>
        </is>
      </c>
      <c r="K1026" t="inlineStr">
        <is>
          <t>.</t>
        </is>
      </c>
      <c r="L1026">
        <f>HYPERLINK("https://www.ncbi.nlm.nih.gov/snp/rs140674239", "rs140674239")</f>
        <v/>
      </c>
      <c r="M1026">
        <f>HYPERLINK("https://www.genecards.org/Search/Keyword?queryString=%5Baliases%5D(%20ANKRD46%20)&amp;keywords=ANKRD46", "ANKRD46")</f>
        <v/>
      </c>
      <c r="N1026" t="inlineStr">
        <is>
          <t>exonic</t>
        </is>
      </c>
      <c r="O1026" t="inlineStr">
        <is>
          <t>nonsynonymous SNV</t>
        </is>
      </c>
      <c r="P1026" t="inlineStr">
        <is>
          <t>ANKRD46:NM_001270377:exon4:c.C434T:p.S145L,ANKRD46:NM_001270378:exon4:c.C434T:p.S145L,ANKRD46:NM_001270379:exon4:c.C434T:p.S145L,ANKRD46:NM_198401:exon5:c.C434T:p.S145L;ANKRD46:uc003yjm.4:exon4:c.C434T:p.S145L,ANKRD46:uc003yjn.2:exon4:c.C434T:p.S145L,ANKRD46:uc003yjp.2:exon4:c.C434T:p.S145L,ANKRD46:uc003yjo.2:exon5:c.C434T:p.S145L;ANKRD46:ENST00000335659.7_5:exon4:c.C434T:p.S145L,ANKRD46:ENST00000520311.5_3:exon4:c.C434T:p.S145L,ANKRD46:ENST00000520552.5_3:exon4:c.C434T:p.S145L,ANKRD46:ENST00000519597.5_3:exon5:c.C434T:p.S145L</t>
        </is>
      </c>
      <c r="Q1026" t="n">
        <v>0.0002</v>
      </c>
      <c r="R1026" t="n">
        <v>0.0001</v>
      </c>
      <c r="S1026" t="n">
        <v>0.0003</v>
      </c>
      <c r="T1026" t="n">
        <v>-1</v>
      </c>
      <c r="U1026" t="n">
        <v>0.0004</v>
      </c>
      <c r="V1026" t="inlineStr">
        <is>
          <t>4/11</t>
        </is>
      </c>
      <c r="W1026" t="inlineStr">
        <is>
          <t>.</t>
        </is>
      </c>
      <c r="X1026" t="inlineStr">
        <is>
          <t>.</t>
        </is>
      </c>
      <c r="Y1026" t="inlineStr">
        <is>
          <t>.</t>
        </is>
      </c>
      <c r="Z1026" t="inlineStr">
        <is>
          <t>4/7</t>
        </is>
      </c>
      <c r="AA1026" t="inlineStr">
        <is>
          <t>Uncertain significance</t>
        </is>
      </c>
      <c r="AB1026" t="inlineStr">
        <is>
          <t>.</t>
        </is>
      </c>
      <c r="AC1026" t="inlineStr">
        <is>
          <t>0/1</t>
        </is>
      </c>
      <c r="AD1026" t="inlineStr">
        <is>
          <t>1</t>
        </is>
      </c>
      <c r="AE1026" t="inlineStr">
        <is>
          <t>0.918715846360714</t>
        </is>
      </c>
      <c r="AF1026" t="inlineStr">
        <is>
          <t>ankyrin repeat domain 46</t>
        </is>
      </c>
      <c r="AG1026" t="inlineStr">
        <is>
          <t>.</t>
        </is>
      </c>
      <c r="AH1026" t="inlineStr">
        <is>
          <t>.</t>
        </is>
      </c>
      <c r="AI1026" t="inlineStr">
        <is>
          <t>.</t>
        </is>
      </c>
      <c r="AJ1026" t="inlineStr">
        <is>
          <t>.</t>
        </is>
      </c>
      <c r="AK1026" t="inlineStr">
        <is>
          <t>.</t>
        </is>
      </c>
      <c r="AL1026" t="inlineStr">
        <is>
          <t>.</t>
        </is>
      </c>
    </row>
    <row r="1027">
      <c r="A1027" t="inlineStr"/>
      <c r="B1027">
        <f>HYPERLINK("https://genome.ucsc.edu/cgi-bin/hgTracks?db=hg19&amp;position=chr8%3A104778530%2D104778530", "chr8:104778530")</f>
        <v/>
      </c>
      <c r="C1027" t="inlineStr">
        <is>
          <t>chr8</t>
        </is>
      </c>
      <c r="D1027" t="n">
        <v>104778530</v>
      </c>
      <c r="E1027" t="n">
        <v>104778530</v>
      </c>
      <c r="F1027" t="inlineStr">
        <is>
          <t>G</t>
        </is>
      </c>
      <c r="G1027" t="inlineStr">
        <is>
          <t>T</t>
        </is>
      </c>
      <c r="H1027" t="inlineStr">
        <is>
          <t>927.64</t>
        </is>
      </c>
      <c r="I1027" t="inlineStr">
        <is>
          <t>98</t>
        </is>
      </c>
      <c r="J1027" t="inlineStr">
        <is>
          <t>61,37</t>
        </is>
      </c>
      <c r="K1027" t="inlineStr">
        <is>
          <t>.</t>
        </is>
      </c>
      <c r="L1027" t="inlineStr">
        <is>
          <t>.</t>
        </is>
      </c>
      <c r="M1027">
        <f>HYPERLINK("https://www.genecards.org/Search/Keyword?queryString=%5Baliases%5D(%20RIMS2%20)&amp;keywords=RIMS2", "RIMS2")</f>
        <v/>
      </c>
      <c r="N1027" t="inlineStr">
        <is>
          <t>exonic</t>
        </is>
      </c>
      <c r="O1027" t="inlineStr">
        <is>
          <t>stopgain</t>
        </is>
      </c>
      <c r="P1027" t="inlineStr">
        <is>
          <t>RIMS2:NM_001100117:exon3:c.G463T:p.G155X,RIMS2:NM_001348485:exon3:c.G463T:p.G155X,RIMS2:NM_001348489:exon3:c.G463T:p.G155X,RIMS2:NM_001348493:exon3:c.G463T:p.G155X,RIMS2:NM_001348494:exon3:c.G463T:p.G155X,RIMS2:NM_001348495:exon3:c.G463T:p.G155X,RIMS2:NM_001348497:exon3:c.G463T:p.G155X,RIMS2:NM_001348486:exon4:c.G475T:p.G159X,RIMS2:NM_001348487:exon4:c.G475T:p.G159X,RIMS2:NM_001348490:exon4:c.G475T:p.G159X,RIMS2:NM_001348492:exon4:c.G475T:p.G159X,RIMS2:NM_001348496:exon4:c.G475T:p.G159X,RIMS2:NM_001348491:exon5:c.G583T:p.G195X,RIMS2:NM_001348484:exon6:c.G595T:p.G199X,RIMS2:NM_001348488:exon6:c.G595T:p.G199X;RIMS2:uc003ylp.3:exon3:c.G463T:p.G155X;RIMS2:ENST00000504942.6_4:exon3:c.G463T:p.G155X,RIMS2:ENST00000666250.1_2:exon3:c.G463T:p.G155X,RIMS2:ENST00000668113.1_2:exon5:c.G583T:p.G195X,RIMS2:ENST00000696799.1_2:exon6:c.G595T:p.G199X</t>
        </is>
      </c>
      <c r="Q1027" t="n">
        <v>-1</v>
      </c>
      <c r="R1027" t="n">
        <v>-1</v>
      </c>
      <c r="S1027" t="n">
        <v>-1</v>
      </c>
      <c r="T1027" t="n">
        <v>-1</v>
      </c>
      <c r="U1027" t="n">
        <v>-1</v>
      </c>
      <c r="V1027" t="inlineStr">
        <is>
          <t>2/2</t>
        </is>
      </c>
      <c r="W1027" t="inlineStr">
        <is>
          <t>.</t>
        </is>
      </c>
      <c r="X1027" t="inlineStr">
        <is>
          <t>.</t>
        </is>
      </c>
      <c r="Y1027" t="inlineStr">
        <is>
          <t>.</t>
        </is>
      </c>
      <c r="Z1027" t="inlineStr">
        <is>
          <t>5/7</t>
        </is>
      </c>
      <c r="AA1027" t="inlineStr">
        <is>
          <t>Pathogenic</t>
        </is>
      </c>
      <c r="AB1027" t="inlineStr">
        <is>
          <t>.</t>
        </is>
      </c>
      <c r="AC1027" t="inlineStr">
        <is>
          <t>0/1</t>
        </is>
      </c>
      <c r="AD1027" t="inlineStr">
        <is>
          <t>1</t>
        </is>
      </c>
      <c r="AE1027" t="inlineStr">
        <is>
          <t>0.999998398615947</t>
        </is>
      </c>
      <c r="AF1027" t="inlineStr">
        <is>
          <t>regulating synaptic membrane exocytosis 2</t>
        </is>
      </c>
      <c r="AG1027" t="inlineStr">
        <is>
          <t xml:space="preserve">FUNCTION: Rab effector involved in exocytosis. May act as scaffold protein. Plays a role in dendrite formation by melanocytes (PubMed:23999003). {ECO:0000269|PubMed:23999003}.; </t>
        </is>
      </c>
      <c r="AH1027" t="inlineStr">
        <is>
          <t>.</t>
        </is>
      </c>
      <c r="AI1027" t="inlineStr">
        <is>
          <t>.</t>
        </is>
      </c>
      <c r="AJ1027" t="inlineStr">
        <is>
          <t>.</t>
        </is>
      </c>
      <c r="AK1027" t="inlineStr">
        <is>
          <t>.</t>
        </is>
      </c>
      <c r="AL1027" t="inlineStr">
        <is>
          <t>.</t>
        </is>
      </c>
    </row>
    <row r="1028">
      <c r="A1028" t="inlineStr"/>
      <c r="B1028">
        <f>HYPERLINK("https://genome.ucsc.edu/cgi-bin/hgTracks?db=hg19&amp;position=chr8%3A113562916%2D113562916", "chr8:113562916")</f>
        <v/>
      </c>
      <c r="C1028" t="inlineStr">
        <is>
          <t>chr8</t>
        </is>
      </c>
      <c r="D1028" t="n">
        <v>113562916</v>
      </c>
      <c r="E1028" t="n">
        <v>113562916</v>
      </c>
      <c r="F1028" t="inlineStr">
        <is>
          <t>A</t>
        </is>
      </c>
      <c r="G1028" t="inlineStr">
        <is>
          <t>C</t>
        </is>
      </c>
      <c r="H1028" t="inlineStr">
        <is>
          <t>664.64</t>
        </is>
      </c>
      <c r="I1028" t="inlineStr">
        <is>
          <t>74</t>
        </is>
      </c>
      <c r="J1028" t="inlineStr">
        <is>
          <t>45,29</t>
        </is>
      </c>
      <c r="K1028" t="inlineStr">
        <is>
          <t>.</t>
        </is>
      </c>
      <c r="L1028" t="inlineStr">
        <is>
          <t>.</t>
        </is>
      </c>
      <c r="M1028">
        <f>HYPERLINK("https://www.genecards.org/Search/Keyword?queryString=%5Baliases%5D(%20CSMD3%20)&amp;keywords=CSMD3", "CSMD3")</f>
        <v/>
      </c>
      <c r="N1028" t="inlineStr">
        <is>
          <t>exonic</t>
        </is>
      </c>
      <c r="O1028" t="inlineStr">
        <is>
          <t>nonsynonymous SNV</t>
        </is>
      </c>
      <c r="P1028" t="inlineStr">
        <is>
          <t>CSMD3:NM_001363185:exon25:c.T4158G:p.F1386L,CSMD3:NM_052900:exon26:c.T4236G:p.F1412L,CSMD3:NM_198123:exon27:c.T4548G:p.F1516L,CSMD3:NM_198124:exon28:c.T4428G:p.F1476L;CSMD3:uc003yns.3:exon14:c.T2364G:p.F788L,CSMD3:uc011lhx.2:exon26:c.T4236G:p.F1412L,CSMD3:uc003ynu.3:exon27:c.T4548G:p.F1516L,CSMD3:uc003ynt.3:exon28:c.T4428G:p.F1476L;CSMD3:ENST00000455883.2_3:exon26:c.T4236G:p.F1412L,CSMD3:ENST00000297405.10_6:exon27:c.T4548G:p.F1516L,CSMD3:ENST00000343508.7_4:exon28:c.T4428G:p.F1476L</t>
        </is>
      </c>
      <c r="Q1028" t="n">
        <v>-1</v>
      </c>
      <c r="R1028" t="n">
        <v>-1</v>
      </c>
      <c r="S1028" t="n">
        <v>-1</v>
      </c>
      <c r="T1028" t="n">
        <v>-1</v>
      </c>
      <c r="U1028" t="n">
        <v>-1</v>
      </c>
      <c r="V1028" t="inlineStr">
        <is>
          <t>11/12</t>
        </is>
      </c>
      <c r="W1028" t="inlineStr">
        <is>
          <t>.</t>
        </is>
      </c>
      <c r="X1028" t="inlineStr">
        <is>
          <t>.</t>
        </is>
      </c>
      <c r="Y1028" t="inlineStr">
        <is>
          <t>.</t>
        </is>
      </c>
      <c r="Z1028" t="inlineStr">
        <is>
          <t>1/7</t>
        </is>
      </c>
      <c r="AA1028" t="inlineStr">
        <is>
          <t>Uncertain significance</t>
        </is>
      </c>
      <c r="AB1028" t="inlineStr">
        <is>
          <t>.</t>
        </is>
      </c>
      <c r="AC1028" t="inlineStr">
        <is>
          <t>0/1</t>
        </is>
      </c>
      <c r="AD1028" t="inlineStr">
        <is>
          <t>1</t>
        </is>
      </c>
      <c r="AE1028" t="inlineStr">
        <is>
          <t>0.999999995922049</t>
        </is>
      </c>
      <c r="AF1028" t="inlineStr">
        <is>
          <t>CUB and Sushi multiple domains 3</t>
        </is>
      </c>
      <c r="AG1028" t="inlineStr">
        <is>
          <t>.</t>
        </is>
      </c>
      <c r="AH1028" t="inlineStr">
        <is>
          <t>.</t>
        </is>
      </c>
      <c r="AI1028" t="inlineStr">
        <is>
          <t>.</t>
        </is>
      </c>
      <c r="AJ1028" t="inlineStr">
        <is>
          <t>.</t>
        </is>
      </c>
      <c r="AK1028" t="inlineStr">
        <is>
          <t>.</t>
        </is>
      </c>
      <c r="AL1028" t="inlineStr">
        <is>
          <t>.</t>
        </is>
      </c>
    </row>
    <row r="1029">
      <c r="A1029" t="inlineStr"/>
      <c r="B1029">
        <f>HYPERLINK("https://genome.ucsc.edu/cgi-bin/hgTracks?db=hg19&amp;position=chr8%3A125072530%2D125072530", "chr8:125072530")</f>
        <v/>
      </c>
      <c r="C1029" t="inlineStr">
        <is>
          <t>chr8</t>
        </is>
      </c>
      <c r="D1029" t="n">
        <v>125072530</v>
      </c>
      <c r="E1029" t="n">
        <v>125072530</v>
      </c>
      <c r="F1029" t="inlineStr">
        <is>
          <t>A</t>
        </is>
      </c>
      <c r="G1029" t="inlineStr">
        <is>
          <t>T</t>
        </is>
      </c>
      <c r="H1029" t="inlineStr">
        <is>
          <t>101.64</t>
        </is>
      </c>
      <c r="I1029" t="inlineStr">
        <is>
          <t>42</t>
        </is>
      </c>
      <c r="J1029" t="inlineStr">
        <is>
          <t>34,8</t>
        </is>
      </c>
      <c r="K1029" t="inlineStr">
        <is>
          <t>.</t>
        </is>
      </c>
      <c r="L1029">
        <f>HYPERLINK("https://www.ncbi.nlm.nih.gov/snp/rs770003334", "rs770003334")</f>
        <v/>
      </c>
      <c r="M1029">
        <f>HYPERLINK("https://www.genecards.org/Search/Keyword?queryString=%5Baliases%5D(%20FER1L6%20)&amp;keywords=FER1L6", "FER1L6")</f>
        <v/>
      </c>
      <c r="N1029" t="inlineStr">
        <is>
          <t>exonic</t>
        </is>
      </c>
      <c r="O1029" t="inlineStr">
        <is>
          <t>nonsynonymous SNV</t>
        </is>
      </c>
      <c r="P1029" t="inlineStr">
        <is>
          <t>FER1L6:NM_001039112:exon23:c.A2984T:p.E995V;FER1L6:uc003yqw.3:exon23:c.A2984T:p.E995V;FER1L6:ENST00000522917.5_3:exon23:c.A2984T:p.E995V</t>
        </is>
      </c>
      <c r="Q1029" t="n">
        <v>6.486e-05</v>
      </c>
      <c r="R1029" t="n">
        <v>9.029e-05</v>
      </c>
      <c r="S1029" t="n">
        <v>7.349e-05</v>
      </c>
      <c r="T1029" t="n">
        <v>-1</v>
      </c>
      <c r="U1029" t="n">
        <v>-1</v>
      </c>
      <c r="V1029" t="inlineStr">
        <is>
          <t>9/11</t>
        </is>
      </c>
      <c r="W1029" t="inlineStr">
        <is>
          <t>.</t>
        </is>
      </c>
      <c r="X1029" t="inlineStr">
        <is>
          <t>.</t>
        </is>
      </c>
      <c r="Y1029" t="inlineStr">
        <is>
          <t>.</t>
        </is>
      </c>
      <c r="Z1029" t="inlineStr">
        <is>
          <t>5/7</t>
        </is>
      </c>
      <c r="AA1029" t="inlineStr">
        <is>
          <t>Uncertain significance</t>
        </is>
      </c>
      <c r="AB1029" t="inlineStr">
        <is>
          <t>.</t>
        </is>
      </c>
      <c r="AC1029" t="inlineStr">
        <is>
          <t>0/1</t>
        </is>
      </c>
      <c r="AD1029" t="inlineStr">
        <is>
          <t>1</t>
        </is>
      </c>
      <c r="AE1029" t="inlineStr">
        <is>
          <t>7.9960324128331e-30</t>
        </is>
      </c>
      <c r="AF1029" t="inlineStr">
        <is>
          <t>fer-1 like family member 6</t>
        </is>
      </c>
      <c r="AG1029" t="inlineStr">
        <is>
          <t>.</t>
        </is>
      </c>
      <c r="AH1029" t="inlineStr">
        <is>
          <t>.</t>
        </is>
      </c>
      <c r="AI1029" t="inlineStr">
        <is>
          <t>.</t>
        </is>
      </c>
      <c r="AJ1029" t="inlineStr">
        <is>
          <t>.</t>
        </is>
      </c>
      <c r="AK1029" t="inlineStr">
        <is>
          <t>.</t>
        </is>
      </c>
      <c r="AL1029" t="inlineStr">
        <is>
          <t>.</t>
        </is>
      </c>
    </row>
    <row r="1030">
      <c r="A1030" t="inlineStr"/>
      <c r="B1030">
        <f>HYPERLINK("https://genome.ucsc.edu/cgi-bin/hgTracks?db=hg19&amp;position=chr8%3A144690500%2D144690500", "chr8:144690500")</f>
        <v/>
      </c>
      <c r="C1030" t="inlineStr">
        <is>
          <t>chr8</t>
        </is>
      </c>
      <c r="D1030" t="n">
        <v>144690500</v>
      </c>
      <c r="E1030" t="n">
        <v>144690500</v>
      </c>
      <c r="F1030" t="inlineStr">
        <is>
          <t>C</t>
        </is>
      </c>
      <c r="G1030" t="inlineStr">
        <is>
          <t>T</t>
        </is>
      </c>
      <c r="H1030" t="inlineStr">
        <is>
          <t>141.64</t>
        </is>
      </c>
      <c r="I1030" t="inlineStr">
        <is>
          <t>5</t>
        </is>
      </c>
      <c r="J1030" t="inlineStr">
        <is>
          <t>1,4</t>
        </is>
      </c>
      <c r="K1030" t="inlineStr">
        <is>
          <t>.</t>
        </is>
      </c>
      <c r="L1030">
        <f>HYPERLINK("https://www.ncbi.nlm.nih.gov/snp/rs187660176", "rs187660176")</f>
        <v/>
      </c>
      <c r="M1030">
        <f>HYPERLINK("https://www.genecards.org/Search/Keyword?queryString=%5Baliases%5D(%20PYCR3%20)%20OR%20%5Baliases%5D(%20PYCRL%20)&amp;keywords=PYCR3,PYCRL", "PYCR3;PYCRL")</f>
        <v/>
      </c>
      <c r="N1030" t="inlineStr">
        <is>
          <t>intronic</t>
        </is>
      </c>
      <c r="O1030" t="inlineStr">
        <is>
          <t>.</t>
        </is>
      </c>
      <c r="P1030" t="inlineStr">
        <is>
          <t>.</t>
        </is>
      </c>
      <c r="Q1030" t="n">
        <v>0.0144</v>
      </c>
      <c r="R1030" t="n">
        <v>0.0086</v>
      </c>
      <c r="S1030" t="n">
        <v>0.008999999999999999</v>
      </c>
      <c r="T1030" t="n">
        <v>-1</v>
      </c>
      <c r="U1030" t="n">
        <v>0.0163</v>
      </c>
      <c r="V1030" t="inlineStr">
        <is>
          <t>.</t>
        </is>
      </c>
      <c r="W1030" t="inlineStr">
        <is>
          <t>.</t>
        </is>
      </c>
      <c r="X1030" t="inlineStr">
        <is>
          <t>PD</t>
        </is>
      </c>
      <c r="Y1030" t="inlineStr">
        <is>
          <t>off</t>
        </is>
      </c>
      <c r="Z1030" t="inlineStr">
        <is>
          <t>.</t>
        </is>
      </c>
      <c r="AA1030" t="inlineStr">
        <is>
          <t>.</t>
        </is>
      </c>
      <c r="AB1030" t="inlineStr">
        <is>
          <t>.</t>
        </is>
      </c>
      <c r="AC1030" t="inlineStr">
        <is>
          <t>0/1</t>
        </is>
      </c>
      <c r="AD1030" t="inlineStr">
        <is>
          <t>1;1</t>
        </is>
      </c>
      <c r="AE1030" t="inlineStr">
        <is>
          <t>0.0171284135571899</t>
        </is>
      </c>
      <c r="AF1030" t="inlineStr">
        <is>
          <t>pyrroline-5-carboxylate reductase-like</t>
        </is>
      </c>
      <c r="AG1030" t="inlineStr">
        <is>
          <t>.</t>
        </is>
      </c>
      <c r="AH1030" t="inlineStr">
        <is>
          <t>.</t>
        </is>
      </c>
      <c r="AI1030" t="inlineStr">
        <is>
          <t>.</t>
        </is>
      </c>
      <c r="AJ1030" t="inlineStr">
        <is>
          <t>.</t>
        </is>
      </c>
      <c r="AK1030" t="inlineStr">
        <is>
          <t>.</t>
        </is>
      </c>
      <c r="AL1030" t="inlineStr">
        <is>
          <t>.</t>
        </is>
      </c>
    </row>
    <row r="1031">
      <c r="A1031" t="inlineStr"/>
      <c r="B1031">
        <f>HYPERLINK("https://genome.ucsc.edu/cgi-bin/hgTracks?db=hg19&amp;position=chr8%3A145688018%2D145688018", "chr8:145688018")</f>
        <v/>
      </c>
      <c r="C1031" t="inlineStr">
        <is>
          <t>chr8</t>
        </is>
      </c>
      <c r="D1031" t="n">
        <v>145688018</v>
      </c>
      <c r="E1031" t="n">
        <v>145688018</v>
      </c>
      <c r="F1031" t="inlineStr">
        <is>
          <t>G</t>
        </is>
      </c>
      <c r="G1031" t="inlineStr">
        <is>
          <t>C</t>
        </is>
      </c>
      <c r="H1031" t="inlineStr">
        <is>
          <t>175.64</t>
        </is>
      </c>
      <c r="I1031" t="inlineStr">
        <is>
          <t>13</t>
        </is>
      </c>
      <c r="J1031" t="inlineStr">
        <is>
          <t>5,8</t>
        </is>
      </c>
      <c r="K1031" t="inlineStr">
        <is>
          <t>.</t>
        </is>
      </c>
      <c r="L1031">
        <f>HYPERLINK("https://www.ncbi.nlm.nih.gov/snp/rs865967432", "rs865967432")</f>
        <v/>
      </c>
      <c r="M1031">
        <f>HYPERLINK("https://www.genecards.org/Search/Keyword?queryString=%5Baliases%5D(%20CYHR1%20)&amp;keywords=CYHR1", "CYHR1")</f>
        <v/>
      </c>
      <c r="N1031" t="inlineStr">
        <is>
          <t>exonic;intronic</t>
        </is>
      </c>
      <c r="O1031" t="inlineStr">
        <is>
          <t>nonsynonymous SNV</t>
        </is>
      </c>
      <c r="P1031" t="inlineStr">
        <is>
          <t>CYHR1:NM_001330618:exon1:c.C20G:p.A7G;CYHR1:ENST00000530374.6_12:exon1:c.C20G:p.A7G</t>
        </is>
      </c>
      <c r="Q1031" t="n">
        <v>0.0213</v>
      </c>
      <c r="R1031" t="n">
        <v>0.0225</v>
      </c>
      <c r="S1031" t="n">
        <v>0.0208</v>
      </c>
      <c r="T1031" t="n">
        <v>-1</v>
      </c>
      <c r="U1031" t="n">
        <v>0.0204</v>
      </c>
      <c r="V1031" t="inlineStr">
        <is>
          <t>4/9</t>
        </is>
      </c>
      <c r="W1031" t="inlineStr">
        <is>
          <t>.</t>
        </is>
      </c>
      <c r="X1031" t="inlineStr">
        <is>
          <t>.</t>
        </is>
      </c>
      <c r="Y1031" t="inlineStr">
        <is>
          <t>.</t>
        </is>
      </c>
      <c r="Z1031" t="inlineStr">
        <is>
          <t>0/7</t>
        </is>
      </c>
      <c r="AA1031" t="inlineStr">
        <is>
          <t>.</t>
        </is>
      </c>
      <c r="AB1031" t="inlineStr">
        <is>
          <t>.</t>
        </is>
      </c>
      <c r="AC1031" t="inlineStr">
        <is>
          <t>0/1</t>
        </is>
      </c>
      <c r="AD1031" t="inlineStr">
        <is>
          <t>1</t>
        </is>
      </c>
      <c r="AE1031" t="inlineStr">
        <is>
          <t>0.0538307875149217</t>
        </is>
      </c>
      <c r="AF1031" t="inlineStr">
        <is>
          <t>cysteine/histidine-rich 1</t>
        </is>
      </c>
      <c r="AG1031" t="inlineStr">
        <is>
          <t>.</t>
        </is>
      </c>
      <c r="AH1031" t="inlineStr">
        <is>
          <t>.</t>
        </is>
      </c>
      <c r="AI1031" t="inlineStr">
        <is>
          <t>.</t>
        </is>
      </c>
      <c r="AJ1031" t="inlineStr">
        <is>
          <t>.</t>
        </is>
      </c>
      <c r="AK1031" t="inlineStr">
        <is>
          <t>.</t>
        </is>
      </c>
      <c r="AL1031" t="inlineStr">
        <is>
          <t>.</t>
        </is>
      </c>
    </row>
    <row r="1032">
      <c r="A1032" t="inlineStr"/>
      <c r="B1032">
        <f>HYPERLINK("https://genome.ucsc.edu/cgi-bin/hgTracks?db=hg19&amp;position=chr8%3A145736291%2D145736291", "chr8:145736291")</f>
        <v/>
      </c>
      <c r="C1032" t="inlineStr">
        <is>
          <t>chr8</t>
        </is>
      </c>
      <c r="D1032" t="n">
        <v>145736291</v>
      </c>
      <c r="E1032" t="n">
        <v>145736291</v>
      </c>
      <c r="F1032" t="inlineStr">
        <is>
          <t>G</t>
        </is>
      </c>
      <c r="G1032" t="inlineStr">
        <is>
          <t>C</t>
        </is>
      </c>
      <c r="H1032" t="inlineStr">
        <is>
          <t>507.64</t>
        </is>
      </c>
      <c r="I1032" t="inlineStr">
        <is>
          <t>70</t>
        </is>
      </c>
      <c r="J1032" t="inlineStr">
        <is>
          <t>48,22</t>
        </is>
      </c>
      <c r="K1032" t="inlineStr">
        <is>
          <t>.</t>
        </is>
      </c>
      <c r="L1032">
        <f>HYPERLINK("https://www.ncbi.nlm.nih.gov/snp/rs375893023", "rs375893023")</f>
        <v/>
      </c>
      <c r="M1032">
        <f>HYPERLINK("https://www.genecards.org/Search/Keyword?queryString=%5Baliases%5D(%20MFSD3%20)&amp;keywords=MFSD3", "MFSD3")</f>
        <v/>
      </c>
      <c r="N1032" t="inlineStr">
        <is>
          <t>intronic</t>
        </is>
      </c>
      <c r="O1032" t="inlineStr">
        <is>
          <t>.</t>
        </is>
      </c>
      <c r="P1032" t="inlineStr">
        <is>
          <t>.</t>
        </is>
      </c>
      <c r="Q1032" t="n">
        <v>0.0008</v>
      </c>
      <c r="R1032" t="n">
        <v>0.0007</v>
      </c>
      <c r="S1032" t="n">
        <v>0.0003</v>
      </c>
      <c r="T1032" t="n">
        <v>-1</v>
      </c>
      <c r="U1032" t="n">
        <v>0.0004</v>
      </c>
      <c r="V1032" t="inlineStr">
        <is>
          <t>.</t>
        </is>
      </c>
      <c r="W1032" t="inlineStr">
        <is>
          <t>D</t>
        </is>
      </c>
      <c r="X1032" t="inlineStr">
        <is>
          <t>D</t>
        </is>
      </c>
      <c r="Y1032" t="inlineStr">
        <is>
          <t>on</t>
        </is>
      </c>
      <c r="Z1032" t="inlineStr">
        <is>
          <t>.</t>
        </is>
      </c>
      <c r="AA1032" t="inlineStr">
        <is>
          <t>.</t>
        </is>
      </c>
      <c r="AB1032" t="inlineStr">
        <is>
          <t>.</t>
        </is>
      </c>
      <c r="AC1032" t="inlineStr">
        <is>
          <t>0/1</t>
        </is>
      </c>
      <c r="AD1032" t="inlineStr">
        <is>
          <t>1</t>
        </is>
      </c>
      <c r="AE1032" t="inlineStr">
        <is>
          <t>2.01615229921387e-08</t>
        </is>
      </c>
      <c r="AF1032" t="inlineStr">
        <is>
          <t>major facilitator superfamily domain containing 3</t>
        </is>
      </c>
      <c r="AG1032" t="inlineStr">
        <is>
          <t>.</t>
        </is>
      </c>
      <c r="AH1032" t="inlineStr">
        <is>
          <t>.</t>
        </is>
      </c>
      <c r="AI1032" t="inlineStr">
        <is>
          <t>.</t>
        </is>
      </c>
      <c r="AJ1032" t="inlineStr">
        <is>
          <t>.</t>
        </is>
      </c>
      <c r="AK1032" t="inlineStr">
        <is>
          <t>.</t>
        </is>
      </c>
      <c r="AL1032" t="inlineStr">
        <is>
          <t>.</t>
        </is>
      </c>
    </row>
    <row r="1033">
      <c r="A1033" t="inlineStr"/>
      <c r="B1033">
        <f>HYPERLINK("https://genome.ucsc.edu/cgi-bin/hgTracks?db=hg19&amp;position=chr9%3A15777489%2D15777489", "chr9:15777489")</f>
        <v/>
      </c>
      <c r="C1033" t="inlineStr">
        <is>
          <t>chr9</t>
        </is>
      </c>
      <c r="D1033" t="n">
        <v>15777489</v>
      </c>
      <c r="E1033" t="n">
        <v>15777489</v>
      </c>
      <c r="F1033" t="inlineStr">
        <is>
          <t>G</t>
        </is>
      </c>
      <c r="G1033" t="inlineStr">
        <is>
          <t>T</t>
        </is>
      </c>
      <c r="H1033" t="inlineStr">
        <is>
          <t>36.64</t>
        </is>
      </c>
      <c r="I1033" t="inlineStr">
        <is>
          <t>10</t>
        </is>
      </c>
      <c r="J1033" t="inlineStr">
        <is>
          <t>8,2</t>
        </is>
      </c>
      <c r="K1033" t="inlineStr">
        <is>
          <t>.</t>
        </is>
      </c>
      <c r="L1033" t="inlineStr">
        <is>
          <t>.</t>
        </is>
      </c>
      <c r="M1033">
        <f>HYPERLINK("https://www.genecards.org/Search/Keyword?queryString=%5Baliases%5D(%20CCDC171%20)&amp;keywords=CCDC171", "CCDC171")</f>
        <v/>
      </c>
      <c r="N1033" t="inlineStr">
        <is>
          <t>intronic</t>
        </is>
      </c>
      <c r="O1033" t="inlineStr">
        <is>
          <t>.</t>
        </is>
      </c>
      <c r="P1033" t="inlineStr">
        <is>
          <t>.</t>
        </is>
      </c>
      <c r="Q1033" t="n">
        <v>-1</v>
      </c>
      <c r="R1033" t="n">
        <v>-1</v>
      </c>
      <c r="S1033" t="n">
        <v>-1</v>
      </c>
      <c r="T1033" t="n">
        <v>-1</v>
      </c>
      <c r="U1033" t="n">
        <v>-1</v>
      </c>
      <c r="V1033" t="inlineStr">
        <is>
          <t>.</t>
        </is>
      </c>
      <c r="W1033" t="inlineStr">
        <is>
          <t>.</t>
        </is>
      </c>
      <c r="X1033" t="inlineStr">
        <is>
          <t>PD</t>
        </is>
      </c>
      <c r="Y1033" t="inlineStr">
        <is>
          <t>off</t>
        </is>
      </c>
      <c r="Z1033" t="inlineStr">
        <is>
          <t>.</t>
        </is>
      </c>
      <c r="AA1033" t="inlineStr">
        <is>
          <t>.</t>
        </is>
      </c>
      <c r="AB1033" t="inlineStr">
        <is>
          <t>.</t>
        </is>
      </c>
      <c r="AC1033" t="inlineStr">
        <is>
          <t>0/1</t>
        </is>
      </c>
      <c r="AD1033" t="inlineStr">
        <is>
          <t>1</t>
        </is>
      </c>
      <c r="AE1033" t="inlineStr">
        <is>
          <t>.</t>
        </is>
      </c>
      <c r="AF1033" t="inlineStr">
        <is>
          <t>coiled-coil domain containing 171</t>
        </is>
      </c>
      <c r="AG1033" t="inlineStr">
        <is>
          <t>.</t>
        </is>
      </c>
      <c r="AH1033" t="inlineStr">
        <is>
          <t>.</t>
        </is>
      </c>
      <c r="AI1033" t="inlineStr">
        <is>
          <t>.</t>
        </is>
      </c>
      <c r="AJ1033" t="inlineStr">
        <is>
          <t>.</t>
        </is>
      </c>
      <c r="AK1033" t="inlineStr">
        <is>
          <t>.</t>
        </is>
      </c>
      <c r="AL1033" t="inlineStr">
        <is>
          <t>.</t>
        </is>
      </c>
    </row>
    <row r="1034">
      <c r="A1034" t="inlineStr"/>
      <c r="B1034">
        <f>HYPERLINK("https://genome.ucsc.edu/cgi-bin/hgTracks?db=hg19&amp;position=chr9%3A33796811%2D33796811", "chr9:33796811")</f>
        <v/>
      </c>
      <c r="C1034" t="inlineStr">
        <is>
          <t>chr9</t>
        </is>
      </c>
      <c r="D1034" t="n">
        <v>33796811</v>
      </c>
      <c r="E1034" t="n">
        <v>33796811</v>
      </c>
      <c r="F1034" t="inlineStr">
        <is>
          <t>G</t>
        </is>
      </c>
      <c r="G1034" t="inlineStr">
        <is>
          <t>A</t>
        </is>
      </c>
      <c r="H1034" t="inlineStr">
        <is>
          <t>294.64</t>
        </is>
      </c>
      <c r="I1034" t="inlineStr">
        <is>
          <t>139</t>
        </is>
      </c>
      <c r="J1034" t="inlineStr">
        <is>
          <t>123,16</t>
        </is>
      </c>
      <c r="K1034" t="inlineStr">
        <is>
          <t>.</t>
        </is>
      </c>
      <c r="L1034">
        <f>HYPERLINK("https://www.ncbi.nlm.nih.gov/snp/rs200466488", "rs200466488")</f>
        <v/>
      </c>
      <c r="M1034">
        <f>HYPERLINK("https://www.genecards.org/Search/Keyword?queryString=%5Baliases%5D(%20PRSS3%20)&amp;keywords=PRSS3", "PRSS3")</f>
        <v/>
      </c>
      <c r="N1034" t="inlineStr">
        <is>
          <t>intronic;ncRNA_intronic</t>
        </is>
      </c>
      <c r="O1034" t="inlineStr">
        <is>
          <t>.</t>
        </is>
      </c>
      <c r="P1034" t="inlineStr">
        <is>
          <t>.</t>
        </is>
      </c>
      <c r="Q1034" t="n">
        <v>0.0102</v>
      </c>
      <c r="R1034" t="n">
        <v>-1</v>
      </c>
      <c r="S1034" t="n">
        <v>0.0002</v>
      </c>
      <c r="T1034" t="n">
        <v>-1</v>
      </c>
      <c r="U1034" t="n">
        <v>-1</v>
      </c>
      <c r="V1034" t="inlineStr">
        <is>
          <t>.</t>
        </is>
      </c>
      <c r="W1034" t="inlineStr">
        <is>
          <t>.</t>
        </is>
      </c>
      <c r="X1034" t="inlineStr">
        <is>
          <t>PD</t>
        </is>
      </c>
      <c r="Y1034" t="inlineStr">
        <is>
          <t>off</t>
        </is>
      </c>
      <c r="Z1034" t="inlineStr">
        <is>
          <t>.</t>
        </is>
      </c>
      <c r="AA1034" t="inlineStr">
        <is>
          <t>.</t>
        </is>
      </c>
      <c r="AB1034" t="inlineStr">
        <is>
          <t>.</t>
        </is>
      </c>
      <c r="AC1034" t="inlineStr">
        <is>
          <t>.</t>
        </is>
      </c>
      <c r="AD1034" t="inlineStr">
        <is>
          <t>1</t>
        </is>
      </c>
      <c r="AE1034" t="inlineStr">
        <is>
          <t>4.79797626819515e-10</t>
        </is>
      </c>
      <c r="AF1034" t="inlineStr">
        <is>
          <t>protease, serine 3</t>
        </is>
      </c>
      <c r="AG1034" t="inlineStr">
        <is>
          <t xml:space="preserve">FUNCTION: Digestive protease specialized for the degradation of trypsin inhibitors. In the ileum, may be involved in defensin processing, including DEFA5. {ECO:0000269|PubMed:12021776, ECO:0000269|PubMed:14507909}.; </t>
        </is>
      </c>
      <c r="AH1034" t="inlineStr">
        <is>
          <t>.</t>
        </is>
      </c>
      <c r="AI1034" t="inlineStr">
        <is>
          <t>.</t>
        </is>
      </c>
      <c r="AJ1034" t="inlineStr">
        <is>
          <t>.</t>
        </is>
      </c>
      <c r="AK1034" t="inlineStr">
        <is>
          <t>.</t>
        </is>
      </c>
      <c r="AL1034" t="inlineStr">
        <is>
          <t>.</t>
        </is>
      </c>
    </row>
    <row r="1035">
      <c r="A1035" t="inlineStr"/>
      <c r="B1035">
        <f>HYPERLINK("https://genome.ucsc.edu/cgi-bin/hgTracks?db=hg19&amp;position=chr9%3A36599314%2D36599314", "chr9:36599314")</f>
        <v/>
      </c>
      <c r="C1035" t="inlineStr">
        <is>
          <t>chr9</t>
        </is>
      </c>
      <c r="D1035" t="n">
        <v>36599314</v>
      </c>
      <c r="E1035" t="n">
        <v>36599314</v>
      </c>
      <c r="F1035" t="inlineStr">
        <is>
          <t>A</t>
        </is>
      </c>
      <c r="G1035" t="inlineStr">
        <is>
          <t>T</t>
        </is>
      </c>
      <c r="H1035" t="inlineStr">
        <is>
          <t>32.64</t>
        </is>
      </c>
      <c r="I1035" t="inlineStr">
        <is>
          <t>10</t>
        </is>
      </c>
      <c r="J1035" t="inlineStr">
        <is>
          <t>8,2</t>
        </is>
      </c>
      <c r="K1035" t="inlineStr">
        <is>
          <t>.</t>
        </is>
      </c>
      <c r="L1035" t="inlineStr">
        <is>
          <t>.</t>
        </is>
      </c>
      <c r="M1035">
        <f>HYPERLINK("https://www.genecards.org/Search/Keyword?queryString=%5Baliases%5D(%20MELK%20)&amp;keywords=MELK", "MELK")</f>
        <v/>
      </c>
      <c r="N1035" t="inlineStr">
        <is>
          <t>intronic</t>
        </is>
      </c>
      <c r="O1035" t="inlineStr">
        <is>
          <t>.</t>
        </is>
      </c>
      <c r="P1035" t="inlineStr">
        <is>
          <t>.</t>
        </is>
      </c>
      <c r="Q1035" t="n">
        <v>-1</v>
      </c>
      <c r="R1035" t="n">
        <v>-1</v>
      </c>
      <c r="S1035" t="n">
        <v>-1</v>
      </c>
      <c r="T1035" t="n">
        <v>-1</v>
      </c>
      <c r="U1035" t="n">
        <v>-1</v>
      </c>
      <c r="V1035" t="inlineStr">
        <is>
          <t>.</t>
        </is>
      </c>
      <c r="W1035" t="inlineStr">
        <is>
          <t>.</t>
        </is>
      </c>
      <c r="X1035" t="inlineStr">
        <is>
          <t>PD</t>
        </is>
      </c>
      <c r="Y1035" t="inlineStr">
        <is>
          <t>off</t>
        </is>
      </c>
      <c r="Z1035" t="inlineStr">
        <is>
          <t>.</t>
        </is>
      </c>
      <c r="AA1035" t="inlineStr">
        <is>
          <t>.</t>
        </is>
      </c>
      <c r="AB1035" t="inlineStr">
        <is>
          <t>.</t>
        </is>
      </c>
      <c r="AC1035" t="inlineStr">
        <is>
          <t>0/1</t>
        </is>
      </c>
      <c r="AD1035" t="inlineStr">
        <is>
          <t>1</t>
        </is>
      </c>
      <c r="AE1035" t="inlineStr">
        <is>
          <t>1.8665175196218e-08</t>
        </is>
      </c>
      <c r="AF1035" t="inlineStr">
        <is>
          <t>maternal embryonic leucine zipper kinase</t>
        </is>
      </c>
      <c r="AG1035" t="inlineStr">
        <is>
          <t xml:space="preserve">FUNCTION: Serine/threonine-protein kinase involved in various processes such as cell cycle regulation, self-renewal of stem cells, apoptosis and splicing regulation. Has a broad substrate specificity; phosphorylates BCL2L14, CDC25B, MAP3K5/ASK1 and ZNF622. Acts as an activator of apoptosis by phosphorylating and activating MAP3K5/ASK1. Acts as a regulator of cell cycle, notably by mediating phosphorylation of CDC25B, promoting localization of CDC25B to the centrosome and the spindle poles during mitosis. Plays a key role in cell proliferation and carcinogenesis. Required for proliferation of embryonic and postnatal multipotent neural progenitors. Phosphorylates and inhibits BCL2L14, possibly leading to affect mammary carcinogenesis by mediating inhibition of the pro-apoptotic function of BCL2L14. Also involved in the inhibition of spliceosome assembly during mitosis by phosphorylating ZNF622, thereby contributing to its redirection to the nucleus. May also play a role in primitive hematopoiesis. {ECO:0000269|PubMed:11802789, ECO:0000269|PubMed:12400006, ECO:0000269|PubMed:14699119, ECO:0000269|PubMed:15908796, ECO:0000269|PubMed:16216881, ECO:0000269|PubMed:17280616}.; </t>
        </is>
      </c>
      <c r="AH1035" t="inlineStr">
        <is>
          <t xml:space="preserve">DISEASE: Note=Defects in MELK are associated with some cancers, such as brain or breast cancers. Expression is dramatically increased in aggressive undifferentiated tumors, correlating with poor patient outcome in breast and brain cancers, suggesting a role in tumor-initiating cells and proliferation via its function in cell proliferation regulation.; </t>
        </is>
      </c>
      <c r="AI1035" t="inlineStr">
        <is>
          <t>.</t>
        </is>
      </c>
      <c r="AJ1035" t="inlineStr">
        <is>
          <t>.</t>
        </is>
      </c>
      <c r="AK1035" t="inlineStr">
        <is>
          <t>.</t>
        </is>
      </c>
      <c r="AL1035" t="inlineStr">
        <is>
          <t>.</t>
        </is>
      </c>
    </row>
    <row r="1036">
      <c r="A1036" t="inlineStr"/>
      <c r="B1036">
        <f>HYPERLINK("https://genome.ucsc.edu/cgi-bin/hgTracks?db=hg19&amp;position=chr9%3A39140636%2D39140636", "chr9:39140636")</f>
        <v/>
      </c>
      <c r="C1036" t="inlineStr">
        <is>
          <t>chr9</t>
        </is>
      </c>
      <c r="D1036" t="n">
        <v>39140636</v>
      </c>
      <c r="E1036" t="n">
        <v>39140636</v>
      </c>
      <c r="F1036" t="inlineStr">
        <is>
          <t>C</t>
        </is>
      </c>
      <c r="G1036" t="inlineStr">
        <is>
          <t>A</t>
        </is>
      </c>
      <c r="H1036" t="inlineStr">
        <is>
          <t>153.64</t>
        </is>
      </c>
      <c r="I1036" t="inlineStr">
        <is>
          <t>23</t>
        </is>
      </c>
      <c r="J1036" t="inlineStr">
        <is>
          <t>15,8</t>
        </is>
      </c>
      <c r="K1036" t="inlineStr">
        <is>
          <t>.</t>
        </is>
      </c>
      <c r="L1036" t="inlineStr">
        <is>
          <t>.</t>
        </is>
      </c>
      <c r="M1036">
        <f>HYPERLINK("https://www.genecards.org/Search/Keyword?queryString=%5Baliases%5D(%20CNTNAP3%20)&amp;keywords=CNTNAP3", "CNTNAP3")</f>
        <v/>
      </c>
      <c r="N1036" t="inlineStr">
        <is>
          <t>splicing</t>
        </is>
      </c>
      <c r="O1036" t="inlineStr">
        <is>
          <t>.</t>
        </is>
      </c>
      <c r="P1036" t="inlineStr">
        <is>
          <t>NM_033655:exon12:c.1757-1G&gt;T;uc004abi.3:exon12:c.1757-1G&gt;T;uc004abj.3:exon12:c.1757-1G&gt;T;uc004abk.1:exon12:c.1757-1G&gt;T;uc011lqs.1:exon10:c.1478-1G&gt;T;ENST00000297668.11_5:exon12:c.1757-1G&gt;T;ENST00000377656.6_3:exon12:c.1757-1G&gt;T;ENST00000358144.6_3:exon10:c.1493-1G&gt;T;ENST00000377659.1_3:exon12:c.1757-1G&gt;T</t>
        </is>
      </c>
      <c r="Q1036" t="n">
        <v>-1</v>
      </c>
      <c r="R1036" t="n">
        <v>-1</v>
      </c>
      <c r="S1036" t="n">
        <v>-1</v>
      </c>
      <c r="T1036" t="n">
        <v>-1</v>
      </c>
      <c r="U1036" t="n">
        <v>-1</v>
      </c>
      <c r="V1036" t="inlineStr">
        <is>
          <t>2/2</t>
        </is>
      </c>
      <c r="W1036" t="inlineStr">
        <is>
          <t>D</t>
        </is>
      </c>
      <c r="X1036" t="inlineStr">
        <is>
          <t>PD</t>
        </is>
      </c>
      <c r="Y1036" t="inlineStr">
        <is>
          <t>on</t>
        </is>
      </c>
      <c r="Z1036" t="inlineStr">
        <is>
          <t>2/7</t>
        </is>
      </c>
      <c r="AA1036" t="inlineStr">
        <is>
          <t>.</t>
        </is>
      </c>
      <c r="AB1036" t="inlineStr">
        <is>
          <t>.</t>
        </is>
      </c>
      <c r="AC1036" t="inlineStr">
        <is>
          <t>0/1</t>
        </is>
      </c>
      <c r="AD1036" t="inlineStr">
        <is>
          <t>1</t>
        </is>
      </c>
      <c r="AE1036" t="inlineStr">
        <is>
          <t>0.0725663655548519</t>
        </is>
      </c>
      <c r="AF1036" t="inlineStr">
        <is>
          <t>contactin associated protein-like 3</t>
        </is>
      </c>
      <c r="AG1036" t="inlineStr">
        <is>
          <t>.</t>
        </is>
      </c>
      <c r="AH1036" t="inlineStr">
        <is>
          <t>.</t>
        </is>
      </c>
      <c r="AI1036" t="inlineStr">
        <is>
          <t>.</t>
        </is>
      </c>
      <c r="AJ1036" t="inlineStr">
        <is>
          <t>.</t>
        </is>
      </c>
      <c r="AK1036" t="inlineStr">
        <is>
          <t>.</t>
        </is>
      </c>
      <c r="AL1036" t="inlineStr">
        <is>
          <t>NGS_LowStringency</t>
        </is>
      </c>
    </row>
    <row r="1037">
      <c r="A1037" t="inlineStr"/>
      <c r="B1037">
        <f>HYPERLINK("https://genome.ucsc.edu/cgi-bin/hgTracks?db=hg19&amp;position=chr9%3A77416911%2D77416911", "chr9:77416911")</f>
        <v/>
      </c>
      <c r="C1037" t="inlineStr">
        <is>
          <t>chr9</t>
        </is>
      </c>
      <c r="D1037" t="n">
        <v>77416911</v>
      </c>
      <c r="E1037" t="n">
        <v>77416911</v>
      </c>
      <c r="F1037" t="inlineStr">
        <is>
          <t>C</t>
        </is>
      </c>
      <c r="G1037" t="inlineStr">
        <is>
          <t>A</t>
        </is>
      </c>
      <c r="H1037" t="inlineStr">
        <is>
          <t>3209.06</t>
        </is>
      </c>
      <c r="I1037" t="inlineStr">
        <is>
          <t>113</t>
        </is>
      </c>
      <c r="J1037" t="inlineStr">
        <is>
          <t>2,111</t>
        </is>
      </c>
      <c r="K1037" t="inlineStr">
        <is>
          <t>.</t>
        </is>
      </c>
      <c r="L1037" t="inlineStr">
        <is>
          <t>.</t>
        </is>
      </c>
      <c r="M1037">
        <f>HYPERLINK("https://www.genecards.org/Search/Keyword?queryString=%5Baliases%5D(%20TRPM6%20)&amp;keywords=TRPM6", "TRPM6")</f>
        <v/>
      </c>
      <c r="N1037" t="inlineStr">
        <is>
          <t>exonic</t>
        </is>
      </c>
      <c r="O1037" t="inlineStr">
        <is>
          <t>nonsynonymous SNV</t>
        </is>
      </c>
      <c r="P1037" t="inlineStr">
        <is>
          <t>TRPM6:NM_001177310:exon16:c.G1897T:p.A633S,TRPM6:NM_001177311:exon16:c.G1897T:p.A633S,TRPM6:NM_017662:exon16:c.G1912T:p.A638S;TRPM6:uc004ajk.1:exon16:c.G1897T:p.A633S,TRPM6:uc004ajl.1:exon16:c.G1912T:p.A638S,TRPM6:uc022bib.1:exon16:c.G1897T:p.A633S;TRPM6:ENST00000360774.6_11:exon16:c.G1912T:p.A638S,TRPM6:ENST00000361255.7_5:exon16:c.G1897T:p.A633S,TRPM6:ENST00000449912.6_5:exon16:c.G1897T:p.A633S</t>
        </is>
      </c>
      <c r="Q1037" t="n">
        <v>-1</v>
      </c>
      <c r="R1037" t="n">
        <v>-1</v>
      </c>
      <c r="S1037" t="n">
        <v>-1</v>
      </c>
      <c r="T1037" t="n">
        <v>-1</v>
      </c>
      <c r="U1037" t="n">
        <v>-1</v>
      </c>
      <c r="V1037" t="inlineStr">
        <is>
          <t>8/12</t>
        </is>
      </c>
      <c r="W1037" t="inlineStr">
        <is>
          <t>.</t>
        </is>
      </c>
      <c r="X1037" t="inlineStr">
        <is>
          <t>.</t>
        </is>
      </c>
      <c r="Y1037" t="inlineStr">
        <is>
          <t>.</t>
        </is>
      </c>
      <c r="Z1037" t="inlineStr">
        <is>
          <t>4/7</t>
        </is>
      </c>
      <c r="AA1037" t="inlineStr">
        <is>
          <t>Uncertain significance</t>
        </is>
      </c>
      <c r="AB1037" t="inlineStr">
        <is>
          <t>.</t>
        </is>
      </c>
      <c r="AC1037" t="inlineStr">
        <is>
          <t>HOMO</t>
        </is>
      </c>
      <c r="AD1037" t="inlineStr">
        <is>
          <t>1</t>
        </is>
      </c>
      <c r="AE1037" t="inlineStr">
        <is>
          <t>0.588344973192852</t>
        </is>
      </c>
      <c r="AF1037" t="inlineStr">
        <is>
          <t>transient receptor potential cation channel subfamily M member 6</t>
        </is>
      </c>
      <c r="AG1037" t="inlineStr">
        <is>
          <t xml:space="preserve">FUNCTION: Essential ion channel and serine/threonine-protein kinase. Crucial for magnesium homeostasis. Has an important role in epithelial magnesium transport and in the active magnesium absorption in the gut and kidney. Isoforms of the type M6-kinase lack the ion channel region.; </t>
        </is>
      </c>
      <c r="AH1037" t="inlineStr">
        <is>
          <t>.</t>
        </is>
      </c>
      <c r="AI1037" t="inlineStr">
        <is>
          <t>.</t>
        </is>
      </c>
      <c r="AJ1037" t="inlineStr">
        <is>
          <t>.</t>
        </is>
      </c>
      <c r="AK1037" t="inlineStr">
        <is>
          <t>.</t>
        </is>
      </c>
      <c r="AL1037" t="inlineStr">
        <is>
          <t>.</t>
        </is>
      </c>
    </row>
    <row r="1038">
      <c r="A1038" t="inlineStr"/>
      <c r="B1038">
        <f>HYPERLINK("https://genome.ucsc.edu/cgi-bin/hgTracks?db=hg19&amp;position=chr9%3A97082651%2D97082651", "chr9:97082651")</f>
        <v/>
      </c>
      <c r="C1038" t="inlineStr">
        <is>
          <t>chr9</t>
        </is>
      </c>
      <c r="D1038" t="n">
        <v>97082651</v>
      </c>
      <c r="E1038" t="n">
        <v>97082651</v>
      </c>
      <c r="F1038" t="inlineStr">
        <is>
          <t>C</t>
        </is>
      </c>
      <c r="G1038" t="inlineStr">
        <is>
          <t>T</t>
        </is>
      </c>
      <c r="H1038" t="inlineStr">
        <is>
          <t>5236.06</t>
        </is>
      </c>
      <c r="I1038" t="inlineStr">
        <is>
          <t>170</t>
        </is>
      </c>
      <c r="J1038" t="inlineStr">
        <is>
          <t>2,168</t>
        </is>
      </c>
      <c r="K1038" t="inlineStr">
        <is>
          <t>.</t>
        </is>
      </c>
      <c r="L1038">
        <f>HYPERLINK("https://www.ncbi.nlm.nih.gov/snp/rs149664723", "rs149664723")</f>
        <v/>
      </c>
      <c r="M1038">
        <f>HYPERLINK("https://www.genecards.org/Search/Keyword?queryString=%5Baliases%5D(%20NUTM2F%20)&amp;keywords=NUTM2F", "NUTM2F")</f>
        <v/>
      </c>
      <c r="N1038" t="inlineStr">
        <is>
          <t>exonic</t>
        </is>
      </c>
      <c r="O1038" t="inlineStr">
        <is>
          <t>nonsynonymous SNV</t>
        </is>
      </c>
      <c r="P1038" t="inlineStr">
        <is>
          <t>NUTM2F:NM_017561:exon5:c.G1207A:p.E403K;NUTM2F:uc004aup.1:exon5:c.G1207A:p.E403K;NUTM2F:ENST00000253262.9_8:exon5:c.G1207A:p.E403K</t>
        </is>
      </c>
      <c r="Q1038" t="n">
        <v>0.004283</v>
      </c>
      <c r="R1038" t="n">
        <v>0.0011</v>
      </c>
      <c r="S1038" t="n">
        <v>0.0013</v>
      </c>
      <c r="T1038" t="n">
        <v>-1</v>
      </c>
      <c r="U1038" t="n">
        <v>0.0008</v>
      </c>
      <c r="V1038" t="inlineStr">
        <is>
          <t>4/11</t>
        </is>
      </c>
      <c r="W1038" t="inlineStr">
        <is>
          <t>.</t>
        </is>
      </c>
      <c r="X1038" t="inlineStr">
        <is>
          <t>.</t>
        </is>
      </c>
      <c r="Y1038" t="inlineStr">
        <is>
          <t>.</t>
        </is>
      </c>
      <c r="Z1038" t="inlineStr">
        <is>
          <t>0/7</t>
        </is>
      </c>
      <c r="AA1038" t="inlineStr">
        <is>
          <t>Uncertain significance</t>
        </is>
      </c>
      <c r="AB1038" t="inlineStr">
        <is>
          <t>.</t>
        </is>
      </c>
      <c r="AC1038" t="inlineStr">
        <is>
          <t>HOMO</t>
        </is>
      </c>
      <c r="AD1038" t="inlineStr">
        <is>
          <t>1</t>
        </is>
      </c>
      <c r="AE1038" t="inlineStr">
        <is>
          <t>.</t>
        </is>
      </c>
      <c r="AF1038" t="inlineStr">
        <is>
          <t>NUT family member 2F</t>
        </is>
      </c>
      <c r="AG1038" t="inlineStr">
        <is>
          <t>.</t>
        </is>
      </c>
      <c r="AH1038" t="inlineStr">
        <is>
          <t>.</t>
        </is>
      </c>
      <c r="AI1038" t="inlineStr">
        <is>
          <t>.</t>
        </is>
      </c>
      <c r="AJ1038" t="inlineStr">
        <is>
          <t>.</t>
        </is>
      </c>
      <c r="AK1038" t="inlineStr">
        <is>
          <t>.</t>
        </is>
      </c>
      <c r="AL1038" t="inlineStr">
        <is>
          <t>NGS_LowStringency</t>
        </is>
      </c>
    </row>
    <row r="1039">
      <c r="A1039" t="inlineStr"/>
      <c r="B1039">
        <f>HYPERLINK("https://genome.ucsc.edu/cgi-bin/hgTracks?db=hg19&amp;position=chr9%3A100088942%2D100088942", "chr9:100088942")</f>
        <v/>
      </c>
      <c r="C1039" t="inlineStr">
        <is>
          <t>chr9</t>
        </is>
      </c>
      <c r="D1039" t="n">
        <v>100088942</v>
      </c>
      <c r="E1039" t="n">
        <v>100088942</v>
      </c>
      <c r="F1039" t="inlineStr">
        <is>
          <t>T</t>
        </is>
      </c>
      <c r="G1039" t="inlineStr">
        <is>
          <t>C</t>
        </is>
      </c>
      <c r="H1039" t="inlineStr">
        <is>
          <t>1714.06</t>
        </is>
      </c>
      <c r="I1039" t="inlineStr">
        <is>
          <t>70</t>
        </is>
      </c>
      <c r="J1039" t="inlineStr">
        <is>
          <t>1,69</t>
        </is>
      </c>
      <c r="K1039" t="inlineStr">
        <is>
          <t>.</t>
        </is>
      </c>
      <c r="L1039">
        <f>HYPERLINK("https://www.ncbi.nlm.nih.gov/snp/rs61736459", "rs61736459")</f>
        <v/>
      </c>
      <c r="M1039">
        <f>HYPERLINK("https://www.genecards.org/Search/Keyword?queryString=%5Baliases%5D(%20CCDC180%20)%20OR%20%5Baliases%5D(%20LOC100499484-C9ORF174%20)&amp;keywords=CCDC180,LOC100499484-C9ORF174", "CCDC180;LOC100499484-C9ORF174")</f>
        <v/>
      </c>
      <c r="N1039" t="inlineStr">
        <is>
          <t>exonic</t>
        </is>
      </c>
      <c r="O1039" t="inlineStr">
        <is>
          <t>nonsynonymous SNV</t>
        </is>
      </c>
      <c r="P1039" t="inlineStr">
        <is>
          <t>CCDC180:NM_020893:exon15:c.T1652C:p.M551T,CCDC180:NM_001348010:exon16:c.T1643C:p.M548T;CCDC180:uc004axg.2:exon15:c.T1784C:p.M595T,CCDC180:uc004axf.3:exon16:c.T1784C:p.M595T,CCDC180:uc011luv.1:exon16:c.T1775C:p.M592T,LOC100499484-C9ORF174:uc011lus.2:exon26:c.T1655C:p.M552T,LOC100499484-C9ORF174:uc004axe.2:exon29:c.T2201C:p.M734T,LOC100499484-C9ORF174:uc011lut.2:exon29:c.T2201C:p.M734T;CCDC180:ENST00000529487.3_6:exon15:c.T1652C:p.M551T</t>
        </is>
      </c>
      <c r="Q1039" t="n">
        <v>0.001359</v>
      </c>
      <c r="R1039" t="n">
        <v>0.0001</v>
      </c>
      <c r="S1039" t="n">
        <v>0.0003</v>
      </c>
      <c r="T1039" t="n">
        <v>-1</v>
      </c>
      <c r="U1039" t="n">
        <v>-1</v>
      </c>
      <c r="V1039" t="inlineStr">
        <is>
          <t>6/11</t>
        </is>
      </c>
      <c r="W1039" t="inlineStr">
        <is>
          <t>.</t>
        </is>
      </c>
      <c r="X1039" t="inlineStr">
        <is>
          <t>.</t>
        </is>
      </c>
      <c r="Y1039" t="inlineStr">
        <is>
          <t>.</t>
        </is>
      </c>
      <c r="Z1039" t="inlineStr">
        <is>
          <t>2/7</t>
        </is>
      </c>
      <c r="AA1039" t="inlineStr">
        <is>
          <t>Uncertain significance</t>
        </is>
      </c>
      <c r="AB1039" t="inlineStr">
        <is>
          <t>.</t>
        </is>
      </c>
      <c r="AC1039" t="inlineStr">
        <is>
          <t>HOMO</t>
        </is>
      </c>
      <c r="AD1039" t="inlineStr">
        <is>
          <t>1;1</t>
        </is>
      </c>
      <c r="AE1039" t="inlineStr">
        <is>
          <t>5.35201684379183e-22</t>
        </is>
      </c>
      <c r="AF1039" t="inlineStr">
        <is>
          <t>coiled-coil domain containing 180</t>
        </is>
      </c>
      <c r="AG1039" t="inlineStr">
        <is>
          <t>.</t>
        </is>
      </c>
      <c r="AH1039" t="inlineStr">
        <is>
          <t>.</t>
        </is>
      </c>
      <c r="AI1039" t="inlineStr">
        <is>
          <t>.</t>
        </is>
      </c>
      <c r="AJ1039" t="inlineStr">
        <is>
          <t>.</t>
        </is>
      </c>
      <c r="AK1039" t="inlineStr">
        <is>
          <t>.</t>
        </is>
      </c>
      <c r="AL1039" t="inlineStr">
        <is>
          <t>.</t>
        </is>
      </c>
    </row>
    <row r="1040">
      <c r="A1040" t="inlineStr"/>
      <c r="B1040">
        <f>HYPERLINK("https://genome.ucsc.edu/cgi-bin/hgTracks?db=hg19&amp;position=chr9%3A102585028%2D102585030", "chr9:102585028")</f>
        <v/>
      </c>
      <c r="C1040" t="inlineStr">
        <is>
          <t>chr9</t>
        </is>
      </c>
      <c r="D1040" t="n">
        <v>102585028</v>
      </c>
      <c r="E1040" t="n">
        <v>102585030</v>
      </c>
      <c r="F1040" t="inlineStr">
        <is>
          <t>CGG</t>
        </is>
      </c>
      <c r="G1040" t="inlineStr">
        <is>
          <t>-</t>
        </is>
      </c>
      <c r="H1040" t="inlineStr">
        <is>
          <t>43.60</t>
        </is>
      </c>
      <c r="I1040" t="inlineStr">
        <is>
          <t>28</t>
        </is>
      </c>
      <c r="J1040" t="inlineStr">
        <is>
          <t>25,3</t>
        </is>
      </c>
      <c r="K1040" t="inlineStr">
        <is>
          <t>.</t>
        </is>
      </c>
      <c r="L1040" t="inlineStr">
        <is>
          <t>.</t>
        </is>
      </c>
      <c r="M1040">
        <f>HYPERLINK("https://www.genecards.org/Search/Keyword?queryString=%5Baliases%5D(%20NR4A3%20)&amp;keywords=NR4A3", "NR4A3")</f>
        <v/>
      </c>
      <c r="N1040" t="inlineStr">
        <is>
          <t>intronic;ncRNA_intronic</t>
        </is>
      </c>
      <c r="O1040" t="inlineStr">
        <is>
          <t>.</t>
        </is>
      </c>
      <c r="P1040" t="inlineStr">
        <is>
          <t>.</t>
        </is>
      </c>
      <c r="Q1040" t="n">
        <v>0.0001153</v>
      </c>
      <c r="R1040" t="n">
        <v>0.0001</v>
      </c>
      <c r="S1040" t="n">
        <v>-1</v>
      </c>
      <c r="T1040" t="n">
        <v>-1</v>
      </c>
      <c r="U1040" t="n">
        <v>-1</v>
      </c>
      <c r="V1040" t="inlineStr">
        <is>
          <t>.</t>
        </is>
      </c>
      <c r="W1040" t="inlineStr">
        <is>
          <t>.</t>
        </is>
      </c>
      <c r="X1040" t="inlineStr">
        <is>
          <t>.</t>
        </is>
      </c>
      <c r="Y1040" t="inlineStr">
        <is>
          <t>.</t>
        </is>
      </c>
      <c r="Z1040" t="inlineStr">
        <is>
          <t>.</t>
        </is>
      </c>
      <c r="AA1040" t="inlineStr">
        <is>
          <t>.</t>
        </is>
      </c>
      <c r="AB1040" t="inlineStr">
        <is>
          <t>.</t>
        </is>
      </c>
      <c r="AC1040" t="inlineStr">
        <is>
          <t>0/1</t>
        </is>
      </c>
      <c r="AD1040" t="inlineStr">
        <is>
          <t>1</t>
        </is>
      </c>
      <c r="AE1040" t="inlineStr">
        <is>
          <t>.</t>
        </is>
      </c>
      <c r="AF1040" t="inlineStr">
        <is>
          <t>nuclear receptor subfamily 4 group A member 3</t>
        </is>
      </c>
      <c r="AG1040" t="inlineStr">
        <is>
          <t xml:space="preserve">FUNCTION: Transcriptional activator that binds to regulatory elements in promoter regions in a cell- and response element (target)-specific manner. Induces gene expression by binding as monomers to the NR4A1 response element (NBRE) 5'-AAAAGGTCA-3' site and as homodimers to the Nur response element (NurRE) site in the promoter of their regulated target genes (By similarity). Plays a role in the regulation of proliferation, survival and differentiation of many different cell types and also in metabolism and inflammation. Mediates proliferation of vascular smooth muscle, myeloid progenitor cell and type B pancreatic cells; promotes mitogen-induced vascular smooth muscle cell proliferation through transactivation of SKP2 promoter by binding a NBRE site (By similarity). Upon PDGF stimulation, stimulates vascular smooth muscle cell proliferation by regulating CCND1 and CCND2 expression. In islets, induces type B pancreatic cell proliferation through up-regulation of genes that activate cell cycle, as well as genes that cause degradation of the CDKN1A (By similarity). Negatively regulates myeloid progenitor cell proliferation by repressing RUNX1 in a NBRE site-independent manner. During inner ear, plays a role as a key mediator of the proliferative growth phase of semicircular canal development (By similarity). Mediates also survival of neuron and smooth muscle cells; mediates CREB-induced neuronal survival, and during hippocampus development, plays a critical role in pyramidal cell survival and axonal guidance. Is required for S phase entry of the cell cycle and survival of smooth muscle cells by inducing CCND1, resulting in RB1 phosphorylation. Binds to NBRE motif in CCND1 promoter, resulting in the activation of the promoter and CCND1 transcription (By similarity). Plays also a role in inflammation; upon TNF stimulation, mediates monocyte adhesion by inducing the expression of VCAM1 and ICAM1 by binding to the NBRE consensus site (By similarity) (PubMed:20558821). In mast cells activated by Fc-epsilon receptor cross-linking, promotes the synthesis and release of cytokines but impairs events leading to degranulation (By similarity). Plays also a role in metabolism; by modulating feeding behavior; and by playing a role in energy balance by inhibiting the glucocorticoid-induced orexigenic neuropeptides AGRP expression, at least in part by forming a complex with activated NR3C1 on the AGRP- glucocorticoid response element (GRE), and thus weakening the DNA binding activity of NR3C1. Upon catecholamines stimulation, regulates gene expression that controls oxidative metabolism in skeletal muscle (By similarity). Plays a role in glucose transport by regulating translocation of the SLC2A4 glucose transporter to the cell surface (PubMed:24022864). Finally, during gastrulation plays a crucial role in the formation of anterior mesoderm by controlling cell migration. Inhibits adipogenesis (By similarity). Also participates in cardiac hypertrophy by activating PARP1 (By similarity). {ECO:0000250|UniProtKB:P51179, ECO:0000250|UniProtKB:Q9QZB6, ECO:0000269|PubMed:20558821, ECO:0000269|PubMed:24022864}.; </t>
        </is>
      </c>
      <c r="AH1040" t="inlineStr">
        <is>
          <t xml:space="preserve">DISEASE: Ewing sarcoma (ES) [MIM:612219]: A highly malignant, metastatic, primitive small round cell tumor of bone and soft tissue that affects children and adolescents. It belongs to the Ewing sarcoma family of tumors, a group of morphologically heterogeneous neoplasms that share the same cytogenetic features. They are considered neural tumors derived from cells of the neural crest. Ewing sarcoma represents the less differentiated form of the tumors. Note=The gene represented in this entry is involved in disease pathogenesis. A chromosomal aberration involving NR4A3 is found in patients with Erwing sarcoma. Translocation t(9;22)(q22- 31;q11-12) with EWSR1.; DISEASE: Note=A chromosomal aberration involving NR4A3 is a cause of a form of extraskeletal myxoid chondrosarcomas (EMC). Translocation t(9;17)(q22;q11) with TAF2N.; </t>
        </is>
      </c>
      <c r="AI1040" t="inlineStr">
        <is>
          <t>.</t>
        </is>
      </c>
      <c r="AJ1040" t="inlineStr">
        <is>
          <t>.</t>
        </is>
      </c>
      <c r="AK1040" t="inlineStr">
        <is>
          <t>.</t>
        </is>
      </c>
      <c r="AL1040" t="inlineStr">
        <is>
          <t>.</t>
        </is>
      </c>
    </row>
    <row r="1041">
      <c r="A1041" t="inlineStr"/>
      <c r="B1041">
        <f>HYPERLINK("https://genome.ucsc.edu/cgi-bin/hgTracks?db=hg19&amp;position=chr9%3A110249816%2D110249816", "chr9:110249816")</f>
        <v/>
      </c>
      <c r="C1041" t="inlineStr">
        <is>
          <t>chr9</t>
        </is>
      </c>
      <c r="D1041" t="n">
        <v>110249816</v>
      </c>
      <c r="E1041" t="n">
        <v>110249816</v>
      </c>
      <c r="F1041" t="inlineStr">
        <is>
          <t>G</t>
        </is>
      </c>
      <c r="G1041" t="inlineStr">
        <is>
          <t>A</t>
        </is>
      </c>
      <c r="H1041" t="inlineStr">
        <is>
          <t>2562.06</t>
        </is>
      </c>
      <c r="I1041" t="inlineStr">
        <is>
          <t>77</t>
        </is>
      </c>
      <c r="J1041" t="inlineStr">
        <is>
          <t>0,77</t>
        </is>
      </c>
      <c r="K1041" t="inlineStr">
        <is>
          <t>.</t>
        </is>
      </c>
      <c r="L1041">
        <f>HYPERLINK("https://www.ncbi.nlm.nih.gov/snp/rs139237114", "rs139237114")</f>
        <v/>
      </c>
      <c r="M1041">
        <f>HYPERLINK("https://www.genecards.org/Search/Keyword?queryString=%5Baliases%5D(%20KLF4%20)&amp;keywords=KLF4", "KLF4")</f>
        <v/>
      </c>
      <c r="N1041" t="inlineStr">
        <is>
          <t>exonic</t>
        </is>
      </c>
      <c r="O1041" t="inlineStr">
        <is>
          <t>nonsynonymous SNV</t>
        </is>
      </c>
      <c r="P1041" t="inlineStr">
        <is>
          <t>KLF4:NM_001314052:exon3:c.C859T:p.H287Y,KLF4:NM_004235:exon3:c.C859T:p.H287Y;KLF4:uc004bdf.2:exon1:c.C709T:p.H237Y,KLF4:uc004bdg.3:exon3:c.C859T:p.H287Y,KLF4:uc004bdh.3:exon3:c.C832T:p.H278Y;KLF4:ENST00000374672.5_12:exon3:c.C859T:p.H287Y</t>
        </is>
      </c>
      <c r="Q1041" t="n">
        <v>0.007576</v>
      </c>
      <c r="R1041" t="n">
        <v>0.0043</v>
      </c>
      <c r="S1041" t="n">
        <v>0.0044</v>
      </c>
      <c r="T1041" t="n">
        <v>-1</v>
      </c>
      <c r="U1041" t="n">
        <v>0.0033</v>
      </c>
      <c r="V1041" t="inlineStr">
        <is>
          <t>4/11</t>
        </is>
      </c>
      <c r="W1041" t="inlineStr">
        <is>
          <t>.</t>
        </is>
      </c>
      <c r="X1041" t="inlineStr">
        <is>
          <t>.</t>
        </is>
      </c>
      <c r="Y1041" t="inlineStr">
        <is>
          <t>.</t>
        </is>
      </c>
      <c r="Z1041" t="inlineStr">
        <is>
          <t>2/7</t>
        </is>
      </c>
      <c r="AA1041" t="inlineStr">
        <is>
          <t>Uncertain significance</t>
        </is>
      </c>
      <c r="AB1041" t="inlineStr">
        <is>
          <t>.</t>
        </is>
      </c>
      <c r="AC1041" t="inlineStr">
        <is>
          <t>HOMO</t>
        </is>
      </c>
      <c r="AD1041" t="inlineStr">
        <is>
          <t>1</t>
        </is>
      </c>
      <c r="AE1041" t="inlineStr">
        <is>
          <t>0.981049995653145</t>
        </is>
      </c>
      <c r="AF1041" t="inlineStr">
        <is>
          <t>Kruppel-like factor 4 (gut)</t>
        </is>
      </c>
      <c r="AG1041" t="inlineStr">
        <is>
          <t xml:space="preserve">FUNCTION: Transcription factor; can act both as activator and as repressor. Binds the 5'-CACCC-3' core sequence. Binds to the promoter region of its own gene and can activate its own transcription. Regulates the expression of key transcription factors during embryonic development. Plays an important role in maintaining embryonic stem cells, and in preventing their differentiation. Required for establishing the barrier function of the skin and for postnatal maturation and maintenance of the ocular surface. Involved in the differentiation of epithelial cells and may also function in skeletal and kidney development. Contributes to the down-regulation of p53/TP53 transcription. {ECO:0000269|PubMed:17308127, ECO:0000269|PubMed:20071344}.; </t>
        </is>
      </c>
      <c r="AH1041" t="inlineStr">
        <is>
          <t>.</t>
        </is>
      </c>
      <c r="AI1041" t="inlineStr">
        <is>
          <t>.</t>
        </is>
      </c>
      <c r="AJ1041" t="inlineStr">
        <is>
          <t>.</t>
        </is>
      </c>
      <c r="AK1041" t="inlineStr">
        <is>
          <t>.</t>
        </is>
      </c>
      <c r="AL1041" t="inlineStr">
        <is>
          <t>.</t>
        </is>
      </c>
    </row>
    <row r="1042">
      <c r="A1042" t="inlineStr"/>
      <c r="B1042">
        <f>HYPERLINK("https://genome.ucsc.edu/cgi-bin/hgTracks?db=hg19&amp;position=chr9%3A113137745%2D113137745", "chr9:113137745")</f>
        <v/>
      </c>
      <c r="C1042" t="inlineStr">
        <is>
          <t>chr9</t>
        </is>
      </c>
      <c r="D1042" t="n">
        <v>113137745</v>
      </c>
      <c r="E1042" t="n">
        <v>113137745</v>
      </c>
      <c r="F1042" t="inlineStr">
        <is>
          <t>-</t>
        </is>
      </c>
      <c r="G1042" t="inlineStr">
        <is>
          <t>A</t>
        </is>
      </c>
      <c r="H1042" t="inlineStr">
        <is>
          <t>135.60</t>
        </is>
      </c>
      <c r="I1042" t="inlineStr">
        <is>
          <t>40</t>
        </is>
      </c>
      <c r="J1042" t="inlineStr">
        <is>
          <t>10,11</t>
        </is>
      </c>
      <c r="K1042" t="inlineStr">
        <is>
          <t>.</t>
        </is>
      </c>
      <c r="L1042" t="inlineStr">
        <is>
          <t>.</t>
        </is>
      </c>
      <c r="M1042">
        <f>HYPERLINK("https://www.genecards.org/Search/Keyword?queryString=%5Baliases%5D(%20SVEP1%20)&amp;keywords=SVEP1", "SVEP1")</f>
        <v/>
      </c>
      <c r="N1042" t="inlineStr">
        <is>
          <t>splicing</t>
        </is>
      </c>
      <c r="O1042" t="inlineStr">
        <is>
          <t>.</t>
        </is>
      </c>
      <c r="P1042" t="inlineStr">
        <is>
          <t>NM_153366:exon46:c.10505-2-&gt;T;uc010mty.3:exon13:c.4283-2-&gt;T;uc010mtz.3:exon46:c.10505-2-&gt;T;ENST00000374469.6_8:exon46:c.10505-2-&gt;T</t>
        </is>
      </c>
      <c r="Q1042" t="n">
        <v>-1</v>
      </c>
      <c r="R1042" t="n">
        <v>-1</v>
      </c>
      <c r="S1042" t="n">
        <v>-1</v>
      </c>
      <c r="T1042" t="n">
        <v>-1</v>
      </c>
      <c r="U1042" t="n">
        <v>-1</v>
      </c>
      <c r="V1042" t="inlineStr">
        <is>
          <t>.</t>
        </is>
      </c>
      <c r="W1042" t="inlineStr">
        <is>
          <t>.</t>
        </is>
      </c>
      <c r="X1042" t="inlineStr">
        <is>
          <t>.</t>
        </is>
      </c>
      <c r="Y1042" t="inlineStr">
        <is>
          <t>.</t>
        </is>
      </c>
      <c r="Z1042" t="inlineStr">
        <is>
          <t>.</t>
        </is>
      </c>
      <c r="AA1042" t="inlineStr">
        <is>
          <t>.</t>
        </is>
      </c>
      <c r="AB1042" t="inlineStr">
        <is>
          <t>.</t>
        </is>
      </c>
      <c r="AC1042" t="inlineStr">
        <is>
          <t>0/1</t>
        </is>
      </c>
      <c r="AD1042" t="inlineStr">
        <is>
          <t>1</t>
        </is>
      </c>
      <c r="AE1042" t="inlineStr">
        <is>
          <t>0.589007650495336</t>
        </is>
      </c>
      <c r="AF1042" t="inlineStr">
        <is>
          <t>sushi, von Willebrand factor type A, EGF and pentraxin domain containing 1</t>
        </is>
      </c>
      <c r="AG1042" t="inlineStr">
        <is>
          <t xml:space="preserve">FUNCTION: May play a role in the cell attachment process. {ECO:0000250}.; </t>
        </is>
      </c>
      <c r="AH1042" t="inlineStr">
        <is>
          <t>.</t>
        </is>
      </c>
      <c r="AI1042" t="inlineStr">
        <is>
          <t>.</t>
        </is>
      </c>
      <c r="AJ1042" t="inlineStr">
        <is>
          <t>.</t>
        </is>
      </c>
      <c r="AK1042" t="inlineStr">
        <is>
          <t>.</t>
        </is>
      </c>
      <c r="AL1042" t="inlineStr">
        <is>
          <t>.</t>
        </is>
      </c>
    </row>
    <row r="1043">
      <c r="A1043" t="inlineStr"/>
      <c r="B1043">
        <f>HYPERLINK("https://genome.ucsc.edu/cgi-bin/hgTracks?db=hg19&amp;position=chr9%3A118982446%2D118982446", "chr9:118982446")</f>
        <v/>
      </c>
      <c r="C1043" t="inlineStr">
        <is>
          <t>chr9</t>
        </is>
      </c>
      <c r="D1043" t="n">
        <v>118982446</v>
      </c>
      <c r="E1043" t="n">
        <v>118982446</v>
      </c>
      <c r="F1043" t="inlineStr">
        <is>
          <t>T</t>
        </is>
      </c>
      <c r="G1043" t="inlineStr">
        <is>
          <t>G</t>
        </is>
      </c>
      <c r="H1043" t="inlineStr">
        <is>
          <t>1278.06</t>
        </is>
      </c>
      <c r="I1043" t="inlineStr">
        <is>
          <t>39</t>
        </is>
      </c>
      <c r="J1043" t="inlineStr">
        <is>
          <t>0,39</t>
        </is>
      </c>
      <c r="K1043" t="inlineStr">
        <is>
          <t>.</t>
        </is>
      </c>
      <c r="L1043">
        <f>HYPERLINK("https://www.ncbi.nlm.nih.gov/snp/rs147677353", "rs147677353")</f>
        <v/>
      </c>
      <c r="M1043">
        <f>HYPERLINK("https://www.genecards.org/Search/Keyword?queryString=%5Baliases%5D(%20PAPPA%20)&amp;keywords=PAPPA", "PAPPA")</f>
        <v/>
      </c>
      <c r="N1043" t="inlineStr">
        <is>
          <t>intronic</t>
        </is>
      </c>
      <c r="O1043" t="inlineStr">
        <is>
          <t>.</t>
        </is>
      </c>
      <c r="P1043" t="inlineStr">
        <is>
          <t>.</t>
        </is>
      </c>
      <c r="Q1043" t="n">
        <v>0.0101</v>
      </c>
      <c r="R1043" t="n">
        <v>0.0063</v>
      </c>
      <c r="S1043" t="n">
        <v>0.0065</v>
      </c>
      <c r="T1043" t="n">
        <v>-1</v>
      </c>
      <c r="U1043" t="n">
        <v>0.0081</v>
      </c>
      <c r="V1043" t="inlineStr">
        <is>
          <t>.</t>
        </is>
      </c>
      <c r="W1043" t="inlineStr">
        <is>
          <t>.</t>
        </is>
      </c>
      <c r="X1043" t="inlineStr">
        <is>
          <t>PD</t>
        </is>
      </c>
      <c r="Y1043" t="inlineStr">
        <is>
          <t>off</t>
        </is>
      </c>
      <c r="Z1043" t="inlineStr">
        <is>
          <t>.</t>
        </is>
      </c>
      <c r="AA1043" t="inlineStr">
        <is>
          <t>.</t>
        </is>
      </c>
      <c r="AB1043" t="inlineStr">
        <is>
          <t>.</t>
        </is>
      </c>
      <c r="AC1043" t="inlineStr">
        <is>
          <t>HOMO</t>
        </is>
      </c>
      <c r="AD1043" t="inlineStr">
        <is>
          <t>1</t>
        </is>
      </c>
      <c r="AE1043" t="inlineStr">
        <is>
          <t>0.967751416645701</t>
        </is>
      </c>
      <c r="AF1043" t="inlineStr">
        <is>
          <t>pregnancy-associated plasma protein A, pappalysin 1</t>
        </is>
      </c>
      <c r="AG1043" t="inlineStr">
        <is>
          <t xml:space="preserve">FUNCTION: Metalloproteinase which specifically cleaves IGFBP-4 and IGFBP-5, resulting in release of bound IGF. Cleavage of IGFBP-4 is dramatically enhanced by the presence of IGF, whereas cleavage of IGFBP-5 is slightly inhibited by the presence of IGF. {ECO:0000269|PubMed:10077652, ECO:0000269|PubMed:10913121, ECO:0000269|PubMed:11522292}.; </t>
        </is>
      </c>
      <c r="AH1043" t="inlineStr">
        <is>
          <t>.</t>
        </is>
      </c>
      <c r="AI1043" t="inlineStr">
        <is>
          <t>.</t>
        </is>
      </c>
      <c r="AJ1043" t="inlineStr">
        <is>
          <t>.</t>
        </is>
      </c>
      <c r="AK1043" t="inlineStr">
        <is>
          <t>.</t>
        </is>
      </c>
      <c r="AL1043" t="inlineStr">
        <is>
          <t>.</t>
        </is>
      </c>
    </row>
    <row r="1044">
      <c r="A1044" t="inlineStr"/>
      <c r="B1044">
        <f>HYPERLINK("https://genome.ucsc.edu/cgi-bin/hgTracks?db=hg19&amp;position=chr9%3A124535526%2D124535526", "chr9:124535526")</f>
        <v/>
      </c>
      <c r="C1044" t="inlineStr">
        <is>
          <t>chr9</t>
        </is>
      </c>
      <c r="D1044" t="n">
        <v>124535526</v>
      </c>
      <c r="E1044" t="n">
        <v>124535526</v>
      </c>
      <c r="F1044" t="inlineStr">
        <is>
          <t>C</t>
        </is>
      </c>
      <c r="G1044" t="inlineStr">
        <is>
          <t>T</t>
        </is>
      </c>
      <c r="H1044" t="inlineStr">
        <is>
          <t>3143.06</t>
        </is>
      </c>
      <c r="I1044" t="inlineStr">
        <is>
          <t>94</t>
        </is>
      </c>
      <c r="J1044" t="inlineStr">
        <is>
          <t>0,94</t>
        </is>
      </c>
      <c r="K1044" t="inlineStr">
        <is>
          <t>.</t>
        </is>
      </c>
      <c r="L1044">
        <f>HYPERLINK("https://www.ncbi.nlm.nih.gov/snp/rs56200518", "rs56200518")</f>
        <v/>
      </c>
      <c r="M1044">
        <f>HYPERLINK("https://www.genecards.org/Search/Keyword?queryString=%5Baliases%5D(%20DAB2IP%20)&amp;keywords=DAB2IP", "DAB2IP")</f>
        <v/>
      </c>
      <c r="N1044" t="inlineStr">
        <is>
          <t>exonic</t>
        </is>
      </c>
      <c r="O1044" t="inlineStr">
        <is>
          <t>nonsynonymous SNV</t>
        </is>
      </c>
      <c r="P1044" t="inlineStr">
        <is>
          <t>DAB2IP:NM_138709:exon10:c.C2347T:p.R783W,DAB2IP:NM_032552:exon12:c.C2635T:p.R879W;DAB2IP:uc004blp.3:exon3:c.C934T:p.R312W,DAB2IP:uc004blo.3:exon10:c.C2347T:p.R783W,DAB2IP:uc004bln.3:exon12:c.C2635T:p.R879W;DAB2IP:ENST00000309989.1_5:exon10:c.C2347T:p.R783W,DAB2IP:ENST00000648444.1_2:exon10:c.C2536T:p.R846W,DAB2IP:ENST00000259371.7_4:exon12:c.C2635T:p.R879W,DAB2IP:ENST00000408936.8_7:exon12:c.C2719T:p.R907W</t>
        </is>
      </c>
      <c r="Q1044" t="n">
        <v>0.0139</v>
      </c>
      <c r="R1044" t="n">
        <v>0.0104</v>
      </c>
      <c r="S1044" t="n">
        <v>0.0091</v>
      </c>
      <c r="T1044" t="n">
        <v>-1</v>
      </c>
      <c r="U1044" t="n">
        <v>0.0102</v>
      </c>
      <c r="V1044" t="inlineStr">
        <is>
          <t>7/10</t>
        </is>
      </c>
      <c r="W1044" t="inlineStr">
        <is>
          <t>.</t>
        </is>
      </c>
      <c r="X1044" t="inlineStr">
        <is>
          <t>.</t>
        </is>
      </c>
      <c r="Y1044" t="inlineStr">
        <is>
          <t>.</t>
        </is>
      </c>
      <c r="Z1044" t="inlineStr">
        <is>
          <t>1/7</t>
        </is>
      </c>
      <c r="AA1044" t="inlineStr">
        <is>
          <t>Likely benign</t>
        </is>
      </c>
      <c r="AB1044" t="inlineStr">
        <is>
          <t>.</t>
        </is>
      </c>
      <c r="AC1044" t="inlineStr">
        <is>
          <t>HOMO</t>
        </is>
      </c>
      <c r="AD1044" t="inlineStr">
        <is>
          <t>1</t>
        </is>
      </c>
      <c r="AE1044" t="inlineStr">
        <is>
          <t>0.999652087746425</t>
        </is>
      </c>
      <c r="AF1044" t="inlineStr">
        <is>
          <t>DAB2 interacting protein</t>
        </is>
      </c>
      <c r="AG1044" t="inlineStr">
        <is>
          <t xml:space="preserve">FUNCTION: Functions as a scaffold protein implicated in the regulation of a large spectrum of both general and specialized signaling pathways. Involved in several processes such as innate immune response, inflammation and cell growth inhibition, apoptosis, cell survival, angiogenesis, cell migration and maturation. Plays also a role in cell cycle checkpoint control; reduces G1 phase cyclin levels resulting in G0/G1 cell cycle arrest. Mediates signal transduction by receptor-mediated inflammatory signals, such as the tumor necrosis factor (TNF), interferon (IFN) or lipopolysaccharide (LPS). Modulates the balance between phosphatidylinositol 3-kinase (PI3K)-AKT-mediated cell survival and apoptosis stimulated kinase (MAP3K5)-JNK signaling pathways; sequesters both AKT1 and MAP3K5 and counterbalances the activity of each kinase by modulating their phosphorylation status in response to proinflammatory stimuli. Acts as a regulator of the endoplasmic reticulum (ER) unfolded protein response (UPR) pathway; specifically involved in transduction of the ER stress-response to the JNK cascade through ERN1. Mediates TNF-alpha-induced apoptosis activation by facilitating dissociation of inhibitor 14-3-3 from MAP3K5; recruits the PP2A phosphatase complex which dephosphorylates MAP3K5 on 'Ser-966', leading to the dissociation of 13-3-3 proteins and activation of the MAP3K5-JNK signaling pathway in endothelial cells. Mediates also TNF/TRAF2-induced MAP3K5-JNK activation, while it inhibits CHUK-NF-kappa-B signaling. Acts a negative regulator in the IFN-gamma-mediated JAK-STAT signaling cascade by inhibiting smooth muscle cell (VSMCs) proliferation and intimal expansion, and thus, prevents graft arteriosclerosis (GA). Acts as a GTPase-activating protein (GAP) for the ADP ribosylation factor 6 (ARF6) and Ras. Promotes hydrolysis of the ARF6-bound GTP and thus, negatively regulates phosphatidylinositol 4,5- bisphosphate (PIP2)-dependent TLR4-TIRAP-MyD88 and NF-kappa-B signaling pathways in endothelial cells in response to lipopolysaccharides (LPS). Binds specifically to phosphatidylinositol 4-phosphate (PtdIns4P) and phosphatidylinositol 3-phosphate (PtdIns3P). In response to vascular endothelial growth factor (VEGFA), acts as a negative regulator of the VEGFR2-PI3K-mediated angiogenic signaling pathway by inhibiting endothelial cell migration and tube formation. In the developing brain, promotes both the transition from the multipolar to the bipolar stage and the radial migration of cortical neurons from the ventricular zone toward the superficial layer of the neocortex in a glial-dependent locomotion process. Probable downstream effector of the Reelin signaling pathway; promotes Purkinje cell (PC) dendrites development and formation of cerebellar synapses. Functions also as a tumor suppressor protein in prostate cancer progression; prevents cell proliferation and epithelial-to-mesenchymal transition (EMT) through activation of the glycogen synthase kinase-3 beta (GSK3B)-induced beta-catenin and inhibition of PI3K-AKT and Ras-MAPK survival downstream signaling cascades, respectively. {ECO:0000269|PubMed:12813029, ECO:0000269|PubMed:17389591, ECO:0000269|PubMed:18292600, ECO:0000269|PubMed:19033661, ECO:0000269|PubMed:19903888, ECO:0000269|PubMed:19948740, ECO:0000269|PubMed:20080667, ECO:0000269|PubMed:20154697, ECO:0000269|PubMed:21700930, ECO:0000269|PubMed:22696229}.; </t>
        </is>
      </c>
      <c r="AH1044" t="inlineStr">
        <is>
          <t xml:space="preserve">DISEASE: Note=A chromosomal aberration involving DAB2IP is found in a patient with acute myeloid leukemia (AML). Translocation t(9;11)(q34;q23) with KMT2A/MLL1. May give rise to a KMT2A/MLL1- DAB2IP fusion protein lacking the PH domain (PubMed:14978793). {ECO:0000269|PubMed:14978793}.; </t>
        </is>
      </c>
      <c r="AI1044" t="inlineStr">
        <is>
          <t>.</t>
        </is>
      </c>
      <c r="AJ1044" t="inlineStr">
        <is>
          <t>.</t>
        </is>
      </c>
      <c r="AK1044" t="inlineStr">
        <is>
          <t>.</t>
        </is>
      </c>
      <c r="AL1044" t="inlineStr">
        <is>
          <t>.</t>
        </is>
      </c>
    </row>
    <row r="1045">
      <c r="A1045" t="inlineStr"/>
      <c r="B1045">
        <f>HYPERLINK("https://genome.ucsc.edu/cgi-bin/hgTracks?db=hg19&amp;position=chr9%3A128000989%2D128000989", "chr9:128000989")</f>
        <v/>
      </c>
      <c r="C1045" t="inlineStr">
        <is>
          <t>chr9</t>
        </is>
      </c>
      <c r="D1045" t="n">
        <v>128000989</v>
      </c>
      <c r="E1045" t="n">
        <v>128000989</v>
      </c>
      <c r="F1045" t="inlineStr">
        <is>
          <t>G</t>
        </is>
      </c>
      <c r="G1045" t="inlineStr">
        <is>
          <t>A</t>
        </is>
      </c>
      <c r="H1045" t="inlineStr">
        <is>
          <t>1073.64</t>
        </is>
      </c>
      <c r="I1045" t="inlineStr">
        <is>
          <t>121</t>
        </is>
      </c>
      <c r="J1045" t="inlineStr">
        <is>
          <t>77,44</t>
        </is>
      </c>
      <c r="K1045" t="inlineStr">
        <is>
          <t>.</t>
        </is>
      </c>
      <c r="L1045" t="inlineStr">
        <is>
          <t>.</t>
        </is>
      </c>
      <c r="M1045">
        <f>HYPERLINK("https://www.genecards.org/Search/Keyword?queryString=%5Baliases%5D(%20HSPA5%20)&amp;keywords=HSPA5", "HSPA5")</f>
        <v/>
      </c>
      <c r="N1045" t="inlineStr">
        <is>
          <t>exonic</t>
        </is>
      </c>
      <c r="O1045" t="inlineStr">
        <is>
          <t>stopgain</t>
        </is>
      </c>
      <c r="P1045" t="inlineStr">
        <is>
          <t>HSPA5:NM_005347:exon6:c.C1114T:p.Q372X;HSPA5:uc004bpn.3:exon6:c.C1114T:p.Q372X;HSPA5:ENST00000324460.7_5:exon6:c.C1114T:p.Q372X,HSPA5:ENST00000680032.1_1:exon6:c.C1114T:p.Q372X,HSPA5:ENST00000680272.1_1:exon6:c.C1000T:p.Q334X</t>
        </is>
      </c>
      <c r="Q1045" t="n">
        <v>-1</v>
      </c>
      <c r="R1045" t="n">
        <v>-1</v>
      </c>
      <c r="S1045" t="n">
        <v>-1</v>
      </c>
      <c r="T1045" t="n">
        <v>-1</v>
      </c>
      <c r="U1045" t="n">
        <v>-1</v>
      </c>
      <c r="V1045" t="inlineStr">
        <is>
          <t>3/3</t>
        </is>
      </c>
      <c r="W1045" t="inlineStr">
        <is>
          <t>.</t>
        </is>
      </c>
      <c r="X1045" t="inlineStr">
        <is>
          <t>.</t>
        </is>
      </c>
      <c r="Y1045" t="inlineStr">
        <is>
          <t>.</t>
        </is>
      </c>
      <c r="Z1045" t="inlineStr">
        <is>
          <t>4/7</t>
        </is>
      </c>
      <c r="AA1045" t="inlineStr">
        <is>
          <t>Uncertain significance</t>
        </is>
      </c>
      <c r="AB1045" t="inlineStr">
        <is>
          <t>.</t>
        </is>
      </c>
      <c r="AC1045" t="inlineStr">
        <is>
          <t>0/1</t>
        </is>
      </c>
      <c r="AD1045" t="inlineStr">
        <is>
          <t>1</t>
        </is>
      </c>
      <c r="AE1045" t="inlineStr">
        <is>
          <t>0.885688897994033</t>
        </is>
      </c>
      <c r="AF1045" t="inlineStr">
        <is>
          <t>heat shock protein family A (Hsp70) member 5</t>
        </is>
      </c>
      <c r="AG1045" t="inlineStr">
        <is>
          <t xml:space="preserve">FUNCTION: Probably plays a role in facilitating the assembly of multimeric protein complexes inside the endoplasmic reticulum. Involved in the correct folding of proteins and degradation of misfolded proteins via its interaction with DNAJC10, probably to facilitate the release of DNAJC10 from its substrate. {ECO:0000269|PubMed:2294010, ECO:0000269|PubMed:23769672, ECO:0000269|PubMed:23990668}.; </t>
        </is>
      </c>
      <c r="AH1045" t="inlineStr">
        <is>
          <t xml:space="preserve">DISEASE: Note=Autoantigen in rheumatoid arthritis. {ECO:0000269|PubMed:11160188}.; </t>
        </is>
      </c>
      <c r="AI1045" t="inlineStr">
        <is>
          <t>.</t>
        </is>
      </c>
      <c r="AJ1045" t="inlineStr">
        <is>
          <t>.</t>
        </is>
      </c>
      <c r="AK1045" t="inlineStr">
        <is>
          <t>.</t>
        </is>
      </c>
      <c r="AL1045" t="inlineStr">
        <is>
          <t>.</t>
        </is>
      </c>
    </row>
    <row r="1046">
      <c r="A1046" t="inlineStr"/>
      <c r="B1046">
        <f>HYPERLINK("https://genome.ucsc.edu/cgi-bin/hgTracks?db=hg19&amp;position=chr9%3A128678097%2D128678097", "chr9:128678097")</f>
        <v/>
      </c>
      <c r="C1046" t="inlineStr">
        <is>
          <t>chr9</t>
        </is>
      </c>
      <c r="D1046" t="n">
        <v>128678097</v>
      </c>
      <c r="E1046" t="n">
        <v>128678097</v>
      </c>
      <c r="F1046" t="inlineStr">
        <is>
          <t>C</t>
        </is>
      </c>
      <c r="G1046" t="inlineStr">
        <is>
          <t>T</t>
        </is>
      </c>
      <c r="H1046" t="inlineStr">
        <is>
          <t>3377.06</t>
        </is>
      </c>
      <c r="I1046" t="inlineStr">
        <is>
          <t>115</t>
        </is>
      </c>
      <c r="J1046" t="inlineStr">
        <is>
          <t>0,115</t>
        </is>
      </c>
      <c r="K1046" t="inlineStr">
        <is>
          <t>CM1210262</t>
        </is>
      </c>
      <c r="L1046">
        <f>HYPERLINK("https://www.ncbi.nlm.nih.gov/snp/rs145687528", "rs145687528")</f>
        <v/>
      </c>
      <c r="M1046">
        <f>HYPERLINK("https://www.genecards.org/Search/Keyword?queryString=%5Baliases%5D(%20PBX3%20)&amp;keywords=PBX3", "PBX3")</f>
        <v/>
      </c>
      <c r="N1046" t="inlineStr">
        <is>
          <t>exonic</t>
        </is>
      </c>
      <c r="O1046" t="inlineStr">
        <is>
          <t>nonsynonymous SNV</t>
        </is>
      </c>
      <c r="P1046" t="inlineStr">
        <is>
          <t>PBX3:NM_001134778:exon3:c.C182T:p.A61V,PBX3:NM_001330782:exon3:c.C407T:p.A136V,PBX3:NM_006195:exon3:c.C407T:p.A136V;PBX3:uc004bqe.3:exon1:c.C68T:p.A23V,PBX3:uc011lzx.2:exon2:c.C140T:p.A47V,PBX3:uc004bqb.3:exon3:c.C407T:p.A136V,PBX3:uc011lzw.2:exon3:c.C182T:p.A61V;PBX3:ENST00000342287.9_3:exon3:c.C407T:p.A136V,PBX3:ENST00000373487.8_1:exon3:c.C407T:p.A136V,PBX3:ENST00000373489.10_8:exon3:c.C407T:p.A136V,PBX3:ENST00000447726.6_1:exon3:c.C182T:p.A61V</t>
        </is>
      </c>
      <c r="Q1046" t="n">
        <v>0.016304</v>
      </c>
      <c r="R1046" t="n">
        <v>0.0074</v>
      </c>
      <c r="S1046" t="n">
        <v>0.0072</v>
      </c>
      <c r="T1046" t="n">
        <v>-1</v>
      </c>
      <c r="U1046" t="n">
        <v>0.008200000000000001</v>
      </c>
      <c r="V1046" t="inlineStr">
        <is>
          <t>7/10</t>
        </is>
      </c>
      <c r="W1046" t="inlineStr">
        <is>
          <t>.</t>
        </is>
      </c>
      <c r="X1046" t="inlineStr">
        <is>
          <t>.</t>
        </is>
      </c>
      <c r="Y1046" t="inlineStr">
        <is>
          <t>.</t>
        </is>
      </c>
      <c r="Z1046" t="inlineStr">
        <is>
          <t>4/7</t>
        </is>
      </c>
      <c r="AA1046" t="inlineStr">
        <is>
          <t>Uncertain significance</t>
        </is>
      </c>
      <c r="AB1046" t="inlineStr">
        <is>
          <t>.</t>
        </is>
      </c>
      <c r="AC1046" t="inlineStr">
        <is>
          <t>HOMO</t>
        </is>
      </c>
      <c r="AD1046" t="inlineStr">
        <is>
          <t>1</t>
        </is>
      </c>
      <c r="AE1046" t="inlineStr">
        <is>
          <t>0.592665483652486</t>
        </is>
      </c>
      <c r="AF1046" t="inlineStr">
        <is>
          <t>pre-B-cell leukemia homeobox 3</t>
        </is>
      </c>
      <c r="AG1046" t="inlineStr">
        <is>
          <t xml:space="preserve">FUNCTION: Transcriptional activator that binds the sequence 5'- ATCAATCAA-3'.; </t>
        </is>
      </c>
      <c r="AH1046" t="inlineStr">
        <is>
          <t>.</t>
        </is>
      </c>
      <c r="AI1046" t="inlineStr">
        <is>
          <t>.</t>
        </is>
      </c>
      <c r="AJ1046" t="inlineStr">
        <is>
          <t>.</t>
        </is>
      </c>
      <c r="AK1046" t="inlineStr">
        <is>
          <t>.</t>
        </is>
      </c>
      <c r="AL1046" t="inlineStr">
        <is>
          <t>.</t>
        </is>
      </c>
    </row>
    <row r="1047">
      <c r="A1047" t="inlineStr"/>
      <c r="B1047">
        <f>HYPERLINK("https://genome.ucsc.edu/cgi-bin/hgTracks?db=hg19&amp;position=chr9%3A130255341%2D130255341", "chr9:130255341")</f>
        <v/>
      </c>
      <c r="C1047" t="inlineStr">
        <is>
          <t>chr9</t>
        </is>
      </c>
      <c r="D1047" t="n">
        <v>130255341</v>
      </c>
      <c r="E1047" t="n">
        <v>130255341</v>
      </c>
      <c r="F1047" t="inlineStr">
        <is>
          <t>T</t>
        </is>
      </c>
      <c r="G1047" t="inlineStr">
        <is>
          <t>-</t>
        </is>
      </c>
      <c r="H1047" t="inlineStr">
        <is>
          <t>32.60</t>
        </is>
      </c>
      <c r="I1047" t="inlineStr">
        <is>
          <t>8</t>
        </is>
      </c>
      <c r="J1047" t="inlineStr">
        <is>
          <t>6,2</t>
        </is>
      </c>
      <c r="K1047" t="inlineStr">
        <is>
          <t>.</t>
        </is>
      </c>
      <c r="L1047" t="inlineStr">
        <is>
          <t>.</t>
        </is>
      </c>
      <c r="M1047">
        <f>HYPERLINK("https://www.genecards.org/Search/Keyword?queryString=%5Baliases%5D(%20AX747547%20)%20OR%20%5Baliases%5D(%20LRSAM1%20)&amp;keywords=AX747547,LRSAM1", "AX747547;LRSAM1")</f>
        <v/>
      </c>
      <c r="N1047" t="inlineStr">
        <is>
          <t>intronic;ncRNA_exonic</t>
        </is>
      </c>
      <c r="O1047" t="inlineStr">
        <is>
          <t>.</t>
        </is>
      </c>
      <c r="P1047" t="inlineStr">
        <is>
          <t>.</t>
        </is>
      </c>
      <c r="Q1047" t="n">
        <v>-1</v>
      </c>
      <c r="R1047" t="n">
        <v>-1</v>
      </c>
      <c r="S1047" t="n">
        <v>-1</v>
      </c>
      <c r="T1047" t="n">
        <v>-1</v>
      </c>
      <c r="U1047" t="n">
        <v>-1</v>
      </c>
      <c r="V1047" t="inlineStr">
        <is>
          <t>.</t>
        </is>
      </c>
      <c r="W1047" t="inlineStr">
        <is>
          <t>.</t>
        </is>
      </c>
      <c r="X1047" t="inlineStr">
        <is>
          <t>.</t>
        </is>
      </c>
      <c r="Y1047" t="inlineStr">
        <is>
          <t>.</t>
        </is>
      </c>
      <c r="Z1047" t="inlineStr">
        <is>
          <t>.</t>
        </is>
      </c>
      <c r="AA1047" t="inlineStr">
        <is>
          <t>.</t>
        </is>
      </c>
      <c r="AB1047" t="inlineStr">
        <is>
          <t>.</t>
        </is>
      </c>
      <c r="AC1047" t="inlineStr">
        <is>
          <t>0/1</t>
        </is>
      </c>
      <c r="AD1047" t="inlineStr">
        <is>
          <t>1;1</t>
        </is>
      </c>
      <c r="AE1047" t="inlineStr">
        <is>
          <t>2.92723845718058e-05</t>
        </is>
      </c>
      <c r="AF1047" t="inlineStr">
        <is>
          <t>leucine rich repeat and sterile alpha motif containing 1</t>
        </is>
      </c>
      <c r="AG1047" t="inlineStr">
        <is>
          <t xml:space="preserve">FUNCTION: E3 ubiquitin-protein ligase that mediates monoubiquitination of TSG101 at multiple sites, leading to inactivate the ability of TSG101 to sort endocytic (EGF receptors) and exocytic (HIV-1 viral proteins) cargos (PubMed:15256501). Bacterial recognition protein that defends the cytoplasm from invasive pathogens (PubMed:23245322). Localizes to several intracellular bacterial pathogens and generates the bacteria- associated ubiquitin signal leading to autophagy-mediated intracellular bacteria degradation (xenophagy) (PubMed:23245322, PubMed:25484098). {ECO:0000269|PubMed:15256501, ECO:0000269|PubMed:23245322, ECO:0000269|PubMed:25484098}.; </t>
        </is>
      </c>
      <c r="AH1047" t="inlineStr">
        <is>
          <t xml:space="preserve">DISEASE: Charcot-Marie-Tooth disease 2P (CMT2P) [MIM:614436]: An axonal form of Charcot-Marie-Tooth disease, a disorder of the peripheral nervous system, characterized by progressive weakness and atrophy, initially of the peroneal muscles and later of the distal muscles of the arms. Charcot-Marie-Tooth disease is classified in two main groups on the basis of electrophysiologic properties and histopathology: primary peripheral demyelinating neuropathies (designated CMT1 when they are dominantly inherited) and primary peripheral axonal neuropathies (CMT2). Neuropathies of the CMT2 group are characterized by signs of axonal degeneration in the absence of obvious myelin alterations, normal or slightly reduced nerve conduction velocities, and progressive distal muscle weakness and atrophy. Nerve conduction velocities are normal or slightly reduced. {ECO:0000269|PubMed:20865121, ECO:0000269|PubMed:22012984}. Note=The disease is caused by mutations affecting the gene represented in this entry.; </t>
        </is>
      </c>
      <c r="AI1047" t="inlineStr">
        <is>
          <t>.</t>
        </is>
      </c>
      <c r="AJ1047" t="inlineStr">
        <is>
          <t>.</t>
        </is>
      </c>
      <c r="AK1047" t="inlineStr">
        <is>
          <t>.</t>
        </is>
      </c>
      <c r="AL1047" t="inlineStr">
        <is>
          <t>.</t>
        </is>
      </c>
    </row>
    <row r="1048">
      <c r="A1048" t="inlineStr"/>
      <c r="B1048">
        <f>HYPERLINK("https://genome.ucsc.edu/cgi-bin/hgTracks?db=hg19&amp;position=chr9%3A131302003%2D131302003", "chr9:131302003")</f>
        <v/>
      </c>
      <c r="C1048" t="inlineStr">
        <is>
          <t>chr9</t>
        </is>
      </c>
      <c r="D1048" t="n">
        <v>131302003</v>
      </c>
      <c r="E1048" t="n">
        <v>131302003</v>
      </c>
      <c r="F1048" t="inlineStr">
        <is>
          <t>-</t>
        </is>
      </c>
      <c r="G1048" t="inlineStr">
        <is>
          <t>G</t>
        </is>
      </c>
      <c r="H1048" t="inlineStr">
        <is>
          <t>2265.03</t>
        </is>
      </c>
      <c r="I1048" t="inlineStr">
        <is>
          <t>70</t>
        </is>
      </c>
      <c r="J1048" t="inlineStr">
        <is>
          <t>0,70</t>
        </is>
      </c>
      <c r="K1048" t="inlineStr">
        <is>
          <t>.</t>
        </is>
      </c>
      <c r="L1048" t="inlineStr">
        <is>
          <t>.</t>
        </is>
      </c>
      <c r="M1048">
        <f>HYPERLINK("https://www.genecards.org/Search/Keyword?queryString=%5Baliases%5D(%20GLE1%20)%20OR%20%5Baliases%5D(%20MIR1268A%20)&amp;keywords=GLE1,MIR1268A", "GLE1;MIR1268A")</f>
        <v/>
      </c>
      <c r="N1048" t="inlineStr">
        <is>
          <t>UTR3;ncRNA_exonic;ncRNA_intronic</t>
        </is>
      </c>
      <c r="O1048" t="inlineStr">
        <is>
          <t>.</t>
        </is>
      </c>
      <c r="P1048" t="inlineStr">
        <is>
          <t>uc004bvi.3:c.*10_*11insG</t>
        </is>
      </c>
      <c r="Q1048" t="n">
        <v>-1</v>
      </c>
      <c r="R1048" t="n">
        <v>-1</v>
      </c>
      <c r="S1048" t="n">
        <v>-1</v>
      </c>
      <c r="T1048" t="n">
        <v>-1</v>
      </c>
      <c r="U1048" t="n">
        <v>-1</v>
      </c>
      <c r="V1048" t="inlineStr">
        <is>
          <t>.</t>
        </is>
      </c>
      <c r="W1048" t="inlineStr">
        <is>
          <t>.</t>
        </is>
      </c>
      <c r="X1048" t="inlineStr">
        <is>
          <t>.</t>
        </is>
      </c>
      <c r="Y1048" t="inlineStr">
        <is>
          <t>.</t>
        </is>
      </c>
      <c r="Z1048" t="inlineStr">
        <is>
          <t>.</t>
        </is>
      </c>
      <c r="AA1048" t="inlineStr">
        <is>
          <t>.</t>
        </is>
      </c>
      <c r="AB1048" t="inlineStr">
        <is>
          <t>.</t>
        </is>
      </c>
      <c r="AC1048" t="inlineStr">
        <is>
          <t>HOMO</t>
        </is>
      </c>
      <c r="AD1048" t="inlineStr">
        <is>
          <t>1;6</t>
        </is>
      </c>
      <c r="AE1048" t="inlineStr">
        <is>
          <t>1.53824816142355e-05</t>
        </is>
      </c>
      <c r="AF1048" t="inlineStr">
        <is>
          <t>GLE1, RNA export mediator;microRNA 1268a</t>
        </is>
      </c>
      <c r="AG1048" t="inlineStr">
        <is>
          <t xml:space="preserve">FUNCTION: Required for the export of mRNAs containing poly(A) tails from the nucleus into the cytoplasm. May be involved in the terminal step of the mRNA transport through the nuclear pore complex (NPC). {ECO:0000269|PubMed:12668658, ECO:0000269|PubMed:16000379, ECO:0000269|PubMed:9618489}.; </t>
        </is>
      </c>
      <c r="AH1048" t="inlineStr">
        <is>
          <t xml:space="preserve">DISEASE: Lethal congenital contracture syndrome 1 (LCCS1) [MIM:253310]: A form of lethal congenital contracture syndrome, an autosomal recessive disorder characterized by degeneration of anterior horn neurons, extreme skeletal muscle atrophy, and congenital non-progressive joint contractures (arthrogryposis). The contractures can involve the upper or lower limbs and/or the vertebral column, leading to various degrees of flexion or extension limitations evident at birth. LCCS1 patients manifest early fetal hydrops and akinesia, micrognathia, pulmonary hypoplasia, pterygia, and multiple joint contractures. It leads to prenatal death. {ECO:0000269|PubMed:18204449}. Note=The disease is caused by mutations affecting the gene represented in this entry.; DISEASE: Lethal arthrogryposis with anterior horn cell disease (LAAHD) [MIM:611890]: A disorder characterized by fetal akinesia, arthrogryposis and motor neuron loss. The fetus often survives delivery, but dies early as a result of respiratory failure. Neuropathological findings resemble those of lethal congenital contracture syndrome type 1, but are less severe. {ECO:0000269|PubMed:18204449}. Note=The disease is caused by mutations affecting the gene represented in this entry.; </t>
        </is>
      </c>
      <c r="AI1048" t="inlineStr">
        <is>
          <t>.</t>
        </is>
      </c>
      <c r="AJ1048" t="inlineStr">
        <is>
          <t>.</t>
        </is>
      </c>
      <c r="AK1048" t="inlineStr">
        <is>
          <t>.</t>
        </is>
      </c>
      <c r="AL1048" t="inlineStr">
        <is>
          <t>.</t>
        </is>
      </c>
    </row>
    <row r="1049">
      <c r="A1049" t="inlineStr"/>
      <c r="B1049">
        <f>HYPERLINK("https://genome.ucsc.edu/cgi-bin/hgTracks?db=hg19&amp;position=chr9%3A131354179%2D131354179", "chr9:131354179")</f>
        <v/>
      </c>
      <c r="C1049" t="inlineStr">
        <is>
          <t>chr9</t>
        </is>
      </c>
      <c r="D1049" t="n">
        <v>131354179</v>
      </c>
      <c r="E1049" t="n">
        <v>131354179</v>
      </c>
      <c r="F1049" t="inlineStr">
        <is>
          <t>C</t>
        </is>
      </c>
      <c r="G1049" t="inlineStr">
        <is>
          <t>A</t>
        </is>
      </c>
      <c r="H1049" t="inlineStr">
        <is>
          <t>37.64</t>
        </is>
      </c>
      <c r="I1049" t="inlineStr">
        <is>
          <t>10</t>
        </is>
      </c>
      <c r="J1049" t="inlineStr">
        <is>
          <t>8,2</t>
        </is>
      </c>
      <c r="K1049" t="inlineStr">
        <is>
          <t>.</t>
        </is>
      </c>
      <c r="L1049" t="inlineStr">
        <is>
          <t>.</t>
        </is>
      </c>
      <c r="M1049">
        <f>HYPERLINK("https://www.genecards.org/Search/Keyword?queryString=%5Baliases%5D(%20MIR1268A%20)%20OR%20%5Baliases%5D(%20SPTAN1%20)&amp;keywords=MIR1268A,SPTAN1", "MIR1268A;SPTAN1")</f>
        <v/>
      </c>
      <c r="N1049" t="inlineStr">
        <is>
          <t>intronic;ncRNA_intronic</t>
        </is>
      </c>
      <c r="O1049" t="inlineStr">
        <is>
          <t>.</t>
        </is>
      </c>
      <c r="P1049" t="inlineStr">
        <is>
          <t>.</t>
        </is>
      </c>
      <c r="Q1049" t="n">
        <v>-1</v>
      </c>
      <c r="R1049" t="n">
        <v>-1</v>
      </c>
      <c r="S1049" t="n">
        <v>-1</v>
      </c>
      <c r="T1049" t="n">
        <v>-1</v>
      </c>
      <c r="U1049" t="n">
        <v>-1</v>
      </c>
      <c r="V1049" t="inlineStr">
        <is>
          <t>.</t>
        </is>
      </c>
      <c r="W1049" t="inlineStr">
        <is>
          <t>.</t>
        </is>
      </c>
      <c r="X1049" t="inlineStr">
        <is>
          <t>B</t>
        </is>
      </c>
      <c r="Y1049" t="inlineStr">
        <is>
          <t>off</t>
        </is>
      </c>
      <c r="Z1049" t="inlineStr">
        <is>
          <t>.</t>
        </is>
      </c>
      <c r="AA1049" t="inlineStr">
        <is>
          <t>.</t>
        </is>
      </c>
      <c r="AB1049" t="inlineStr">
        <is>
          <t>.</t>
        </is>
      </c>
      <c r="AC1049" t="inlineStr">
        <is>
          <t>0/1</t>
        </is>
      </c>
      <c r="AD1049" t="inlineStr">
        <is>
          <t>6;2</t>
        </is>
      </c>
      <c r="AE1049" t="inlineStr">
        <is>
          <t>0.999999999999786</t>
        </is>
      </c>
      <c r="AF1049" t="inlineStr">
        <is>
          <t>microRNA 1268a;spectrin alpha, non-erythrocytic 1</t>
        </is>
      </c>
      <c r="AG1049" t="inlineStr">
        <is>
          <t xml:space="preserve">FUNCTION: Fodrin, which seems to be involved in secretion, interacts with calmodulin in a calcium-dependent manner and is thus candidate for the calcium-dependent movement of the cytoskeleton at the membrane.; </t>
        </is>
      </c>
      <c r="AH1049" t="inlineStr">
        <is>
          <t xml:space="preserve">DISEASE: Epileptic encephalopathy, early infantile, 5 (EIEE5) [MIM:613477]: A disorder characterized by seizures associated with hypsarrhythmia, profound mental retardation with lack of visual attention and speech development, as well as spastic quadriplegia. {ECO:0000269|PubMed:20493457}. Note=The disease is caused by mutations affecting the gene represented in this entry.; </t>
        </is>
      </c>
      <c r="AI1049" t="inlineStr">
        <is>
          <t>.</t>
        </is>
      </c>
      <c r="AJ1049" t="inlineStr">
        <is>
          <t>.</t>
        </is>
      </c>
      <c r="AK1049" t="inlineStr">
        <is>
          <t>.</t>
        </is>
      </c>
      <c r="AL1049" t="inlineStr">
        <is>
          <t>.</t>
        </is>
      </c>
    </row>
    <row r="1050">
      <c r="A1050" t="inlineStr"/>
      <c r="B1050">
        <f>HYPERLINK("https://genome.ucsc.edu/cgi-bin/hgTracks?db=hg19&amp;position=chr9%3A131362640%2D131362640", "chr9:131362640")</f>
        <v/>
      </c>
      <c r="C1050" t="inlineStr">
        <is>
          <t>chr9</t>
        </is>
      </c>
      <c r="D1050" t="n">
        <v>131362640</v>
      </c>
      <c r="E1050" t="n">
        <v>131362640</v>
      </c>
      <c r="F1050" t="inlineStr">
        <is>
          <t>C</t>
        </is>
      </c>
      <c r="G1050" t="inlineStr">
        <is>
          <t>G</t>
        </is>
      </c>
      <c r="H1050" t="inlineStr">
        <is>
          <t>124.64</t>
        </is>
      </c>
      <c r="I1050" t="inlineStr">
        <is>
          <t>7</t>
        </is>
      </c>
      <c r="J1050" t="inlineStr">
        <is>
          <t>3,4</t>
        </is>
      </c>
      <c r="K1050" t="inlineStr">
        <is>
          <t>.</t>
        </is>
      </c>
      <c r="L1050" t="inlineStr">
        <is>
          <t>.</t>
        </is>
      </c>
      <c r="M1050">
        <f>HYPERLINK("https://www.genecards.org/Search/Keyword?queryString=%5Baliases%5D(%20MIR1268A%20)%20OR%20%5Baliases%5D(%20SPTAN1%20)&amp;keywords=MIR1268A,SPTAN1", "MIR1268A;SPTAN1")</f>
        <v/>
      </c>
      <c r="N1050" t="inlineStr">
        <is>
          <t>intronic;ncRNA_intronic</t>
        </is>
      </c>
      <c r="O1050" t="inlineStr">
        <is>
          <t>.</t>
        </is>
      </c>
      <c r="P1050" t="inlineStr">
        <is>
          <t>.</t>
        </is>
      </c>
      <c r="Q1050" t="n">
        <v>-1</v>
      </c>
      <c r="R1050" t="n">
        <v>-1</v>
      </c>
      <c r="S1050" t="n">
        <v>-1</v>
      </c>
      <c r="T1050" t="n">
        <v>-1</v>
      </c>
      <c r="U1050" t="n">
        <v>-1</v>
      </c>
      <c r="V1050" t="inlineStr">
        <is>
          <t>.</t>
        </is>
      </c>
      <c r="W1050" t="inlineStr">
        <is>
          <t>.</t>
        </is>
      </c>
      <c r="X1050" t="inlineStr">
        <is>
          <t>B</t>
        </is>
      </c>
      <c r="Y1050" t="inlineStr">
        <is>
          <t>off</t>
        </is>
      </c>
      <c r="Z1050" t="inlineStr">
        <is>
          <t>.</t>
        </is>
      </c>
      <c r="AA1050" t="inlineStr">
        <is>
          <t>.</t>
        </is>
      </c>
      <c r="AB1050" t="inlineStr">
        <is>
          <t>.</t>
        </is>
      </c>
      <c r="AC1050" t="inlineStr">
        <is>
          <t>0/1</t>
        </is>
      </c>
      <c r="AD1050" t="inlineStr">
        <is>
          <t>6;2</t>
        </is>
      </c>
      <c r="AE1050" t="inlineStr">
        <is>
          <t>0.999999999999786</t>
        </is>
      </c>
      <c r="AF1050" t="inlineStr">
        <is>
          <t>microRNA 1268a;spectrin alpha, non-erythrocytic 1</t>
        </is>
      </c>
      <c r="AG1050" t="inlineStr">
        <is>
          <t xml:space="preserve">FUNCTION: Fodrin, which seems to be involved in secretion, interacts with calmodulin in a calcium-dependent manner and is thus candidate for the calcium-dependent movement of the cytoskeleton at the membrane.; </t>
        </is>
      </c>
      <c r="AH1050" t="inlineStr">
        <is>
          <t xml:space="preserve">DISEASE: Epileptic encephalopathy, early infantile, 5 (EIEE5) [MIM:613477]: A disorder characterized by seizures associated with hypsarrhythmia, profound mental retardation with lack of visual attention and speech development, as well as spastic quadriplegia. {ECO:0000269|PubMed:20493457}. Note=The disease is caused by mutations affecting the gene represented in this entry.; </t>
        </is>
      </c>
      <c r="AI1050" t="inlineStr">
        <is>
          <t>.</t>
        </is>
      </c>
      <c r="AJ1050" t="inlineStr">
        <is>
          <t>.</t>
        </is>
      </c>
      <c r="AK1050" t="inlineStr">
        <is>
          <t>.</t>
        </is>
      </c>
      <c r="AL1050" t="inlineStr">
        <is>
          <t>.</t>
        </is>
      </c>
    </row>
    <row r="1051">
      <c r="A1051" t="inlineStr"/>
      <c r="B1051">
        <f>HYPERLINK("https://genome.ucsc.edu/cgi-bin/hgTracks?db=hg19&amp;position=chr9%3A131708816%2D131708816", "chr9:131708816")</f>
        <v/>
      </c>
      <c r="C1051" t="inlineStr">
        <is>
          <t>chr9</t>
        </is>
      </c>
      <c r="D1051" t="n">
        <v>131708816</v>
      </c>
      <c r="E1051" t="n">
        <v>131708816</v>
      </c>
      <c r="F1051" t="inlineStr">
        <is>
          <t>G</t>
        </is>
      </c>
      <c r="G1051" t="inlineStr">
        <is>
          <t>A</t>
        </is>
      </c>
      <c r="H1051" t="inlineStr">
        <is>
          <t>2590.06</t>
        </is>
      </c>
      <c r="I1051" t="inlineStr">
        <is>
          <t>81</t>
        </is>
      </c>
      <c r="J1051" t="inlineStr">
        <is>
          <t>0,81</t>
        </is>
      </c>
      <c r="K1051" t="inlineStr">
        <is>
          <t>.</t>
        </is>
      </c>
      <c r="L1051" t="inlineStr">
        <is>
          <t>.</t>
        </is>
      </c>
      <c r="M1051">
        <f>HYPERLINK("https://www.genecards.org/Search/Keyword?queryString=%5Baliases%5D(%20DOLK%20)&amp;keywords=DOLK", "DOLK")</f>
        <v/>
      </c>
      <c r="N1051" t="inlineStr">
        <is>
          <t>exonic</t>
        </is>
      </c>
      <c r="O1051" t="inlineStr">
        <is>
          <t>nonsynonymous SNV</t>
        </is>
      </c>
      <c r="P1051" t="inlineStr">
        <is>
          <t>DOLK:NM_014908:exon1:c.C767T:p.S256F;DOLK:uc004bwr.3:exon1:c.C767T:p.S256F;DOLK:ENST00000372586.4_4:exon1:c.C767T:p.S256F</t>
        </is>
      </c>
      <c r="Q1051" t="n">
        <v>-1</v>
      </c>
      <c r="R1051" t="n">
        <v>-1</v>
      </c>
      <c r="S1051" t="n">
        <v>-1</v>
      </c>
      <c r="T1051" t="n">
        <v>-1</v>
      </c>
      <c r="U1051" t="n">
        <v>-1</v>
      </c>
      <c r="V1051" t="inlineStr">
        <is>
          <t>8/12</t>
        </is>
      </c>
      <c r="W1051" t="inlineStr">
        <is>
          <t>.</t>
        </is>
      </c>
      <c r="X1051" t="inlineStr">
        <is>
          <t>.</t>
        </is>
      </c>
      <c r="Y1051" t="inlineStr">
        <is>
          <t>.</t>
        </is>
      </c>
      <c r="Z1051" t="inlineStr">
        <is>
          <t>5/7</t>
        </is>
      </c>
      <c r="AA1051" t="inlineStr">
        <is>
          <t>Uncertain significance</t>
        </is>
      </c>
      <c r="AB1051" t="inlineStr">
        <is>
          <t>Uncertain_significance</t>
        </is>
      </c>
      <c r="AC1051" t="inlineStr">
        <is>
          <t>HOMO</t>
        </is>
      </c>
      <c r="AD1051" t="inlineStr">
        <is>
          <t>1</t>
        </is>
      </c>
      <c r="AE1051" t="inlineStr">
        <is>
          <t>0.0576024421193242</t>
        </is>
      </c>
      <c r="AF1051" t="inlineStr">
        <is>
          <t>dolichol kinase</t>
        </is>
      </c>
      <c r="AG1051" t="inlineStr">
        <is>
          <t xml:space="preserve">FUNCTION: Involved in the synthesis of the sugar donor Dol-P-Man which is required in the synthesis of N-linked and O-linked oligosaccharides and for that of GPI anchors. {ECO:0000250}.; </t>
        </is>
      </c>
      <c r="AH1051" t="inlineStr">
        <is>
          <t>.</t>
        </is>
      </c>
      <c r="AI1051" t="inlineStr">
        <is>
          <t>.</t>
        </is>
      </c>
      <c r="AJ1051" t="inlineStr">
        <is>
          <t>.</t>
        </is>
      </c>
      <c r="AK1051" t="inlineStr">
        <is>
          <t>.</t>
        </is>
      </c>
      <c r="AL1051" t="inlineStr">
        <is>
          <t>.</t>
        </is>
      </c>
    </row>
    <row r="1052">
      <c r="A1052" t="inlineStr"/>
      <c r="B1052">
        <f>HYPERLINK("https://genome.ucsc.edu/cgi-bin/hgTracks?db=hg19&amp;position=chr9%3A133739162%2D133739162", "chr9:133739162")</f>
        <v/>
      </c>
      <c r="C1052" t="inlineStr">
        <is>
          <t>chr9</t>
        </is>
      </c>
      <c r="D1052" t="n">
        <v>133739162</v>
      </c>
      <c r="E1052" t="n">
        <v>133739162</v>
      </c>
      <c r="F1052" t="inlineStr">
        <is>
          <t>C</t>
        </is>
      </c>
      <c r="G1052" t="inlineStr">
        <is>
          <t>T</t>
        </is>
      </c>
      <c r="H1052" t="inlineStr">
        <is>
          <t>193.64</t>
        </is>
      </c>
      <c r="I1052" t="inlineStr">
        <is>
          <t>23</t>
        </is>
      </c>
      <c r="J1052" t="inlineStr">
        <is>
          <t>17,6</t>
        </is>
      </c>
      <c r="K1052" t="inlineStr">
        <is>
          <t>.</t>
        </is>
      </c>
      <c r="L1052" t="inlineStr">
        <is>
          <t>.</t>
        </is>
      </c>
      <c r="M1052">
        <f>HYPERLINK("https://www.genecards.org/Search/Keyword?queryString=%5Baliases%5D(%20ABL1%20)%20OR%20%5Baliases%5D(%20AX748265%20)&amp;keywords=ABL1,AX748265", "ABL1;AX748265")</f>
        <v/>
      </c>
      <c r="N1052" t="inlineStr">
        <is>
          <t>intronic;ncRNA_exonic</t>
        </is>
      </c>
      <c r="O1052" t="inlineStr">
        <is>
          <t>.</t>
        </is>
      </c>
      <c r="P1052" t="inlineStr">
        <is>
          <t>.</t>
        </is>
      </c>
      <c r="Q1052" t="n">
        <v>-1</v>
      </c>
      <c r="R1052" t="n">
        <v>-1</v>
      </c>
      <c r="S1052" t="n">
        <v>-1</v>
      </c>
      <c r="T1052" t="n">
        <v>-1</v>
      </c>
      <c r="U1052" t="n">
        <v>-1</v>
      </c>
      <c r="V1052" t="inlineStr">
        <is>
          <t>.</t>
        </is>
      </c>
      <c r="W1052" t="inlineStr">
        <is>
          <t>.</t>
        </is>
      </c>
      <c r="X1052" t="inlineStr">
        <is>
          <t>.</t>
        </is>
      </c>
      <c r="Y1052" t="inlineStr">
        <is>
          <t>.</t>
        </is>
      </c>
      <c r="Z1052" t="inlineStr">
        <is>
          <t>.</t>
        </is>
      </c>
      <c r="AA1052" t="inlineStr">
        <is>
          <t>.</t>
        </is>
      </c>
      <c r="AB1052" t="inlineStr">
        <is>
          <t>.</t>
        </is>
      </c>
      <c r="AC1052" t="inlineStr">
        <is>
          <t>.</t>
        </is>
      </c>
      <c r="AD1052" t="inlineStr">
        <is>
          <t>3;3</t>
        </is>
      </c>
      <c r="AE1052" t="inlineStr">
        <is>
          <t>0.999882701417156</t>
        </is>
      </c>
      <c r="AF1052" t="inlineStr">
        <is>
          <t>ABL proto-oncogene 1, non-receptor tyrosine kinase</t>
        </is>
      </c>
      <c r="AG1052" t="inlineStr">
        <is>
          <t xml:space="preserve">FUNCTION: Non-receptor tyrosine-protein kinase that plays a role in many key processes linked to cell growth and survival such as cytoskeleton remodeling in response to extracellular stimuli, cell motility and adhesion, receptor endocytosis, autophagy, DNA damage response and apoptosis. Coordinates actin remodeling through tyrosine phosphorylation of proteins controlling cytoskeleton dynamics like WASF3 (involved in branch formation); ANXA1 (involved in membrane anchoring); DBN1, DBNL, CTTN, RAPH1 and ENAH (involved in signaling); or MAPT and PXN (microtubule-binding proteins). Phosphorylation of WASF3 is critical for the stimulation of lamellipodia formation and cell migration. Involved in the regulation of cell adhesion and motility through phosphorylation of key regulators of these processes such as BCAR1, CRK, CRKL, DOK1, EFS or NEDD9. Phosphorylates multiple receptor tyrosine kinases and more particularly promotes endocytosis of EGFR, facilitates the formation of neuromuscular synapses through MUSK, inhibits PDGFRB-mediated chemotaxis and modulates the endocytosis of activated B-cell receptor complexes. Other substrates which are involved in endocytosis regulation are the caveolin (CAV1) and RIN1. Moreover, ABL1 regulates the CBL family of ubiquitin ligases that drive receptor down-regulation and actin remodeling. Phosphorylation of CBL leads to increased EGFR stability. Involved in late-stage autophagy by regulating positively the trafficking and function of lysosomal components. ABL1 targets to mitochondria in response to oxidative stress and thereby mediates mitochondrial dysfunction and cell death. ABL1 is also translocated in the nucleus where it has DNA-binding activity and is involved in DNA-damage response and apoptosis. Many substrates are known mediators of DNA repair: DDB1, DDB2, ERCC3, ERCC6, RAD9A, RAD51, RAD52 or WRN. Activates the proapoptotic pathway when the DNA damage is too severe to be repaired. Phosphorylates TP73, a primary regulator for this type of damage- induced apoptosis. Phosphorylates the caspase CASP9 on 'Tyr-153' and regulates its processing in the apoptotic response to DNA damage. Phosphorylates PSMA7 that leads to an inhibition of proteasomal activity and cell cycle transition blocks. ABL1 acts also as a regulator of multiple pathological signaling cascades during infection. Several known tyrosine-phosphorylated microbial proteins have been identified as ABL1 substrates. This is the case of A36R of Vaccinia virus, Tir (translocated intimin receptor) of pathogenic E.coli and possibly Citrobacter, CagA (cytotoxin- associated gene A) of H.pylori, or AnkA (ankyrin repeat-containing protein A) of A.phagocytophilum. Pathogens can highjack ABL1 kinase signaling to reorganize the host actin cytoskeleton for multiple purposes, like facilitating intracellular movement and host cell exit. Finally, functions as its own regulator through autocatalytic activity as well as through phosphorylation of its inhibitor, ABI1. {ECO:0000269|PubMed:10391250, ECO:0000269|PubMed:11971963, ECO:0000269|PubMed:12379650, ECO:0000269|PubMed:12531427, ECO:0000269|PubMed:12672821, ECO:0000269|PubMed:15031292, ECO:0000269|PubMed:15556646, ECO:0000269|PubMed:15657060, ECO:0000269|PubMed:15886098, ECO:0000269|PubMed:16424036, ECO:0000269|PubMed:16678104, ECO:0000269|PubMed:16943190, ECO:0000269|PubMed:17306540, ECO:0000269|PubMed:17623672, ECO:0000269|PubMed:18328268, ECO:0000269|PubMed:18945674, ECO:0000269|PubMed:19891780, ECO:0000269|PubMed:20357770, ECO:0000269|PubMed:20417104, ECO:0000269|PubMed:9037071, ECO:0000269|PubMed:9144171, ECO:0000269|PubMed:9461559}.; </t>
        </is>
      </c>
      <c r="AH1052" t="inlineStr">
        <is>
          <t xml:space="preserve">DISEASE: Leukemia, chronic myeloid (CML) [MIM:608232]: A clonal myeloproliferative disorder of a pluripotent stem cell with a specific cytogenetic abnormality, the Philadelphia chromosome (Ph), involving myeloid, erythroid, megakaryocytic, B-lymphoid, and sometimes T-lymphoid cells, but not marrow fibroblasts. Note=The gene represented in this entry is involved in disease pathogenesis.; DISEASE: Note=A chromosomal aberration involving ABL1 has been found in patients with chronic myeloid leukemia. Translocation t(9;22)(q34;q11) with BCR. The translocation produces a BCR-ABL found also in acute myeloid leukemia (AML) and acute lymphoblastic leukemia (ALL).; </t>
        </is>
      </c>
      <c r="AI1052" t="inlineStr">
        <is>
          <t>.</t>
        </is>
      </c>
      <c r="AJ1052" t="inlineStr">
        <is>
          <t>.</t>
        </is>
      </c>
      <c r="AK1052" t="inlineStr">
        <is>
          <t>.</t>
        </is>
      </c>
      <c r="AL1052" t="inlineStr">
        <is>
          <t>.</t>
        </is>
      </c>
    </row>
    <row r="1053">
      <c r="A1053" t="inlineStr"/>
      <c r="B1053">
        <f>HYPERLINK("https://genome.ucsc.edu/cgi-bin/hgTracks?db=hg19&amp;position=chr9%3A133739163%2D133739163", "chr9:133739163")</f>
        <v/>
      </c>
      <c r="C1053" t="inlineStr">
        <is>
          <t>chr9</t>
        </is>
      </c>
      <c r="D1053" t="n">
        <v>133739163</v>
      </c>
      <c r="E1053" t="n">
        <v>133739163</v>
      </c>
      <c r="F1053" t="inlineStr">
        <is>
          <t>C</t>
        </is>
      </c>
      <c r="G1053" t="inlineStr">
        <is>
          <t>T</t>
        </is>
      </c>
      <c r="H1053" t="inlineStr">
        <is>
          <t>193.64</t>
        </is>
      </c>
      <c r="I1053" t="inlineStr">
        <is>
          <t>23</t>
        </is>
      </c>
      <c r="J1053" t="inlineStr">
        <is>
          <t>17,6</t>
        </is>
      </c>
      <c r="K1053" t="inlineStr">
        <is>
          <t>.</t>
        </is>
      </c>
      <c r="L1053" t="inlineStr">
        <is>
          <t>.</t>
        </is>
      </c>
      <c r="M1053">
        <f>HYPERLINK("https://www.genecards.org/Search/Keyword?queryString=%5Baliases%5D(%20ABL1%20)%20OR%20%5Baliases%5D(%20AX748265%20)&amp;keywords=ABL1,AX748265", "ABL1;AX748265")</f>
        <v/>
      </c>
      <c r="N1053" t="inlineStr">
        <is>
          <t>intronic;ncRNA_exonic</t>
        </is>
      </c>
      <c r="O1053" t="inlineStr">
        <is>
          <t>.</t>
        </is>
      </c>
      <c r="P1053" t="inlineStr">
        <is>
          <t>.</t>
        </is>
      </c>
      <c r="Q1053" t="n">
        <v>-1</v>
      </c>
      <c r="R1053" t="n">
        <v>-1</v>
      </c>
      <c r="S1053" t="n">
        <v>-1</v>
      </c>
      <c r="T1053" t="n">
        <v>-1</v>
      </c>
      <c r="U1053" t="n">
        <v>-1</v>
      </c>
      <c r="V1053" t="inlineStr">
        <is>
          <t>.</t>
        </is>
      </c>
      <c r="W1053" t="inlineStr">
        <is>
          <t>.</t>
        </is>
      </c>
      <c r="X1053" t="inlineStr">
        <is>
          <t>.</t>
        </is>
      </c>
      <c r="Y1053" t="inlineStr">
        <is>
          <t>.</t>
        </is>
      </c>
      <c r="Z1053" t="inlineStr">
        <is>
          <t>.</t>
        </is>
      </c>
      <c r="AA1053" t="inlineStr">
        <is>
          <t>.</t>
        </is>
      </c>
      <c r="AB1053" t="inlineStr">
        <is>
          <t>.</t>
        </is>
      </c>
      <c r="AC1053" t="inlineStr">
        <is>
          <t>.</t>
        </is>
      </c>
      <c r="AD1053" t="inlineStr">
        <is>
          <t>3;3</t>
        </is>
      </c>
      <c r="AE1053" t="inlineStr">
        <is>
          <t>0.999882701417156</t>
        </is>
      </c>
      <c r="AF1053" t="inlineStr">
        <is>
          <t>ABL proto-oncogene 1, non-receptor tyrosine kinase</t>
        </is>
      </c>
      <c r="AG1053" t="inlineStr">
        <is>
          <t xml:space="preserve">FUNCTION: Non-receptor tyrosine-protein kinase that plays a role in many key processes linked to cell growth and survival such as cytoskeleton remodeling in response to extracellular stimuli, cell motility and adhesion, receptor endocytosis, autophagy, DNA damage response and apoptosis. Coordinates actin remodeling through tyrosine phosphorylation of proteins controlling cytoskeleton dynamics like WASF3 (involved in branch formation); ANXA1 (involved in membrane anchoring); DBN1, DBNL, CTTN, RAPH1 and ENAH (involved in signaling); or MAPT and PXN (microtubule-binding proteins). Phosphorylation of WASF3 is critical for the stimulation of lamellipodia formation and cell migration. Involved in the regulation of cell adhesion and motility through phosphorylation of key regulators of these processes such as BCAR1, CRK, CRKL, DOK1, EFS or NEDD9. Phosphorylates multiple receptor tyrosine kinases and more particularly promotes endocytosis of EGFR, facilitates the formation of neuromuscular synapses through MUSK, inhibits PDGFRB-mediated chemotaxis and modulates the endocytosis of activated B-cell receptor complexes. Other substrates which are involved in endocytosis regulation are the caveolin (CAV1) and RIN1. Moreover, ABL1 regulates the CBL family of ubiquitin ligases that drive receptor down-regulation and actin remodeling. Phosphorylation of CBL leads to increased EGFR stability. Involved in late-stage autophagy by regulating positively the trafficking and function of lysosomal components. ABL1 targets to mitochondria in response to oxidative stress and thereby mediates mitochondrial dysfunction and cell death. ABL1 is also translocated in the nucleus where it has DNA-binding activity and is involved in DNA-damage response and apoptosis. Many substrates are known mediators of DNA repair: DDB1, DDB2, ERCC3, ERCC6, RAD9A, RAD51, RAD52 or WRN. Activates the proapoptotic pathway when the DNA damage is too severe to be repaired. Phosphorylates TP73, a primary regulator for this type of damage- induced apoptosis. Phosphorylates the caspase CASP9 on 'Tyr-153' and regulates its processing in the apoptotic response to DNA damage. Phosphorylates PSMA7 that leads to an inhibition of proteasomal activity and cell cycle transition blocks. ABL1 acts also as a regulator of multiple pathological signaling cascades during infection. Several known tyrosine-phosphorylated microbial proteins have been identified as ABL1 substrates. This is the case of A36R of Vaccinia virus, Tir (translocated intimin receptor) of pathogenic E.coli and possibly Citrobacter, CagA (cytotoxin- associated gene A) of H.pylori, or AnkA (ankyrin repeat-containing protein A) of A.phagocytophilum. Pathogens can highjack ABL1 kinase signaling to reorganize the host actin cytoskeleton for multiple purposes, like facilitating intracellular movement and host cell exit. Finally, functions as its own regulator through autocatalytic activity as well as through phosphorylation of its inhibitor, ABI1. {ECO:0000269|PubMed:10391250, ECO:0000269|PubMed:11971963, ECO:0000269|PubMed:12379650, ECO:0000269|PubMed:12531427, ECO:0000269|PubMed:12672821, ECO:0000269|PubMed:15031292, ECO:0000269|PubMed:15556646, ECO:0000269|PubMed:15657060, ECO:0000269|PubMed:15886098, ECO:0000269|PubMed:16424036, ECO:0000269|PubMed:16678104, ECO:0000269|PubMed:16943190, ECO:0000269|PubMed:17306540, ECO:0000269|PubMed:17623672, ECO:0000269|PubMed:18328268, ECO:0000269|PubMed:18945674, ECO:0000269|PubMed:19891780, ECO:0000269|PubMed:20357770, ECO:0000269|PubMed:20417104, ECO:0000269|PubMed:9037071, ECO:0000269|PubMed:9144171, ECO:0000269|PubMed:9461559}.; </t>
        </is>
      </c>
      <c r="AH1053" t="inlineStr">
        <is>
          <t xml:space="preserve">DISEASE: Leukemia, chronic myeloid (CML) [MIM:608232]: A clonal myeloproliferative disorder of a pluripotent stem cell with a specific cytogenetic abnormality, the Philadelphia chromosome (Ph), involving myeloid, erythroid, megakaryocytic, B-lymphoid, and sometimes T-lymphoid cells, but not marrow fibroblasts. Note=The gene represented in this entry is involved in disease pathogenesis.; DISEASE: Note=A chromosomal aberration involving ABL1 has been found in patients with chronic myeloid leukemia. Translocation t(9;22)(q34;q11) with BCR. The translocation produces a BCR-ABL found also in acute myeloid leukemia (AML) and acute lymphoblastic leukemia (ALL).; </t>
        </is>
      </c>
      <c r="AI1053" t="inlineStr">
        <is>
          <t>.</t>
        </is>
      </c>
      <c r="AJ1053" t="inlineStr">
        <is>
          <t>.</t>
        </is>
      </c>
      <c r="AK1053" t="inlineStr">
        <is>
          <t>.</t>
        </is>
      </c>
      <c r="AL1053" t="inlineStr">
        <is>
          <t>.</t>
        </is>
      </c>
    </row>
    <row r="1054">
      <c r="A1054" t="inlineStr"/>
      <c r="B1054">
        <f>HYPERLINK("https://genome.ucsc.edu/cgi-bin/hgTracks?db=hg19&amp;position=chr9%3A133740546%2D133740546", "chr9:133740546")</f>
        <v/>
      </c>
      <c r="C1054" t="inlineStr">
        <is>
          <t>chr9</t>
        </is>
      </c>
      <c r="D1054" t="n">
        <v>133740546</v>
      </c>
      <c r="E1054" t="n">
        <v>133740546</v>
      </c>
      <c r="F1054" t="inlineStr">
        <is>
          <t>T</t>
        </is>
      </c>
      <c r="G1054" t="inlineStr">
        <is>
          <t>C</t>
        </is>
      </c>
      <c r="H1054" t="inlineStr">
        <is>
          <t>59.64</t>
        </is>
      </c>
      <c r="I1054" t="inlineStr">
        <is>
          <t>6</t>
        </is>
      </c>
      <c r="J1054" t="inlineStr">
        <is>
          <t>4,2</t>
        </is>
      </c>
      <c r="K1054" t="inlineStr">
        <is>
          <t>.</t>
        </is>
      </c>
      <c r="L1054" t="inlineStr">
        <is>
          <t>.</t>
        </is>
      </c>
      <c r="M1054">
        <f>HYPERLINK("https://www.genecards.org/Search/Keyword?queryString=%5Baliases%5D(%20ABL1%20)%20OR%20%5Baliases%5D(%20AX748265%20)&amp;keywords=ABL1,AX748265", "ABL1;AX748265")</f>
        <v/>
      </c>
      <c r="N1054" t="inlineStr">
        <is>
          <t>intronic;ncRNA_exonic</t>
        </is>
      </c>
      <c r="O1054" t="inlineStr">
        <is>
          <t>.</t>
        </is>
      </c>
      <c r="P1054" t="inlineStr">
        <is>
          <t>.</t>
        </is>
      </c>
      <c r="Q1054" t="n">
        <v>-1</v>
      </c>
      <c r="R1054" t="n">
        <v>-1</v>
      </c>
      <c r="S1054" t="n">
        <v>-1</v>
      </c>
      <c r="T1054" t="n">
        <v>-1</v>
      </c>
      <c r="U1054" t="n">
        <v>-1</v>
      </c>
      <c r="V1054" t="inlineStr">
        <is>
          <t>.</t>
        </is>
      </c>
      <c r="W1054" t="inlineStr">
        <is>
          <t>.</t>
        </is>
      </c>
      <c r="X1054" t="inlineStr">
        <is>
          <t>.</t>
        </is>
      </c>
      <c r="Y1054" t="inlineStr">
        <is>
          <t>.</t>
        </is>
      </c>
      <c r="Z1054" t="inlineStr">
        <is>
          <t>.</t>
        </is>
      </c>
      <c r="AA1054" t="inlineStr">
        <is>
          <t>.</t>
        </is>
      </c>
      <c r="AB1054" t="inlineStr">
        <is>
          <t>.</t>
        </is>
      </c>
      <c r="AC1054" t="inlineStr">
        <is>
          <t>0/1</t>
        </is>
      </c>
      <c r="AD1054" t="inlineStr">
        <is>
          <t>3;3</t>
        </is>
      </c>
      <c r="AE1054" t="inlineStr">
        <is>
          <t>0.999882701417156</t>
        </is>
      </c>
      <c r="AF1054" t="inlineStr">
        <is>
          <t>ABL proto-oncogene 1, non-receptor tyrosine kinase</t>
        </is>
      </c>
      <c r="AG1054" t="inlineStr">
        <is>
          <t xml:space="preserve">FUNCTION: Non-receptor tyrosine-protein kinase that plays a role in many key processes linked to cell growth and survival such as cytoskeleton remodeling in response to extracellular stimuli, cell motility and adhesion, receptor endocytosis, autophagy, DNA damage response and apoptosis. Coordinates actin remodeling through tyrosine phosphorylation of proteins controlling cytoskeleton dynamics like WASF3 (involved in branch formation); ANXA1 (involved in membrane anchoring); DBN1, DBNL, CTTN, RAPH1 and ENAH (involved in signaling); or MAPT and PXN (microtubule-binding proteins). Phosphorylation of WASF3 is critical for the stimulation of lamellipodia formation and cell migration. Involved in the regulation of cell adhesion and motility through phosphorylation of key regulators of these processes such as BCAR1, CRK, CRKL, DOK1, EFS or NEDD9. Phosphorylates multiple receptor tyrosine kinases and more particularly promotes endocytosis of EGFR, facilitates the formation of neuromuscular synapses through MUSK, inhibits PDGFRB-mediated chemotaxis and modulates the endocytosis of activated B-cell receptor complexes. Other substrates which are involved in endocytosis regulation are the caveolin (CAV1) and RIN1. Moreover, ABL1 regulates the CBL family of ubiquitin ligases that drive receptor down-regulation and actin remodeling. Phosphorylation of CBL leads to increased EGFR stability. Involved in late-stage autophagy by regulating positively the trafficking and function of lysosomal components. ABL1 targets to mitochondria in response to oxidative stress and thereby mediates mitochondrial dysfunction and cell death. ABL1 is also translocated in the nucleus where it has DNA-binding activity and is involved in DNA-damage response and apoptosis. Many substrates are known mediators of DNA repair: DDB1, DDB2, ERCC3, ERCC6, RAD9A, RAD51, RAD52 or WRN. Activates the proapoptotic pathway when the DNA damage is too severe to be repaired. Phosphorylates TP73, a primary regulator for this type of damage- induced apoptosis. Phosphorylates the caspase CASP9 on 'Tyr-153' and regulates its processing in the apoptotic response to DNA damage. Phosphorylates PSMA7 that leads to an inhibition of proteasomal activity and cell cycle transition blocks. ABL1 acts also as a regulator of multiple pathological signaling cascades during infection. Several known tyrosine-phosphorylated microbial proteins have been identified as ABL1 substrates. This is the case of A36R of Vaccinia virus, Tir (translocated intimin receptor) of pathogenic E.coli and possibly Citrobacter, CagA (cytotoxin- associated gene A) of H.pylori, or AnkA (ankyrin repeat-containing protein A) of A.phagocytophilum. Pathogens can highjack ABL1 kinase signaling to reorganize the host actin cytoskeleton for multiple purposes, like facilitating intracellular movement and host cell exit. Finally, functions as its own regulator through autocatalytic activity as well as through phosphorylation of its inhibitor, ABI1. {ECO:0000269|PubMed:10391250, ECO:0000269|PubMed:11971963, ECO:0000269|PubMed:12379650, ECO:0000269|PubMed:12531427, ECO:0000269|PubMed:12672821, ECO:0000269|PubMed:15031292, ECO:0000269|PubMed:15556646, ECO:0000269|PubMed:15657060, ECO:0000269|PubMed:15886098, ECO:0000269|PubMed:16424036, ECO:0000269|PubMed:16678104, ECO:0000269|PubMed:16943190, ECO:0000269|PubMed:17306540, ECO:0000269|PubMed:17623672, ECO:0000269|PubMed:18328268, ECO:0000269|PubMed:18945674, ECO:0000269|PubMed:19891780, ECO:0000269|PubMed:20357770, ECO:0000269|PubMed:20417104, ECO:0000269|PubMed:9037071, ECO:0000269|PubMed:9144171, ECO:0000269|PubMed:9461559}.; </t>
        </is>
      </c>
      <c r="AH1054" t="inlineStr">
        <is>
          <t xml:space="preserve">DISEASE: Leukemia, chronic myeloid (CML) [MIM:608232]: A clonal myeloproliferative disorder of a pluripotent stem cell with a specific cytogenetic abnormality, the Philadelphia chromosome (Ph), involving myeloid, erythroid, megakaryocytic, B-lymphoid, and sometimes T-lymphoid cells, but not marrow fibroblasts. Note=The gene represented in this entry is involved in disease pathogenesis.; DISEASE: Note=A chromosomal aberration involving ABL1 has been found in patients with chronic myeloid leukemia. Translocation t(9;22)(q34;q11) with BCR. The translocation produces a BCR-ABL found also in acute myeloid leukemia (AML) and acute lymphoblastic leukemia (ALL).; </t>
        </is>
      </c>
      <c r="AI1054" t="inlineStr">
        <is>
          <t>.</t>
        </is>
      </c>
      <c r="AJ1054" t="inlineStr">
        <is>
          <t>.</t>
        </is>
      </c>
      <c r="AK1054" t="inlineStr">
        <is>
          <t>.</t>
        </is>
      </c>
      <c r="AL1054" t="inlineStr">
        <is>
          <t>.</t>
        </is>
      </c>
    </row>
    <row r="1055">
      <c r="A1055" t="inlineStr"/>
      <c r="B1055">
        <f>HYPERLINK("https://genome.ucsc.edu/cgi-bin/hgTracks?db=hg19&amp;position=chr9%3A134012100%2D134012100", "chr9:134012100")</f>
        <v/>
      </c>
      <c r="C1055" t="inlineStr">
        <is>
          <t>chr9</t>
        </is>
      </c>
      <c r="D1055" t="n">
        <v>134012100</v>
      </c>
      <c r="E1055" t="n">
        <v>134012100</v>
      </c>
      <c r="F1055" t="inlineStr">
        <is>
          <t>G</t>
        </is>
      </c>
      <c r="G1055" t="inlineStr">
        <is>
          <t>-</t>
        </is>
      </c>
      <c r="H1055" t="inlineStr">
        <is>
          <t>37.60</t>
        </is>
      </c>
      <c r="I1055" t="inlineStr">
        <is>
          <t>12</t>
        </is>
      </c>
      <c r="J1055" t="inlineStr">
        <is>
          <t>10,2</t>
        </is>
      </c>
      <c r="K1055" t="inlineStr">
        <is>
          <t>.</t>
        </is>
      </c>
      <c r="L1055" t="inlineStr">
        <is>
          <t>.</t>
        </is>
      </c>
      <c r="M1055">
        <f>HYPERLINK("https://www.genecards.org/Search/Keyword?queryString=%5Baliases%5D(%20NUP214%20)&amp;keywords=NUP214", "NUP214")</f>
        <v/>
      </c>
      <c r="N1055" t="inlineStr">
        <is>
          <t>intronic;ncRNA_exonic</t>
        </is>
      </c>
      <c r="O1055" t="inlineStr">
        <is>
          <t>.</t>
        </is>
      </c>
      <c r="P1055" t="inlineStr">
        <is>
          <t>.</t>
        </is>
      </c>
      <c r="Q1055" t="n">
        <v>-1</v>
      </c>
      <c r="R1055" t="n">
        <v>-1</v>
      </c>
      <c r="S1055" t="n">
        <v>-1</v>
      </c>
      <c r="T1055" t="n">
        <v>-1</v>
      </c>
      <c r="U1055" t="n">
        <v>-1</v>
      </c>
      <c r="V1055" t="inlineStr">
        <is>
          <t>.</t>
        </is>
      </c>
      <c r="W1055" t="inlineStr">
        <is>
          <t>.</t>
        </is>
      </c>
      <c r="X1055" t="inlineStr">
        <is>
          <t>.</t>
        </is>
      </c>
      <c r="Y1055" t="inlineStr">
        <is>
          <t>.</t>
        </is>
      </c>
      <c r="Z1055" t="inlineStr">
        <is>
          <t>.</t>
        </is>
      </c>
      <c r="AA1055" t="inlineStr">
        <is>
          <t>.</t>
        </is>
      </c>
      <c r="AB1055" t="inlineStr">
        <is>
          <t>.</t>
        </is>
      </c>
      <c r="AC1055" t="inlineStr">
        <is>
          <t>0/1</t>
        </is>
      </c>
      <c r="AD1055" t="inlineStr">
        <is>
          <t>5</t>
        </is>
      </c>
      <c r="AE1055" t="inlineStr">
        <is>
          <t>0.993841692882668</t>
        </is>
      </c>
      <c r="AF1055" t="inlineStr">
        <is>
          <t>nucleoporin 214kDa</t>
        </is>
      </c>
      <c r="AG1055" t="inlineStr">
        <is>
          <t xml:space="preserve">FUNCTION: May serve as a docking site in the receptor-mediated import of substrates across the nuclear pore complex.; </t>
        </is>
      </c>
      <c r="AH1055" t="inlineStr">
        <is>
          <t xml:space="preserve">DISEASE: Note=A chromosomal aberration involving NUP214 is found in a subset of acute myeloid leukemia (AML); also known as acute non-lymphocytic leukemia. Translocation t(6;9)(p23;q34) with DEK. It results in the formation of a DEK-CAN fusion gene. {ECO:0000269|PubMed:1549122}.; DISEASE: Note=A chromosomal aberration involving NUP214 is found in some cases of acute undifferentiated leukemia (AUL). Translocation t(6;9)(q21;q34.1) with SET. {ECO:0000269|PubMed:1630450}.; </t>
        </is>
      </c>
      <c r="AI1055" t="inlineStr">
        <is>
          <t>.</t>
        </is>
      </c>
      <c r="AJ1055" t="inlineStr">
        <is>
          <t>.</t>
        </is>
      </c>
      <c r="AK1055" t="inlineStr">
        <is>
          <t>.</t>
        </is>
      </c>
      <c r="AL1055" t="inlineStr">
        <is>
          <t>.</t>
        </is>
      </c>
    </row>
    <row r="1056">
      <c r="A1056" t="inlineStr"/>
      <c r="B1056">
        <f>HYPERLINK("https://genome.ucsc.edu/cgi-bin/hgTracks?db=hg19&amp;position=chr9%3A134014643%2D134014643", "chr9:134014643")</f>
        <v/>
      </c>
      <c r="C1056" t="inlineStr">
        <is>
          <t>chr9</t>
        </is>
      </c>
      <c r="D1056" t="n">
        <v>134014643</v>
      </c>
      <c r="E1056" t="n">
        <v>134014643</v>
      </c>
      <c r="F1056" t="inlineStr">
        <is>
          <t>T</t>
        </is>
      </c>
      <c r="G1056" t="inlineStr">
        <is>
          <t>-</t>
        </is>
      </c>
      <c r="H1056" t="inlineStr">
        <is>
          <t>153.60</t>
        </is>
      </c>
      <c r="I1056" t="inlineStr">
        <is>
          <t>147</t>
        </is>
      </c>
      <c r="J1056" t="inlineStr">
        <is>
          <t>72,33</t>
        </is>
      </c>
      <c r="K1056" t="inlineStr">
        <is>
          <t>.</t>
        </is>
      </c>
      <c r="L1056">
        <f>HYPERLINK("https://www.ncbi.nlm.nih.gov/snp/rs778385033", "rs778385033")</f>
        <v/>
      </c>
      <c r="M1056">
        <f>HYPERLINK("https://www.genecards.org/Search/Keyword?queryString=%5Baliases%5D(%20NUP214%20)&amp;keywords=NUP214", "NUP214")</f>
        <v/>
      </c>
      <c r="N1056" t="inlineStr">
        <is>
          <t>intronic;ncRNA_intronic</t>
        </is>
      </c>
      <c r="O1056" t="inlineStr">
        <is>
          <t>.</t>
        </is>
      </c>
      <c r="P1056" t="inlineStr">
        <is>
          <t>.</t>
        </is>
      </c>
      <c r="Q1056" t="n">
        <v>0.0002781</v>
      </c>
      <c r="R1056" t="n">
        <v>-1</v>
      </c>
      <c r="S1056" t="n">
        <v>-1</v>
      </c>
      <c r="T1056" t="n">
        <v>-1</v>
      </c>
      <c r="U1056" t="n">
        <v>-1</v>
      </c>
      <c r="V1056" t="inlineStr">
        <is>
          <t>.</t>
        </is>
      </c>
      <c r="W1056" t="inlineStr">
        <is>
          <t>.</t>
        </is>
      </c>
      <c r="X1056" t="inlineStr">
        <is>
          <t>.</t>
        </is>
      </c>
      <c r="Y1056" t="inlineStr">
        <is>
          <t>.</t>
        </is>
      </c>
      <c r="Z1056" t="inlineStr">
        <is>
          <t>.</t>
        </is>
      </c>
      <c r="AA1056" t="inlineStr">
        <is>
          <t>.</t>
        </is>
      </c>
      <c r="AB1056" t="inlineStr">
        <is>
          <t>.</t>
        </is>
      </c>
      <c r="AC1056" t="inlineStr">
        <is>
          <t>0/1</t>
        </is>
      </c>
      <c r="AD1056" t="inlineStr">
        <is>
          <t>5</t>
        </is>
      </c>
      <c r="AE1056" t="inlineStr">
        <is>
          <t>0.993841692882668</t>
        </is>
      </c>
      <c r="AF1056" t="inlineStr">
        <is>
          <t>nucleoporin 214kDa</t>
        </is>
      </c>
      <c r="AG1056" t="inlineStr">
        <is>
          <t xml:space="preserve">FUNCTION: May serve as a docking site in the receptor-mediated import of substrates across the nuclear pore complex.; </t>
        </is>
      </c>
      <c r="AH1056" t="inlineStr">
        <is>
          <t xml:space="preserve">DISEASE: Note=A chromosomal aberration involving NUP214 is found in a subset of acute myeloid leukemia (AML); also known as acute non-lymphocytic leukemia. Translocation t(6;9)(p23;q34) with DEK. It results in the formation of a DEK-CAN fusion gene. {ECO:0000269|PubMed:1549122}.; DISEASE: Note=A chromosomal aberration involving NUP214 is found in some cases of acute undifferentiated leukemia (AUL). Translocation t(6;9)(q21;q34.1) with SET. {ECO:0000269|PubMed:1630450}.; </t>
        </is>
      </c>
      <c r="AI1056" t="inlineStr">
        <is>
          <t>.</t>
        </is>
      </c>
      <c r="AJ1056" t="inlineStr">
        <is>
          <t>.</t>
        </is>
      </c>
      <c r="AK1056" t="inlineStr">
        <is>
          <t>.</t>
        </is>
      </c>
      <c r="AL1056" t="inlineStr">
        <is>
          <t>.</t>
        </is>
      </c>
    </row>
    <row r="1057">
      <c r="A1057" t="inlineStr"/>
      <c r="B1057">
        <f>HYPERLINK("https://genome.ucsc.edu/cgi-bin/hgTracks?db=hg19&amp;position=chr9%3A134024440%2D134024440", "chr9:134024440")</f>
        <v/>
      </c>
      <c r="C1057" t="inlineStr">
        <is>
          <t>chr9</t>
        </is>
      </c>
      <c r="D1057" t="n">
        <v>134024440</v>
      </c>
      <c r="E1057" t="n">
        <v>134024440</v>
      </c>
      <c r="F1057" t="inlineStr">
        <is>
          <t>G</t>
        </is>
      </c>
      <c r="G1057" t="inlineStr">
        <is>
          <t>-</t>
        </is>
      </c>
      <c r="H1057" t="inlineStr">
        <is>
          <t>43.60</t>
        </is>
      </c>
      <c r="I1057" t="inlineStr">
        <is>
          <t>10</t>
        </is>
      </c>
      <c r="J1057" t="inlineStr">
        <is>
          <t>8,2</t>
        </is>
      </c>
      <c r="K1057" t="inlineStr">
        <is>
          <t>.</t>
        </is>
      </c>
      <c r="L1057" t="inlineStr">
        <is>
          <t>.</t>
        </is>
      </c>
      <c r="M1057">
        <f>HYPERLINK("https://www.genecards.org/Search/Keyword?queryString=%5Baliases%5D(%20NUP214%20)&amp;keywords=NUP214", "NUP214")</f>
        <v/>
      </c>
      <c r="N1057" t="inlineStr">
        <is>
          <t>intronic;ncRNA_intronic</t>
        </is>
      </c>
      <c r="O1057" t="inlineStr">
        <is>
          <t>.</t>
        </is>
      </c>
      <c r="P1057" t="inlineStr">
        <is>
          <t>.</t>
        </is>
      </c>
      <c r="Q1057" t="n">
        <v>-1</v>
      </c>
      <c r="R1057" t="n">
        <v>-1</v>
      </c>
      <c r="S1057" t="n">
        <v>-1</v>
      </c>
      <c r="T1057" t="n">
        <v>-1</v>
      </c>
      <c r="U1057" t="n">
        <v>-1</v>
      </c>
      <c r="V1057" t="inlineStr">
        <is>
          <t>.</t>
        </is>
      </c>
      <c r="W1057" t="inlineStr">
        <is>
          <t>.</t>
        </is>
      </c>
      <c r="X1057" t="inlineStr">
        <is>
          <t>.</t>
        </is>
      </c>
      <c r="Y1057" t="inlineStr">
        <is>
          <t>.</t>
        </is>
      </c>
      <c r="Z1057" t="inlineStr">
        <is>
          <t>.</t>
        </is>
      </c>
      <c r="AA1057" t="inlineStr">
        <is>
          <t>.</t>
        </is>
      </c>
      <c r="AB1057" t="inlineStr">
        <is>
          <t>.</t>
        </is>
      </c>
      <c r="AC1057" t="inlineStr">
        <is>
          <t>0/1</t>
        </is>
      </c>
      <c r="AD1057" t="inlineStr">
        <is>
          <t>5</t>
        </is>
      </c>
      <c r="AE1057" t="inlineStr">
        <is>
          <t>0.993841692882668</t>
        </is>
      </c>
      <c r="AF1057" t="inlineStr">
        <is>
          <t>nucleoporin 214kDa</t>
        </is>
      </c>
      <c r="AG1057" t="inlineStr">
        <is>
          <t xml:space="preserve">FUNCTION: May serve as a docking site in the receptor-mediated import of substrates across the nuclear pore complex.; </t>
        </is>
      </c>
      <c r="AH1057" t="inlineStr">
        <is>
          <t xml:space="preserve">DISEASE: Note=A chromosomal aberration involving NUP214 is found in a subset of acute myeloid leukemia (AML); also known as acute non-lymphocytic leukemia. Translocation t(6;9)(p23;q34) with DEK. It results in the formation of a DEK-CAN fusion gene. {ECO:0000269|PubMed:1549122}.; DISEASE: Note=A chromosomal aberration involving NUP214 is found in some cases of acute undifferentiated leukemia (AUL). Translocation t(6;9)(q21;q34.1) with SET. {ECO:0000269|PubMed:1630450}.; </t>
        </is>
      </c>
      <c r="AI1057" t="inlineStr">
        <is>
          <t>.</t>
        </is>
      </c>
      <c r="AJ1057" t="inlineStr">
        <is>
          <t>.</t>
        </is>
      </c>
      <c r="AK1057" t="inlineStr">
        <is>
          <t>.</t>
        </is>
      </c>
      <c r="AL1057" t="inlineStr">
        <is>
          <t>.</t>
        </is>
      </c>
    </row>
    <row r="1058">
      <c r="A1058" t="inlineStr"/>
      <c r="B1058">
        <f>HYPERLINK("https://genome.ucsc.edu/cgi-bin/hgTracks?db=hg19&amp;position=chr9%3A134030574%2D134030574", "chr9:134030574")</f>
        <v/>
      </c>
      <c r="C1058" t="inlineStr">
        <is>
          <t>chr9</t>
        </is>
      </c>
      <c r="D1058" t="n">
        <v>134030574</v>
      </c>
      <c r="E1058" t="n">
        <v>134030574</v>
      </c>
      <c r="F1058" t="inlineStr">
        <is>
          <t>-</t>
        </is>
      </c>
      <c r="G1058" t="inlineStr">
        <is>
          <t>GC</t>
        </is>
      </c>
      <c r="H1058" t="inlineStr">
        <is>
          <t>58.60</t>
        </is>
      </c>
      <c r="I1058" t="inlineStr">
        <is>
          <t>8</t>
        </is>
      </c>
      <c r="J1058" t="inlineStr">
        <is>
          <t>6,2</t>
        </is>
      </c>
      <c r="K1058" t="inlineStr">
        <is>
          <t>.</t>
        </is>
      </c>
      <c r="L1058" t="inlineStr">
        <is>
          <t>.</t>
        </is>
      </c>
      <c r="M1058">
        <f>HYPERLINK("https://www.genecards.org/Search/Keyword?queryString=%5Baliases%5D(%20NUP214%20)&amp;keywords=NUP214", "NUP214")</f>
        <v/>
      </c>
      <c r="N1058" t="inlineStr">
        <is>
          <t>intronic;ncRNA_intronic</t>
        </is>
      </c>
      <c r="O1058" t="inlineStr">
        <is>
          <t>.</t>
        </is>
      </c>
      <c r="P1058" t="inlineStr">
        <is>
          <t>.</t>
        </is>
      </c>
      <c r="Q1058" t="n">
        <v>-1</v>
      </c>
      <c r="R1058" t="n">
        <v>-1</v>
      </c>
      <c r="S1058" t="n">
        <v>-1</v>
      </c>
      <c r="T1058" t="n">
        <v>-1</v>
      </c>
      <c r="U1058" t="n">
        <v>-1</v>
      </c>
      <c r="V1058" t="inlineStr">
        <is>
          <t>.</t>
        </is>
      </c>
      <c r="W1058" t="inlineStr">
        <is>
          <t>.</t>
        </is>
      </c>
      <c r="X1058" t="inlineStr">
        <is>
          <t>.</t>
        </is>
      </c>
      <c r="Y1058" t="inlineStr">
        <is>
          <t>.</t>
        </is>
      </c>
      <c r="Z1058" t="inlineStr">
        <is>
          <t>.</t>
        </is>
      </c>
      <c r="AA1058" t="inlineStr">
        <is>
          <t>.</t>
        </is>
      </c>
      <c r="AB1058" t="inlineStr">
        <is>
          <t>.</t>
        </is>
      </c>
      <c r="AC1058" t="inlineStr">
        <is>
          <t>0/1</t>
        </is>
      </c>
      <c r="AD1058" t="inlineStr">
        <is>
          <t>5</t>
        </is>
      </c>
      <c r="AE1058" t="inlineStr">
        <is>
          <t>0.993841692882668</t>
        </is>
      </c>
      <c r="AF1058" t="inlineStr">
        <is>
          <t>nucleoporin 214kDa</t>
        </is>
      </c>
      <c r="AG1058" t="inlineStr">
        <is>
          <t xml:space="preserve">FUNCTION: May serve as a docking site in the receptor-mediated import of substrates across the nuclear pore complex.; </t>
        </is>
      </c>
      <c r="AH1058" t="inlineStr">
        <is>
          <t xml:space="preserve">DISEASE: Note=A chromosomal aberration involving NUP214 is found in a subset of acute myeloid leukemia (AML); also known as acute non-lymphocytic leukemia. Translocation t(6;9)(p23;q34) with DEK. It results in the formation of a DEK-CAN fusion gene. {ECO:0000269|PubMed:1549122}.; DISEASE: Note=A chromosomal aberration involving NUP214 is found in some cases of acute undifferentiated leukemia (AUL). Translocation t(6;9)(q21;q34.1) with SET. {ECO:0000269|PubMed:1630450}.; </t>
        </is>
      </c>
      <c r="AI1058" t="inlineStr">
        <is>
          <t>.</t>
        </is>
      </c>
      <c r="AJ1058" t="inlineStr">
        <is>
          <t>.</t>
        </is>
      </c>
      <c r="AK1058" t="inlineStr">
        <is>
          <t>.</t>
        </is>
      </c>
      <c r="AL1058" t="inlineStr">
        <is>
          <t>.</t>
        </is>
      </c>
    </row>
    <row r="1059">
      <c r="A1059" t="inlineStr"/>
      <c r="B1059">
        <f>HYPERLINK("https://genome.ucsc.edu/cgi-bin/hgTracks?db=hg19&amp;position=chr9%3A134069555%2D134069555", "chr9:134069555")</f>
        <v/>
      </c>
      <c r="C1059" t="inlineStr">
        <is>
          <t>chr9</t>
        </is>
      </c>
      <c r="D1059" t="n">
        <v>134069555</v>
      </c>
      <c r="E1059" t="n">
        <v>134069555</v>
      </c>
      <c r="F1059" t="inlineStr">
        <is>
          <t>-</t>
        </is>
      </c>
      <c r="G1059" t="inlineStr">
        <is>
          <t>GT</t>
        </is>
      </c>
      <c r="H1059" t="inlineStr">
        <is>
          <t>40.60</t>
        </is>
      </c>
      <c r="I1059" t="inlineStr">
        <is>
          <t>9</t>
        </is>
      </c>
      <c r="J1059" t="inlineStr">
        <is>
          <t>7,2</t>
        </is>
      </c>
      <c r="K1059" t="inlineStr">
        <is>
          <t>.</t>
        </is>
      </c>
      <c r="L1059">
        <f>HYPERLINK("https://www.ncbi.nlm.nih.gov/snp/rs555926078", "rs555926078")</f>
        <v/>
      </c>
      <c r="M1059">
        <f>HYPERLINK("https://www.genecards.org/Search/Keyword?queryString=%5Baliases%5D(%20NUP214%20)&amp;keywords=NUP214", "NUP214")</f>
        <v/>
      </c>
      <c r="N1059" t="inlineStr">
        <is>
          <t>intronic;ncRNA_exonic</t>
        </is>
      </c>
      <c r="O1059" t="inlineStr">
        <is>
          <t>.</t>
        </is>
      </c>
      <c r="P1059" t="inlineStr">
        <is>
          <t>.</t>
        </is>
      </c>
      <c r="Q1059" t="n">
        <v>0.002</v>
      </c>
      <c r="R1059" t="n">
        <v>0.002</v>
      </c>
      <c r="S1059" t="n">
        <v>0.002</v>
      </c>
      <c r="T1059" t="n">
        <v>-1</v>
      </c>
      <c r="U1059" t="n">
        <v>0.0023</v>
      </c>
      <c r="V1059" t="inlineStr">
        <is>
          <t>.</t>
        </is>
      </c>
      <c r="W1059" t="inlineStr">
        <is>
          <t>.</t>
        </is>
      </c>
      <c r="X1059" t="inlineStr">
        <is>
          <t>.</t>
        </is>
      </c>
      <c r="Y1059" t="inlineStr">
        <is>
          <t>.</t>
        </is>
      </c>
      <c r="Z1059" t="inlineStr">
        <is>
          <t>.</t>
        </is>
      </c>
      <c r="AA1059" t="inlineStr">
        <is>
          <t>.</t>
        </is>
      </c>
      <c r="AB1059" t="inlineStr">
        <is>
          <t>.</t>
        </is>
      </c>
      <c r="AC1059" t="inlineStr">
        <is>
          <t>0/1</t>
        </is>
      </c>
      <c r="AD1059" t="inlineStr">
        <is>
          <t>5</t>
        </is>
      </c>
      <c r="AE1059" t="inlineStr">
        <is>
          <t>0.993841692882668</t>
        </is>
      </c>
      <c r="AF1059" t="inlineStr">
        <is>
          <t>nucleoporin 214kDa</t>
        </is>
      </c>
      <c r="AG1059" t="inlineStr">
        <is>
          <t xml:space="preserve">FUNCTION: May serve as a docking site in the receptor-mediated import of substrates across the nuclear pore complex.; </t>
        </is>
      </c>
      <c r="AH1059" t="inlineStr">
        <is>
          <t xml:space="preserve">DISEASE: Note=A chromosomal aberration involving NUP214 is found in a subset of acute myeloid leukemia (AML); also known as acute non-lymphocytic leukemia. Translocation t(6;9)(p23;q34) with DEK. It results in the formation of a DEK-CAN fusion gene. {ECO:0000269|PubMed:1549122}.; DISEASE: Note=A chromosomal aberration involving NUP214 is found in some cases of acute undifferentiated leukemia (AUL). Translocation t(6;9)(q21;q34.1) with SET. {ECO:0000269|PubMed:1630450}.; </t>
        </is>
      </c>
      <c r="AI1059" t="inlineStr">
        <is>
          <t>.</t>
        </is>
      </c>
      <c r="AJ1059" t="inlineStr">
        <is>
          <t>.</t>
        </is>
      </c>
      <c r="AK1059" t="inlineStr">
        <is>
          <t>.</t>
        </is>
      </c>
      <c r="AL1059" t="inlineStr">
        <is>
          <t>.</t>
        </is>
      </c>
    </row>
    <row r="1060">
      <c r="A1060" t="inlineStr"/>
      <c r="B1060">
        <f>HYPERLINK("https://genome.ucsc.edu/cgi-bin/hgTracks?db=hg19&amp;position=chr9%3A134497322%2D134497322", "chr9:134497322")</f>
        <v/>
      </c>
      <c r="C1060" t="inlineStr">
        <is>
          <t>chr9</t>
        </is>
      </c>
      <c r="D1060" t="n">
        <v>134497322</v>
      </c>
      <c r="E1060" t="n">
        <v>134497322</v>
      </c>
      <c r="F1060" t="inlineStr">
        <is>
          <t>G</t>
        </is>
      </c>
      <c r="G1060" t="inlineStr">
        <is>
          <t>C</t>
        </is>
      </c>
      <c r="H1060" t="inlineStr">
        <is>
          <t>530.64</t>
        </is>
      </c>
      <c r="I1060" t="inlineStr">
        <is>
          <t>86</t>
        </is>
      </c>
      <c r="J1060" t="inlineStr">
        <is>
          <t>60,26</t>
        </is>
      </c>
      <c r="K1060" t="inlineStr">
        <is>
          <t>.</t>
        </is>
      </c>
      <c r="L1060" t="inlineStr">
        <is>
          <t>.</t>
        </is>
      </c>
      <c r="M1060">
        <f>HYPERLINK("https://www.genecards.org/Search/Keyword?queryString=%5Baliases%5D(%20RAPGEF1%20)&amp;keywords=RAPGEF1", "RAPGEF1")</f>
        <v/>
      </c>
      <c r="N1060" t="inlineStr">
        <is>
          <t>exonic</t>
        </is>
      </c>
      <c r="O1060" t="inlineStr">
        <is>
          <t>nonsynonymous SNV</t>
        </is>
      </c>
      <c r="P1060" t="inlineStr">
        <is>
          <t>RAPGEF1:NM_001377936:exon10:c.C1619G:p.T540R,RAPGEF1:NM_001377937:exon10:c.C1652G:p.T551R,RAPGEF1:NM_001377938:exon10:c.C1652G:p.T551R,RAPGEF1:NM_001304275:exon11:c.C1766G:p.T589R,RAPGEF1:NM_001377935:exon11:c.C1766G:p.T589R,RAPGEF1:NM_005312:exon11:c.C1715G:p.T572R,RAPGEF1:NM_198679:exon11:c.C1769G:p.T590R;RAPGEF1:uc010mzl.1:exon1:c.C53G:p.T18R,RAPGEF1:uc010mzo.1:exon1:c.C53G:p.T18R,RAPGEF1:uc010mzp.1:exon1:c.C53G:p.T18R,RAPGEF1:uc010mzq.1:exon1:c.C53G:p.T18R,RAPGEF1:uc010mzr.1:exon1:c.C53G:p.T18R,RAPGEF1:uc010mzs.1:exon1:c.C53G:p.T18R,RAPGEF1:uc022bos.1:exon11:c.C1769G:p.T590R,RAPGEF1:uc022bot.1:exon11:c.C1715G:p.T572R,RAPGEF1:uc022bou.1:exon11:c.C1730G:p.T577R,RAPGEF1:uc022bov.1:exon11:c.C1730G:p.T577R;RAPGEF1:ENST00000372189.7_6:exon11:c.C1715G:p.T572R,RAPGEF1:ENST00000372190.7_6:exon11:c.C1769G:p.T590R,RAPGEF1:ENST00000372195.5_8:exon11:c.C1766G:p.T589R,RAPGEF1:ENST00000683357.1_4:exon11:c.C1766G:p.T589R</t>
        </is>
      </c>
      <c r="Q1060" t="n">
        <v>-1</v>
      </c>
      <c r="R1060" t="n">
        <v>-1</v>
      </c>
      <c r="S1060" t="n">
        <v>-1</v>
      </c>
      <c r="T1060" t="n">
        <v>-1</v>
      </c>
      <c r="U1060" t="n">
        <v>-1</v>
      </c>
      <c r="V1060" t="inlineStr">
        <is>
          <t>5/12</t>
        </is>
      </c>
      <c r="W1060" t="inlineStr">
        <is>
          <t>.</t>
        </is>
      </c>
      <c r="X1060" t="inlineStr">
        <is>
          <t>.</t>
        </is>
      </c>
      <c r="Y1060" t="inlineStr">
        <is>
          <t>.</t>
        </is>
      </c>
      <c r="Z1060" t="inlineStr">
        <is>
          <t>3/7</t>
        </is>
      </c>
      <c r="AA1060" t="inlineStr">
        <is>
          <t>Uncertain significance</t>
        </is>
      </c>
      <c r="AB1060" t="inlineStr">
        <is>
          <t>.</t>
        </is>
      </c>
      <c r="AC1060" t="inlineStr">
        <is>
          <t>0/1</t>
        </is>
      </c>
      <c r="AD1060" t="inlineStr">
        <is>
          <t>1</t>
        </is>
      </c>
      <c r="AE1060" t="inlineStr">
        <is>
          <t>0.999914749689066</t>
        </is>
      </c>
      <c r="AF1060" t="inlineStr">
        <is>
          <t>Rap guanine nucleotide exchange factor 1</t>
        </is>
      </c>
      <c r="AG1060" t="inlineStr">
        <is>
          <t xml:space="preserve">FUNCTION: Guanine nucleotide-releasing protein that binds to SH3 domain of CRK and GRB2/ASH. Transduces signals from CRK to activate RAS. Plays a role in the establishment of basal endothelial barrier function. Plays a role in nerve growth factor (NGF)-induced sustained activation of Rap1 and neurite outgrowth. {ECO:0000269|PubMed:17724123, ECO:0000269|PubMed:21840392, ECO:0000269|PubMed:7806500}.; </t>
        </is>
      </c>
      <c r="AH1060" t="inlineStr">
        <is>
          <t>.</t>
        </is>
      </c>
      <c r="AI1060" t="inlineStr">
        <is>
          <t>.</t>
        </is>
      </c>
      <c r="AJ1060" t="inlineStr">
        <is>
          <t>.</t>
        </is>
      </c>
      <c r="AK1060" t="inlineStr">
        <is>
          <t>.</t>
        </is>
      </c>
      <c r="AL1060" t="inlineStr">
        <is>
          <t>.</t>
        </is>
      </c>
    </row>
    <row r="1061">
      <c r="A1061" t="inlineStr"/>
      <c r="B1061">
        <f>HYPERLINK("https://genome.ucsc.edu/cgi-bin/hgTracks?db=hg19&amp;position=chr9%3A137667268%2D137667268", "chr9:137667268")</f>
        <v/>
      </c>
      <c r="C1061" t="inlineStr">
        <is>
          <t>chr9</t>
        </is>
      </c>
      <c r="D1061" t="n">
        <v>137667268</v>
      </c>
      <c r="E1061" t="n">
        <v>137667268</v>
      </c>
      <c r="F1061" t="inlineStr">
        <is>
          <t>C</t>
        </is>
      </c>
      <c r="G1061" t="inlineStr">
        <is>
          <t>T</t>
        </is>
      </c>
      <c r="H1061" t="inlineStr">
        <is>
          <t>70.14</t>
        </is>
      </c>
      <c r="I1061" t="inlineStr">
        <is>
          <t>4</t>
        </is>
      </c>
      <c r="J1061" t="inlineStr">
        <is>
          <t>0,4</t>
        </is>
      </c>
      <c r="K1061" t="inlineStr">
        <is>
          <t>.</t>
        </is>
      </c>
      <c r="L1061">
        <f>HYPERLINK("https://www.ncbi.nlm.nih.gov/snp/rs778575186", "rs778575186")</f>
        <v/>
      </c>
      <c r="M1061">
        <f>HYPERLINK("https://www.genecards.org/Search/Keyword?queryString=%5Baliases%5D(%20COL5A1%20)&amp;keywords=COL5A1", "COL5A1")</f>
        <v/>
      </c>
      <c r="N1061" t="inlineStr">
        <is>
          <t>intronic;ncRNA_exonic</t>
        </is>
      </c>
      <c r="O1061" t="inlineStr">
        <is>
          <t>.</t>
        </is>
      </c>
      <c r="P1061" t="inlineStr">
        <is>
          <t>.</t>
        </is>
      </c>
      <c r="Q1061" t="n">
        <v>0.0002</v>
      </c>
      <c r="R1061" t="n">
        <v>0.0001</v>
      </c>
      <c r="S1061" t="n">
        <v>7.342e-05</v>
      </c>
      <c r="T1061" t="n">
        <v>-1</v>
      </c>
      <c r="U1061" t="n">
        <v>-1</v>
      </c>
      <c r="V1061" t="inlineStr">
        <is>
          <t>.</t>
        </is>
      </c>
      <c r="W1061" t="inlineStr">
        <is>
          <t>.</t>
        </is>
      </c>
      <c r="X1061" t="inlineStr">
        <is>
          <t>.</t>
        </is>
      </c>
      <c r="Y1061" t="inlineStr">
        <is>
          <t>.</t>
        </is>
      </c>
      <c r="Z1061" t="inlineStr">
        <is>
          <t>.</t>
        </is>
      </c>
      <c r="AA1061" t="inlineStr">
        <is>
          <t>.</t>
        </is>
      </c>
      <c r="AB1061" t="inlineStr">
        <is>
          <t>.</t>
        </is>
      </c>
      <c r="AC1061" t="inlineStr">
        <is>
          <t>.</t>
        </is>
      </c>
      <c r="AD1061" t="inlineStr">
        <is>
          <t>1</t>
        </is>
      </c>
      <c r="AE1061" t="inlineStr">
        <is>
          <t>0.999999999999752</t>
        </is>
      </c>
      <c r="AF1061" t="inlineStr">
        <is>
          <t>collagen type V alpha 1</t>
        </is>
      </c>
      <c r="AG1061" t="inlineStr">
        <is>
          <t xml:space="preserve">FUNCTION: Type V collagen is a member of group I collagen (fibrillar forming collagen). It is a minor connective tissue component of nearly ubiquitous distribution. Type V collagen binds to DNA, heparan sulfate, thrombospondin, heparin, and insulin.; </t>
        </is>
      </c>
      <c r="AH1061" t="inlineStr">
        <is>
          <t xml:space="preserve">DISEASE: Ehlers-Danlos syndrome, classic type (EDS) [MIM:130000]: A connective tissue disorder characterized by hyperextensible skin, atrophic cutaneous scars due to tissue fragility and joint hyperlaxity. {ECO:0000269|PubMed:10602121, ECO:0000269|PubMed:11992482, ECO:0000269|PubMed:15580559, ECO:0000269|PubMed:18972565, ECO:0000269|PubMed:9042913}. Note=The disease is caused by mutations affecting the gene represented in this entry.; </t>
        </is>
      </c>
      <c r="AI1061" t="inlineStr">
        <is>
          <t>.</t>
        </is>
      </c>
      <c r="AJ1061" t="inlineStr">
        <is>
          <t>.</t>
        </is>
      </c>
      <c r="AK1061" t="inlineStr">
        <is>
          <t>.</t>
        </is>
      </c>
      <c r="AL1061" t="inlineStr">
        <is>
          <t>.</t>
        </is>
      </c>
    </row>
    <row r="1062">
      <c r="A1062" t="inlineStr"/>
      <c r="B1062">
        <f>HYPERLINK("https://genome.ucsc.edu/cgi-bin/hgTracks?db=hg19&amp;position=chr9%3A137968997%2D137968998", "chr9:137968997")</f>
        <v/>
      </c>
      <c r="C1062" t="inlineStr">
        <is>
          <t>chr9</t>
        </is>
      </c>
      <c r="D1062" t="n">
        <v>137968997</v>
      </c>
      <c r="E1062" t="n">
        <v>137968998</v>
      </c>
      <c r="F1062" t="inlineStr">
        <is>
          <t>CA</t>
        </is>
      </c>
      <c r="G1062" t="inlineStr">
        <is>
          <t>-</t>
        </is>
      </c>
      <c r="H1062" t="inlineStr">
        <is>
          <t>99.60</t>
        </is>
      </c>
      <c r="I1062" t="inlineStr">
        <is>
          <t>93</t>
        </is>
      </c>
      <c r="J1062" t="inlineStr">
        <is>
          <t>78,10</t>
        </is>
      </c>
      <c r="K1062" t="inlineStr">
        <is>
          <t>.</t>
        </is>
      </c>
      <c r="L1062">
        <f>HYPERLINK("https://www.ncbi.nlm.nih.gov/snp/rs746234323", "rs746234323")</f>
        <v/>
      </c>
      <c r="M1062">
        <f>HYPERLINK("https://www.genecards.org/Search/Keyword?queryString=%5Baliases%5D(%20OLFM1%20)&amp;keywords=OLFM1", "OLFM1")</f>
        <v/>
      </c>
      <c r="N1062" t="inlineStr">
        <is>
          <t>exonic;intronic</t>
        </is>
      </c>
      <c r="O1062" t="inlineStr">
        <is>
          <t>frameshift deletion</t>
        </is>
      </c>
      <c r="P1062" t="inlineStr">
        <is>
          <t>OLFM1:uc010naq.2:exon2:c.406_407del:p.T141Mfs*41;OLFM1:ENST00000371799.8_1:exon2:c.436_437del:p.T151Mfs*41</t>
        </is>
      </c>
      <c r="Q1062" t="n">
        <v>0.0034217</v>
      </c>
      <c r="R1062" t="n">
        <v>0.0007</v>
      </c>
      <c r="S1062" t="n">
        <v>0.0005999999999999999</v>
      </c>
      <c r="T1062" t="n">
        <v>-1</v>
      </c>
      <c r="U1062" t="n">
        <v>-1</v>
      </c>
      <c r="V1062" t="inlineStr">
        <is>
          <t>.</t>
        </is>
      </c>
      <c r="W1062" t="inlineStr">
        <is>
          <t>.</t>
        </is>
      </c>
      <c r="X1062" t="inlineStr">
        <is>
          <t>.</t>
        </is>
      </c>
      <c r="Y1062" t="inlineStr">
        <is>
          <t>.</t>
        </is>
      </c>
      <c r="Z1062" t="inlineStr">
        <is>
          <t>.</t>
        </is>
      </c>
      <c r="AA1062" t="inlineStr">
        <is>
          <t>.</t>
        </is>
      </c>
      <c r="AB1062" t="inlineStr">
        <is>
          <t>.</t>
        </is>
      </c>
      <c r="AC1062" t="inlineStr">
        <is>
          <t>0/1</t>
        </is>
      </c>
      <c r="AD1062" t="inlineStr">
        <is>
          <t>1</t>
        </is>
      </c>
      <c r="AE1062" t="inlineStr">
        <is>
          <t>0.935993730569587</t>
        </is>
      </c>
      <c r="AF1062" t="inlineStr">
        <is>
          <t>olfactomedin 1</t>
        </is>
      </c>
      <c r="AG1062" t="inlineStr">
        <is>
          <t xml:space="preserve">FUNCTION: Contributes to the regulation of axonal growth in the embryonic and adult central nervous system by inhibiting interactions between RTN4R and LINGO1. Inhibits RTN4R-mediated axon growth cone collapse (By similarity). May play an important role in regulating the production of neural crest cells by the neural tube (By similarity). May be required for normal responses to olfactory stimuli (By similarity). {ECO:0000250|UniProtKB:O88998, ECO:0000250|UniProtKB:Q9IAK4}.; </t>
        </is>
      </c>
      <c r="AH1062" t="inlineStr">
        <is>
          <t>.</t>
        </is>
      </c>
      <c r="AI1062" t="inlineStr">
        <is>
          <t>.</t>
        </is>
      </c>
      <c r="AJ1062" t="inlineStr">
        <is>
          <t>.</t>
        </is>
      </c>
      <c r="AK1062" t="inlineStr">
        <is>
          <t>.</t>
        </is>
      </c>
      <c r="AL1062" t="inlineStr">
        <is>
          <t>.</t>
        </is>
      </c>
    </row>
    <row r="1063">
      <c r="A1063" t="inlineStr"/>
      <c r="B1063">
        <f>HYPERLINK("https://genome.ucsc.edu/cgi-bin/hgTracks?db=hg19&amp;position=chr9%3A138641672%2D138641672", "chr9:138641672")</f>
        <v/>
      </c>
      <c r="C1063" t="inlineStr">
        <is>
          <t>chr9</t>
        </is>
      </c>
      <c r="D1063" t="n">
        <v>138641672</v>
      </c>
      <c r="E1063" t="n">
        <v>138641672</v>
      </c>
      <c r="F1063" t="inlineStr">
        <is>
          <t>G</t>
        </is>
      </c>
      <c r="G1063" t="inlineStr">
        <is>
          <t>A</t>
        </is>
      </c>
      <c r="H1063" t="inlineStr">
        <is>
          <t>200.96</t>
        </is>
      </c>
      <c r="I1063" t="inlineStr">
        <is>
          <t>5</t>
        </is>
      </c>
      <c r="J1063" t="inlineStr">
        <is>
          <t>0,5</t>
        </is>
      </c>
      <c r="K1063" t="inlineStr">
        <is>
          <t>.</t>
        </is>
      </c>
      <c r="L1063">
        <f>HYPERLINK("https://www.ncbi.nlm.nih.gov/snp/rs79253750", "rs79253750")</f>
        <v/>
      </c>
      <c r="M1063">
        <f>HYPERLINK("https://www.genecards.org/Search/Keyword?queryString=%5Baliases%5D(%20KCNT1%20)&amp;keywords=KCNT1", "KCNT1")</f>
        <v/>
      </c>
      <c r="N1063" t="inlineStr">
        <is>
          <t>intronic</t>
        </is>
      </c>
      <c r="O1063" t="inlineStr">
        <is>
          <t>.</t>
        </is>
      </c>
      <c r="P1063" t="inlineStr">
        <is>
          <t>.</t>
        </is>
      </c>
      <c r="Q1063" t="n">
        <v>0.0189</v>
      </c>
      <c r="R1063" t="n">
        <v>0.0152</v>
      </c>
      <c r="S1063" t="n">
        <v>0.0163</v>
      </c>
      <c r="T1063" t="n">
        <v>-1</v>
      </c>
      <c r="U1063" t="n">
        <v>0.0203</v>
      </c>
      <c r="V1063" t="inlineStr">
        <is>
          <t>.</t>
        </is>
      </c>
      <c r="W1063" t="inlineStr">
        <is>
          <t>.</t>
        </is>
      </c>
      <c r="X1063" t="inlineStr">
        <is>
          <t>PD</t>
        </is>
      </c>
      <c r="Y1063" t="inlineStr">
        <is>
          <t>off</t>
        </is>
      </c>
      <c r="Z1063" t="inlineStr">
        <is>
          <t>.</t>
        </is>
      </c>
      <c r="AA1063" t="inlineStr">
        <is>
          <t>.</t>
        </is>
      </c>
      <c r="AB1063" t="inlineStr">
        <is>
          <t>.</t>
        </is>
      </c>
      <c r="AC1063" t="inlineStr">
        <is>
          <t>HOMO</t>
        </is>
      </c>
      <c r="AD1063" t="inlineStr">
        <is>
          <t>1</t>
        </is>
      </c>
      <c r="AE1063" t="inlineStr">
        <is>
          <t>0.00534873818795492</t>
        </is>
      </c>
      <c r="AF1063" t="inlineStr">
        <is>
          <t>potassium sodium-activated channel subfamily T member 1</t>
        </is>
      </c>
      <c r="AG1063" t="inlineStr">
        <is>
          <t xml:space="preserve">FUNCTION: Outwardly rectifying potassium channel subunit that may coassemble with other Slo-type channel subunits. Activated by high intracellular sodium or chloride levels. Activated upon stimulation of G-protein coupled receptors, such as CHRM1 and GRIA1. May be regulated by calcium in the absence of sodium ions (in vitro) (By similarity). {ECO:0000250}.; </t>
        </is>
      </c>
      <c r="AH1063" t="inlineStr">
        <is>
          <t xml:space="preserve">DISEASE: Epileptic encephalopathy, early infantile, 14 (EIEE14) [MIM:614959]: A rare epileptic encephalopathy of infancy that combines pharmacoresistant seizures with developmental delay. This severe neurologic disorder is characterized by onset in the first 6 months of life of refractory focal seizures and arrest of psychomotor development. Ictal EEG shows discharges that arise randomly from various areas of both hemispheres and migrate from one brain region to another. {ECO:0000269|PubMed:23086397}. Note=The disease is caused by mutations affecting the gene represented in this entry.; DISEASE: Epilepsy, nocturnal frontal lobe, 5 (ENFL5) [MIM:615005]: An autosomal dominant focal epilepsy syndrome characterized by childhood onset of clusters of motor seizures during sleep. Some patients may develop behavioral or psychiatric manifestations and/or intellectual disability. The phenotype is more severe than observed in other genetic forms of nocturnal frontal lobe epilepsy. {ECO:0000269|PubMed:23086396}. Note=The disease is caused by mutations affecting the gene represented in this entry.; </t>
        </is>
      </c>
      <c r="AI1063" t="inlineStr">
        <is>
          <t>.</t>
        </is>
      </c>
      <c r="AJ1063" t="inlineStr">
        <is>
          <t>.</t>
        </is>
      </c>
      <c r="AK1063" t="inlineStr">
        <is>
          <t>.</t>
        </is>
      </c>
      <c r="AL1063" t="inlineStr">
        <is>
          <t>.</t>
        </is>
      </c>
    </row>
    <row r="1064">
      <c r="A1064" t="inlineStr"/>
      <c r="B1064">
        <f>HYPERLINK("https://genome.ucsc.edu/cgi-bin/hgTracks?db=hg19&amp;position=chr9%3A139413165%2D139413165", "chr9:139413165")</f>
        <v/>
      </c>
      <c r="C1064" t="inlineStr">
        <is>
          <t>chr9</t>
        </is>
      </c>
      <c r="D1064" t="n">
        <v>139413165</v>
      </c>
      <c r="E1064" t="n">
        <v>139413165</v>
      </c>
      <c r="F1064" t="inlineStr">
        <is>
          <t>C</t>
        </is>
      </c>
      <c r="G1064" t="inlineStr">
        <is>
          <t>A</t>
        </is>
      </c>
      <c r="H1064" t="inlineStr">
        <is>
          <t>997.64</t>
        </is>
      </c>
      <c r="I1064" t="inlineStr">
        <is>
          <t>104</t>
        </is>
      </c>
      <c r="J1064" t="inlineStr">
        <is>
          <t>56,48</t>
        </is>
      </c>
      <c r="K1064" t="inlineStr">
        <is>
          <t>.</t>
        </is>
      </c>
      <c r="L1064" t="inlineStr">
        <is>
          <t>.</t>
        </is>
      </c>
      <c r="M1064">
        <f>HYPERLINK("https://www.genecards.org/Search/Keyword?queryString=%5Baliases%5D(%20NOTCH1%20)&amp;keywords=NOTCH1", "NOTCH1")</f>
        <v/>
      </c>
      <c r="N1064" t="inlineStr">
        <is>
          <t>exonic</t>
        </is>
      </c>
      <c r="O1064" t="inlineStr">
        <is>
          <t>nonsynonymous SNV</t>
        </is>
      </c>
      <c r="P1064" t="inlineStr">
        <is>
          <t>NOTCH1:NM_017617:exon6:c.G977T:p.G326V;NOTCH1:uc004chz.3:exon6:c.G977T:p.G326V;NOTCH1:ENST00000651671.1_5:exon6:c.G977T:p.G326V,NOTCH1:ENST00000680133.1_1:exon6:c.G977T:p.G326V,NOTCH1:ENST00000680218.1_1:exon6:c.G977T:p.G326V,NOTCH1:ENST00000680668.1_1:exon6:c.G977T:p.G326V</t>
        </is>
      </c>
      <c r="Q1064" t="n">
        <v>-1</v>
      </c>
      <c r="R1064" t="n">
        <v>-1</v>
      </c>
      <c r="S1064" t="n">
        <v>-1</v>
      </c>
      <c r="T1064" t="n">
        <v>-1</v>
      </c>
      <c r="U1064" t="n">
        <v>-1</v>
      </c>
      <c r="V1064" t="inlineStr">
        <is>
          <t>11/12</t>
        </is>
      </c>
      <c r="W1064" t="inlineStr">
        <is>
          <t>.</t>
        </is>
      </c>
      <c r="X1064" t="inlineStr">
        <is>
          <t>.</t>
        </is>
      </c>
      <c r="Y1064" t="inlineStr">
        <is>
          <t>.</t>
        </is>
      </c>
      <c r="Z1064" t="inlineStr">
        <is>
          <t>2/7</t>
        </is>
      </c>
      <c r="AA1064" t="inlineStr">
        <is>
          <t>Uncertain significance</t>
        </is>
      </c>
      <c r="AB1064" t="inlineStr">
        <is>
          <t>.</t>
        </is>
      </c>
      <c r="AC1064" t="inlineStr">
        <is>
          <t>0/1</t>
        </is>
      </c>
      <c r="AD1064" t="inlineStr">
        <is>
          <t>1</t>
        </is>
      </c>
      <c r="AE1064" t="inlineStr">
        <is>
          <t>0.999999994320622</t>
        </is>
      </c>
      <c r="AF1064" t="inlineStr">
        <is>
          <t>notch 1</t>
        </is>
      </c>
      <c r="AG1064" t="inlineStr">
        <is>
          <t xml:space="preserve">FUNCTION: Functions as a receptor for membrane-bound ligands Jagged1, Jagged2 and Delta1 to regulate cell-fate determination. Upon ligand activation through the released notch intracellular domain (NICD) it forms a transcriptional activator complex with RBPJ/RBPSUH and activates genes of the enhancer of split locus. Affects the implementation of differentiation, proliferation and apoptotic programs. Involved in angiogenesis; negatively regulates endothelial cell proliferation and migration and angiogenic sprouting. Involved in the maturation of both CD4+ and CD8+ cells in the thymus. Important for follicular differentiation and possibly cell fate selection within the follicle. During cerebellar development, functions as a receptor for neuronal DNER and is involved in the differentiation of Bergmann glia. Represses neuronal and myogenic differentiation. May play an essential role in postimplantation development, probably in some aspect of cell specification and/or differentiation. May be involved in mesoderm development, somite formation and neurogenesis. May enhance HIF1A function by sequestering HIF1AN away from HIF1A. Required for the THBS4 function in regulating protective astrogenesis from the subventricular zone (SVZ) niche after injury. Involved in determination of left/right symmetry by modulating the balance between motile and immotile (sensory) cilia at the left-right organiser (LRO). {ECO:0000269|PubMed:20616313}.; </t>
        </is>
      </c>
      <c r="AH1064" t="inlineStr">
        <is>
          <t xml:space="preserve">DISEASE: Aortic valve disease 1 (AOVD1) [MIM:109730]: A common defect in the aortic valve in which two rather than three leaflets are present. It is often associated with aortic valve calcification, stenosis and insufficiency. In extreme cases, the blood flow may be so restricted that the left ventricle fails to grow, resulting in hypoplastic left heart syndrome. {ECO:0000269|PubMed:16025100}. Note=The disease is caused by mutations affecting the gene represented in this entry.; DISEASE: Adams-Oliver syndrome 5 (AOS5) [MIM:616028]: A form of Adams-Oliver syndrome, a disorder characterized by the congenital absence of skin (aplasia cutis congenita) in combination with transverse limb defects. Aplasia cutis congenita can be located anywhere on the body, but in the vast majority of the cases, it is present on the posterior parietal region where it is often associated with an underlying defect of the parietal bones. Limb abnormalities are typically limb truncation defects affecting the distal phalanges or entire digits (true ectrodactyly). Only rarely, metatarsals/metacarpals or more proximal limb structures are also affected. Apart from transverse limb defects, syndactyly, most commonly of second and third toes, can also be observed. The clinical features are highly variable and can also include cardiovascular malformations, brain abnormalities and vascular defects such as cutis marmorata and dilated scalp veins. {ECO:0000269|PubMed:25132448}. Note=The disease is caused by mutations affecting the gene represented in this entry.; </t>
        </is>
      </c>
      <c r="AI1064" t="inlineStr">
        <is>
          <t>.</t>
        </is>
      </c>
      <c r="AJ1064" t="inlineStr">
        <is>
          <t>.</t>
        </is>
      </c>
      <c r="AK1064" t="inlineStr">
        <is>
          <t>.</t>
        </is>
      </c>
      <c r="AL1064" t="inlineStr">
        <is>
          <t>.</t>
        </is>
      </c>
    </row>
    <row r="1065">
      <c r="A1065" t="inlineStr"/>
      <c r="B1065">
        <f>HYPERLINK("https://genome.ucsc.edu/cgi-bin/hgTracks?db=hg19&amp;position=chr9%3A141014616%2D141014616", "chr9:141014616")</f>
        <v/>
      </c>
      <c r="C1065" t="inlineStr">
        <is>
          <t>chr9</t>
        </is>
      </c>
      <c r="D1065" t="n">
        <v>141014616</v>
      </c>
      <c r="E1065" t="n">
        <v>141014616</v>
      </c>
      <c r="F1065" t="inlineStr">
        <is>
          <t>G</t>
        </is>
      </c>
      <c r="G1065" t="inlineStr">
        <is>
          <t>T</t>
        </is>
      </c>
      <c r="H1065" t="inlineStr">
        <is>
          <t>299.64</t>
        </is>
      </c>
      <c r="I1065" t="inlineStr">
        <is>
          <t>48</t>
        </is>
      </c>
      <c r="J1065" t="inlineStr">
        <is>
          <t>33,15</t>
        </is>
      </c>
      <c r="K1065" t="inlineStr">
        <is>
          <t>.</t>
        </is>
      </c>
      <c r="L1065" t="inlineStr">
        <is>
          <t>.</t>
        </is>
      </c>
      <c r="M1065">
        <f>HYPERLINK("https://www.genecards.org/Search/Keyword?queryString=%5Baliases%5D(%20CACNA1B%20)&amp;keywords=CACNA1B", "CACNA1B")</f>
        <v/>
      </c>
      <c r="N1065" t="inlineStr">
        <is>
          <t>splicing</t>
        </is>
      </c>
      <c r="O1065" t="inlineStr">
        <is>
          <t>.</t>
        </is>
      </c>
      <c r="P1065" t="inlineStr">
        <is>
          <t>NM_001243812:exon44:c.6031-1G&gt;T;NM_000718:exon44:c.6031-1G&gt;T;uc004cog.3:exon44:c.6025-1G&gt;T;uc022bqn.1:exon44:c.6025-1G&gt;T;uc031tfy.1:exon45:c.6031-1G&gt;T;uc031tfz.1:exon45:c.6031-1G&gt;T;uc004coi.3:exon27:c.3667-1G&gt;T;ENST00000371372.6_6:exon45:c.6031-1G&gt;T;ENST00000277551.6_3:exon45:c.6031-1G&gt;T;ENST00000371363.5_1:exon44:c.6025-1G&gt;T;ENST00000371357.5_1:exon44:c.6028-1G&gt;T</t>
        </is>
      </c>
      <c r="Q1065" t="n">
        <v>-1</v>
      </c>
      <c r="R1065" t="n">
        <v>-1</v>
      </c>
      <c r="S1065" t="n">
        <v>-1</v>
      </c>
      <c r="T1065" t="n">
        <v>-1</v>
      </c>
      <c r="U1065" t="n">
        <v>-1</v>
      </c>
      <c r="V1065" t="inlineStr">
        <is>
          <t>2/2</t>
        </is>
      </c>
      <c r="W1065" t="inlineStr">
        <is>
          <t>D</t>
        </is>
      </c>
      <c r="X1065" t="inlineStr">
        <is>
          <t>PD</t>
        </is>
      </c>
      <c r="Y1065" t="inlineStr">
        <is>
          <t>on</t>
        </is>
      </c>
      <c r="Z1065" t="inlineStr">
        <is>
          <t>3/7</t>
        </is>
      </c>
      <c r="AA1065" t="inlineStr">
        <is>
          <t>.</t>
        </is>
      </c>
      <c r="AB1065" t="inlineStr">
        <is>
          <t>.</t>
        </is>
      </c>
      <c r="AC1065" t="inlineStr">
        <is>
          <t>0/1</t>
        </is>
      </c>
      <c r="AD1065" t="inlineStr">
        <is>
          <t>1</t>
        </is>
      </c>
      <c r="AE1065" t="inlineStr">
        <is>
          <t>0.982603443138066</t>
        </is>
      </c>
      <c r="AF1065" t="inlineStr">
        <is>
          <t>calcium voltage-gated channel subunit alpha1 B</t>
        </is>
      </c>
      <c r="AG1065" t="inlineStr">
        <is>
          <t xml:space="preserve">FUNCTION: Voltage-sensitive calcium channels (VSCC) mediate the entry of calcium ions into excitable cells and are also involved in a variety of calcium-dependent processes, including muscle contraction, hormone or neurotransmitter release, gene expression, cell motility, cell division and cell death. The isoform alpha-1B gives rise to N-type calcium currents. N-type calcium channels belong to the 'high-voltage activated' (HVA) group and are blocked by omega-conotoxin-GVIA (omega-CTx-GVIA) and by omega-agatoxin- IIIA (omega-Aga-IIIA). They are however insensitive to dihydropyridines (DHP), and omega-agatoxin-IVA (omega-Aga-IVA). Calcium channels containing alpha-1B subunit may play a role in directed migration of immature neurons.; </t>
        </is>
      </c>
      <c r="AH1065" t="inlineStr">
        <is>
          <t xml:space="preserve">DISEASE: Dystonia 23 (DYT23) [MIM:614860]: A form of dystonia, a disorder defined by the presence of sustained involuntary muscle contraction, often leading to abnormal postures. DYT23 is an autosomal dominant dystonia affecting the face, neck, limbs. Some DYT23 patients manifest generalized myoclonus in addition to progressive action-induced multifocal dystonia. {ECO:0000269|PubMed:25296916}. Note=The disease is caused by mutations affecting the gene represented in this entry.; </t>
        </is>
      </c>
      <c r="AI1065" t="inlineStr">
        <is>
          <t>.</t>
        </is>
      </c>
      <c r="AJ1065" t="inlineStr">
        <is>
          <t>.</t>
        </is>
      </c>
      <c r="AK1065" t="inlineStr">
        <is>
          <t>.</t>
        </is>
      </c>
      <c r="AL1065" t="inlineStr">
        <is>
          <t>.</t>
        </is>
      </c>
    </row>
    <row r="1066">
      <c r="A1066" t="inlineStr"/>
      <c r="B1066">
        <f>HYPERLINK("https://genome.ucsc.edu/cgi-bin/hgTracks?db=hg19&amp;position=chrX%3A7193938%2D7193938", "chrX:7193938")</f>
        <v/>
      </c>
      <c r="C1066" t="inlineStr">
        <is>
          <t>chrX</t>
        </is>
      </c>
      <c r="D1066" t="n">
        <v>7193938</v>
      </c>
      <c r="E1066" t="n">
        <v>7193938</v>
      </c>
      <c r="F1066" t="inlineStr">
        <is>
          <t>C</t>
        </is>
      </c>
      <c r="G1066" t="inlineStr">
        <is>
          <t>G</t>
        </is>
      </c>
      <c r="H1066" t="inlineStr">
        <is>
          <t>48.64</t>
        </is>
      </c>
      <c r="I1066" t="inlineStr">
        <is>
          <t>6</t>
        </is>
      </c>
      <c r="J1066" t="inlineStr">
        <is>
          <t>4,2</t>
        </is>
      </c>
      <c r="K1066" t="inlineStr">
        <is>
          <t>.</t>
        </is>
      </c>
      <c r="L1066" t="inlineStr">
        <is>
          <t>.</t>
        </is>
      </c>
      <c r="M1066">
        <f>HYPERLINK("https://www.genecards.org/Search/Keyword?queryString=%5Baliases%5D(%20STS%20)&amp;keywords=STS", "STS")</f>
        <v/>
      </c>
      <c r="N1066" t="inlineStr">
        <is>
          <t>intronic</t>
        </is>
      </c>
      <c r="O1066" t="inlineStr">
        <is>
          <t>.</t>
        </is>
      </c>
      <c r="P1066" t="inlineStr">
        <is>
          <t>.</t>
        </is>
      </c>
      <c r="Q1066" t="n">
        <v>-1</v>
      </c>
      <c r="R1066" t="n">
        <v>-1</v>
      </c>
      <c r="S1066" t="n">
        <v>-1</v>
      </c>
      <c r="T1066" t="n">
        <v>-1</v>
      </c>
      <c r="U1066" t="n">
        <v>-1</v>
      </c>
      <c r="V1066" t="inlineStr">
        <is>
          <t>.</t>
        </is>
      </c>
      <c r="W1066" t="inlineStr">
        <is>
          <t>.</t>
        </is>
      </c>
      <c r="X1066" t="inlineStr">
        <is>
          <t>D</t>
        </is>
      </c>
      <c r="Y1066" t="inlineStr">
        <is>
          <t>off</t>
        </is>
      </c>
      <c r="Z1066" t="inlineStr">
        <is>
          <t>.</t>
        </is>
      </c>
      <c r="AA1066" t="inlineStr">
        <is>
          <t>.</t>
        </is>
      </c>
      <c r="AB1066" t="inlineStr">
        <is>
          <t>.</t>
        </is>
      </c>
      <c r="AC1066" t="inlineStr">
        <is>
          <t>0/1</t>
        </is>
      </c>
      <c r="AD1066" t="inlineStr">
        <is>
          <t>1</t>
        </is>
      </c>
      <c r="AE1066" t="inlineStr">
        <is>
          <t>0.981414315787146</t>
        </is>
      </c>
      <c r="AF1066" t="inlineStr">
        <is>
          <t>steroid sulfatase (microsomal), isozyme S</t>
        </is>
      </c>
      <c r="AG1066" t="inlineStr">
        <is>
          <t xml:space="preserve">FUNCTION: Conversion of sulfated steroid precursors to estrogens during pregnancy.; </t>
        </is>
      </c>
      <c r="AH1066" t="inlineStr">
        <is>
          <t xml:space="preserve">DISEASE: Ichthyosis, X-linked (IXL) [MIM:308100]: A keratinization disorder manifesting with mild erythroderma and generalized exfoliation of the skin within a few weeks after birth. Affected boys later develop large, polygonal, dark brown scales, especially on the neck, extremities, trunk, and buttocks. {ECO:0000269|PubMed:10679952, ECO:0000269|PubMed:10844566, ECO:0000269|PubMed:1539590, ECO:0000269|PubMed:9252398}. Note=The disease is caused by mutations affecting the gene represented in this entry.; </t>
        </is>
      </c>
      <c r="AI1066" t="inlineStr">
        <is>
          <t>.</t>
        </is>
      </c>
      <c r="AJ1066" t="inlineStr">
        <is>
          <t>.</t>
        </is>
      </c>
      <c r="AK1066" t="inlineStr">
        <is>
          <t>.</t>
        </is>
      </c>
      <c r="AL1066" t="inlineStr">
        <is>
          <t>.</t>
        </is>
      </c>
    </row>
    <row r="1067">
      <c r="A1067" t="inlineStr"/>
      <c r="B1067">
        <f>HYPERLINK("https://genome.ucsc.edu/cgi-bin/hgTracks?db=hg19&amp;position=chrX%3A16836716%2D16836716", "chrX:16836716")</f>
        <v/>
      </c>
      <c r="C1067" t="inlineStr">
        <is>
          <t>chrX</t>
        </is>
      </c>
      <c r="D1067" t="n">
        <v>16836716</v>
      </c>
      <c r="E1067" t="n">
        <v>16836716</v>
      </c>
      <c r="F1067" t="inlineStr">
        <is>
          <t>A</t>
        </is>
      </c>
      <c r="G1067" t="inlineStr">
        <is>
          <t>C</t>
        </is>
      </c>
      <c r="H1067" t="inlineStr">
        <is>
          <t>969.64</t>
        </is>
      </c>
      <c r="I1067" t="inlineStr">
        <is>
          <t>99</t>
        </is>
      </c>
      <c r="J1067" t="inlineStr">
        <is>
          <t>61,38</t>
        </is>
      </c>
      <c r="K1067" t="inlineStr">
        <is>
          <t>.</t>
        </is>
      </c>
      <c r="L1067" t="inlineStr">
        <is>
          <t>.</t>
        </is>
      </c>
      <c r="M1067">
        <f>HYPERLINK("https://www.genecards.org/Search/Keyword?queryString=%5Baliases%5D(%20TXLNG%20)&amp;keywords=TXLNG", "TXLNG")</f>
        <v/>
      </c>
      <c r="N1067" t="inlineStr">
        <is>
          <t>exonic</t>
        </is>
      </c>
      <c r="O1067" t="inlineStr">
        <is>
          <t>nonsynonymous SNV</t>
        </is>
      </c>
      <c r="P1067" t="inlineStr">
        <is>
          <t>TXLNG:NM_018360:exon2:c.A122C:p.E41A;TXLNG:uc004cxq.2:exon2:c.A122C:p.E41A;TXLNG:ENST00000380122.10_5:exon2:c.A122C:p.E41A</t>
        </is>
      </c>
      <c r="Q1067" t="n">
        <v>-1</v>
      </c>
      <c r="R1067" t="n">
        <v>-1</v>
      </c>
      <c r="S1067" t="n">
        <v>-1</v>
      </c>
      <c r="T1067" t="n">
        <v>-1</v>
      </c>
      <c r="U1067" t="n">
        <v>-1</v>
      </c>
      <c r="V1067" t="inlineStr">
        <is>
          <t>6/12</t>
        </is>
      </c>
      <c r="W1067" t="inlineStr">
        <is>
          <t>.</t>
        </is>
      </c>
      <c r="X1067" t="inlineStr">
        <is>
          <t>.</t>
        </is>
      </c>
      <c r="Y1067" t="inlineStr">
        <is>
          <t>.</t>
        </is>
      </c>
      <c r="Z1067" t="inlineStr">
        <is>
          <t>3/6</t>
        </is>
      </c>
      <c r="AA1067" t="inlineStr">
        <is>
          <t>Uncertain significance</t>
        </is>
      </c>
      <c r="AB1067" t="inlineStr">
        <is>
          <t>.</t>
        </is>
      </c>
      <c r="AC1067" t="inlineStr">
        <is>
          <t>0/1</t>
        </is>
      </c>
      <c r="AD1067" t="inlineStr">
        <is>
          <t>1</t>
        </is>
      </c>
      <c r="AE1067" t="inlineStr">
        <is>
          <t>0.992209565527669</t>
        </is>
      </c>
      <c r="AF1067" t="inlineStr">
        <is>
          <t>taxilin gamma</t>
        </is>
      </c>
      <c r="AG1067" t="inlineStr">
        <is>
          <t xml:space="preserve">FUNCTION: May be involved in intracellular vesicle traffic. Inhibits ATF4-mediated transcription, possibly by dimerizing with ATF4 to form inactive dimers that cannot bind DNA. May be involved in regulating bone mass density through an ATF4-dependent pathway. May be involved in cell cycle progression. {ECO:0000269|PubMed:15911876, ECO:0000269|PubMed:18068885}.; </t>
        </is>
      </c>
      <c r="AH1067" t="inlineStr">
        <is>
          <t>.</t>
        </is>
      </c>
      <c r="AI1067" t="inlineStr">
        <is>
          <t>.</t>
        </is>
      </c>
      <c r="AJ1067" t="inlineStr">
        <is>
          <t>.</t>
        </is>
      </c>
      <c r="AK1067" t="inlineStr">
        <is>
          <t>.</t>
        </is>
      </c>
      <c r="AL1067" t="inlineStr">
        <is>
          <t>.</t>
        </is>
      </c>
    </row>
    <row r="1068">
      <c r="A1068" t="inlineStr"/>
      <c r="B1068">
        <f>HYPERLINK("https://genome.ucsc.edu/cgi-bin/hgTracks?db=hg19&amp;position=chrX%3A18626957%2D18626957", "chrX:18626957")</f>
        <v/>
      </c>
      <c r="C1068" t="inlineStr">
        <is>
          <t>chrX</t>
        </is>
      </c>
      <c r="D1068" t="n">
        <v>18626957</v>
      </c>
      <c r="E1068" t="n">
        <v>18626957</v>
      </c>
      <c r="F1068" t="inlineStr">
        <is>
          <t>G</t>
        </is>
      </c>
      <c r="G1068" t="inlineStr">
        <is>
          <t>T</t>
        </is>
      </c>
      <c r="H1068" t="inlineStr">
        <is>
          <t>104.64</t>
        </is>
      </c>
      <c r="I1068" t="inlineStr">
        <is>
          <t>97</t>
        </is>
      </c>
      <c r="J1068" t="inlineStr">
        <is>
          <t>84,13</t>
        </is>
      </c>
      <c r="K1068" t="inlineStr">
        <is>
          <t>.</t>
        </is>
      </c>
      <c r="L1068" t="inlineStr">
        <is>
          <t>.</t>
        </is>
      </c>
      <c r="M1068">
        <f>HYPERLINK("https://www.genecards.org/Search/Keyword?queryString=%5Baliases%5D(%20CDKL5%20)&amp;keywords=CDKL5", "CDKL5")</f>
        <v/>
      </c>
      <c r="N1068" t="inlineStr">
        <is>
          <t>exonic</t>
        </is>
      </c>
      <c r="O1068" t="inlineStr">
        <is>
          <t>nonsynonymous SNV</t>
        </is>
      </c>
      <c r="P1068" t="inlineStr">
        <is>
          <t>CDKL5:NM_001323289:exon13:c.G1971T:p.M657I,CDKL5:NM_003159:exon13:c.G1971T:p.M657I,CDKL5:NM_001037343:exon14:c.G1971T:p.M657I;CDKL5:uc022btn.1:exon12:c.G1944T:p.M648I,CDKL5:uc004cym.3:exon13:c.G1971T:p.M657I,CDKL5:uc004cyn.3:exon14:c.G1971T:p.M657I;CDKL5:ENST00000379996.7_1:exon13:c.G1971T:p.M657I,CDKL5:ENST00000623535.2_4:exon13:c.G1971T:p.M657I,CDKL5:ENST00000635828.1_1:exon13:c.G1971T:p.M657I,CDKL5:ENST00000674046.1_1:exon13:c.G1971T:p.M657I,CDKL5:ENST00000379989.6_1:exon14:c.G1971T:p.M657I</t>
        </is>
      </c>
      <c r="Q1068" t="n">
        <v>-1</v>
      </c>
      <c r="R1068" t="n">
        <v>-1</v>
      </c>
      <c r="S1068" t="n">
        <v>-1</v>
      </c>
      <c r="T1068" t="n">
        <v>-1</v>
      </c>
      <c r="U1068" t="n">
        <v>-1</v>
      </c>
      <c r="V1068" t="inlineStr">
        <is>
          <t>4/12</t>
        </is>
      </c>
      <c r="W1068" t="inlineStr">
        <is>
          <t>.</t>
        </is>
      </c>
      <c r="X1068" t="inlineStr">
        <is>
          <t>.</t>
        </is>
      </c>
      <c r="Y1068" t="inlineStr">
        <is>
          <t>.</t>
        </is>
      </c>
      <c r="Z1068" t="inlineStr">
        <is>
          <t>2/6</t>
        </is>
      </c>
      <c r="AA1068" t="inlineStr">
        <is>
          <t>Uncertain significance</t>
        </is>
      </c>
      <c r="AB1068" t="inlineStr">
        <is>
          <t>.</t>
        </is>
      </c>
      <c r="AC1068" t="inlineStr">
        <is>
          <t>0/1</t>
        </is>
      </c>
      <c r="AD1068" t="inlineStr">
        <is>
          <t>1</t>
        </is>
      </c>
      <c r="AE1068" t="inlineStr">
        <is>
          <t>0.997790054805334</t>
        </is>
      </c>
      <c r="AF1068" t="inlineStr">
        <is>
          <t>cyclin dependent kinase like 5</t>
        </is>
      </c>
      <c r="AG1068" t="inlineStr">
        <is>
          <t xml:space="preserve">FUNCTION: Mediates phosphorylation of MECP2. {ECO:0000269|PubMed:15917271, ECO:0000269|PubMed:16935860}.; </t>
        </is>
      </c>
      <c r="AH1068" t="inlineStr">
        <is>
          <t xml:space="preserve">DISEASE: Note=Chromosomal aberrations involving CDKL5 are found in patients manifesting early-onset seizures and spams and psychomotor impairment. Translocation t(X;6)(p22.3;q14); translocation t(X;7)(p22.3;p15).; DISEASE: Epileptic encephalopathy, early infantile, 2 (EIEE2) [MIM:300672]: A severe form of epilepsy characterized by seizures or spasms beginning in infancy. Patients with epileptic encephalopathy early infantile type 2 manifest features resembling Rett syndrome such as microcephaly, lack of speech development, stereotypic hand movements. However, EIEE2 and Rett syndrome are considered two distinct entities. {ECO:0000269|PubMed:12736870, ECO:0000269|PubMed:15492925, ECO:0000269|PubMed:15499549, ECO:0000269|PubMed:15689447, ECO:0000269|PubMed:15917271, ECO:0000269|PubMed:16015284, ECO:0000269|PubMed:16611748, ECO:0000269|PubMed:17993579, ECO:0000269|PubMed:18790821, ECO:0000269|PubMed:18809835, ECO:0000269|PubMed:19241098, ECO:0000269|PubMed:19253388, ECO:0000269|PubMed:24564546}. Note=The disease is caused by mutations affecting the gene represented in this entry.; </t>
        </is>
      </c>
      <c r="AI1068" t="inlineStr">
        <is>
          <t>.</t>
        </is>
      </c>
      <c r="AJ1068" t="inlineStr">
        <is>
          <t>.</t>
        </is>
      </c>
      <c r="AK1068" t="inlineStr">
        <is>
          <t>.</t>
        </is>
      </c>
      <c r="AL1068" t="inlineStr">
        <is>
          <t>.</t>
        </is>
      </c>
    </row>
    <row r="1069">
      <c r="A1069" t="inlineStr"/>
      <c r="B1069">
        <f>HYPERLINK("https://genome.ucsc.edu/cgi-bin/hgTracks?db=hg19&amp;position=chrX%3A23874521%2D23874521", "chrX:23874521")</f>
        <v/>
      </c>
      <c r="C1069" t="inlineStr">
        <is>
          <t>chrX</t>
        </is>
      </c>
      <c r="D1069" t="n">
        <v>23874521</v>
      </c>
      <c r="E1069" t="n">
        <v>23874521</v>
      </c>
      <c r="F1069" t="inlineStr">
        <is>
          <t>T</t>
        </is>
      </c>
      <c r="G1069" t="inlineStr">
        <is>
          <t>C</t>
        </is>
      </c>
      <c r="H1069" t="inlineStr">
        <is>
          <t>1600.06</t>
        </is>
      </c>
      <c r="I1069" t="inlineStr">
        <is>
          <t>55</t>
        </is>
      </c>
      <c r="J1069" t="inlineStr">
        <is>
          <t>0,55</t>
        </is>
      </c>
      <c r="K1069" t="inlineStr">
        <is>
          <t>.</t>
        </is>
      </c>
      <c r="L1069">
        <f>HYPERLINK("https://www.ncbi.nlm.nih.gov/snp/rs150314252", "rs150314252")</f>
        <v/>
      </c>
      <c r="M1069">
        <f>HYPERLINK("https://www.genecards.org/Search/Keyword?queryString=%5Baliases%5D(%20APOO%20)&amp;keywords=APOO", "APOO")</f>
        <v/>
      </c>
      <c r="N1069" t="inlineStr">
        <is>
          <t>intronic</t>
        </is>
      </c>
      <c r="O1069" t="inlineStr">
        <is>
          <t>.</t>
        </is>
      </c>
      <c r="P1069" t="inlineStr">
        <is>
          <t>.</t>
        </is>
      </c>
      <c r="Q1069" t="n">
        <v>0.011976</v>
      </c>
      <c r="R1069" t="n">
        <v>0.0083</v>
      </c>
      <c r="S1069" t="n">
        <v>0.01</v>
      </c>
      <c r="T1069" t="n">
        <v>-1</v>
      </c>
      <c r="U1069" t="n">
        <v>0.006</v>
      </c>
      <c r="V1069" t="inlineStr">
        <is>
          <t>.</t>
        </is>
      </c>
      <c r="W1069" t="inlineStr">
        <is>
          <t>.</t>
        </is>
      </c>
      <c r="X1069" t="inlineStr">
        <is>
          <t>D</t>
        </is>
      </c>
      <c r="Y1069" t="inlineStr">
        <is>
          <t>off</t>
        </is>
      </c>
      <c r="Z1069" t="inlineStr">
        <is>
          <t>.</t>
        </is>
      </c>
      <c r="AA1069" t="inlineStr">
        <is>
          <t>.</t>
        </is>
      </c>
      <c r="AB1069" t="inlineStr">
        <is>
          <t>.</t>
        </is>
      </c>
      <c r="AC1069" t="inlineStr">
        <is>
          <t>HOMO</t>
        </is>
      </c>
      <c r="AD1069" t="inlineStr">
        <is>
          <t>1</t>
        </is>
      </c>
      <c r="AE1069" t="inlineStr">
        <is>
          <t>0.754113198235746</t>
        </is>
      </c>
      <c r="AF1069" t="inlineStr">
        <is>
          <t>apolipoprotein O</t>
        </is>
      </c>
      <c r="AG1069" t="inlineStr">
        <is>
          <t xml:space="preserve">FUNCTION: Component of the MICOS complex, a large protein complex of the mitochondrial inner membrane that plays crucial roles in the maintenance of crista junctions, inner membrane architecture, and formation of contact sites to the outer membrane. Plays a crucial role in crista junction formation and mitochondrial function (PubMed:25764979). Can promote cardiac lipotoxicity by enhancing mitochondrial respiration and fatty acid metabolism in cardiac myoblasts (PubMed:24743151). Promotes cholesterol efflux from macrophage cells. Detected in HDL, LDL and VLDL. Secreted by a microsomal triglyceride transfer protein (MTTP)-dependent mechanism, probably as a VLDL-associated protein that is subsequently transferred to HDL (PubMed:16956892). {ECO:0000269|PubMed:16956892, ECO:0000269|PubMed:24743151, ECO:0000269|PubMed:25764979}.; </t>
        </is>
      </c>
      <c r="AH1069" t="inlineStr">
        <is>
          <t>.</t>
        </is>
      </c>
      <c r="AI1069" t="inlineStr">
        <is>
          <t>.</t>
        </is>
      </c>
      <c r="AJ1069" t="inlineStr">
        <is>
          <t>.</t>
        </is>
      </c>
      <c r="AK1069" t="inlineStr">
        <is>
          <t>.</t>
        </is>
      </c>
      <c r="AL1069" t="inlineStr">
        <is>
          <t>.</t>
        </is>
      </c>
    </row>
    <row r="1070">
      <c r="A1070" t="inlineStr"/>
      <c r="B1070">
        <f>HYPERLINK("https://genome.ucsc.edu/cgi-bin/hgTracks?db=hg19&amp;position=chrX%3A38009131%2D38009131", "chrX:38009131")</f>
        <v/>
      </c>
      <c r="C1070" t="inlineStr">
        <is>
          <t>chrX</t>
        </is>
      </c>
      <c r="D1070" t="n">
        <v>38009131</v>
      </c>
      <c r="E1070" t="n">
        <v>38009131</v>
      </c>
      <c r="F1070" t="inlineStr">
        <is>
          <t>G</t>
        </is>
      </c>
      <c r="G1070" t="inlineStr">
        <is>
          <t>T</t>
        </is>
      </c>
      <c r="H1070" t="inlineStr">
        <is>
          <t>906.64</t>
        </is>
      </c>
      <c r="I1070" t="inlineStr">
        <is>
          <t>81</t>
        </is>
      </c>
      <c r="J1070" t="inlineStr">
        <is>
          <t>43,38</t>
        </is>
      </c>
      <c r="K1070" t="inlineStr">
        <is>
          <t>.</t>
        </is>
      </c>
      <c r="L1070" t="inlineStr">
        <is>
          <t>.</t>
        </is>
      </c>
      <c r="M1070">
        <f>HYPERLINK("https://www.genecards.org/Search/Keyword?queryString=%5Baliases%5D(%20SRPX%20)&amp;keywords=SRPX", "SRPX")</f>
        <v/>
      </c>
      <c r="N1070" t="inlineStr">
        <is>
          <t>exonic</t>
        </is>
      </c>
      <c r="O1070" t="inlineStr">
        <is>
          <t>nonsynonymous SNV</t>
        </is>
      </c>
      <c r="P1070" t="inlineStr">
        <is>
          <t>SRPX:NM_001170750:exon9:c.C1168A:p.P390T,SRPX:NM_001170751:exon9:c.C1051A:p.P351T,SRPX:NM_001170752:exon9:c.C1106A:p.P369H,SRPX:NM_006307:exon10:c.C1228A:p.P410T;SRPX:uc004ddz.2:exon9:c.C1168A:p.P390T,SRPX:uc011mkh.2:exon9:c.C1051A:p.P351T,SRPX:uc011mki.2:exon9:c.C1106A:p.P369H,SRPX:uc004ddy.2:exon10:c.C1228A:p.P410T;SRPX:ENST00000432886.6_4:exon9:c.C1051A:p.P351T,SRPX:ENST00000538295.5_4:exon9:c.C1106A:p.P369H,SRPX:ENST00000544439.5_4:exon9:c.C1168A:p.P390T,SRPX:ENST00000378533.4_9:exon10:c.C1228A:p.P410T</t>
        </is>
      </c>
      <c r="Q1070" t="n">
        <v>-1</v>
      </c>
      <c r="R1070" t="n">
        <v>-1</v>
      </c>
      <c r="S1070" t="n">
        <v>-1</v>
      </c>
      <c r="T1070" t="n">
        <v>-1</v>
      </c>
      <c r="U1070" t="n">
        <v>-1</v>
      </c>
      <c r="V1070" t="inlineStr">
        <is>
          <t>5/11</t>
        </is>
      </c>
      <c r="W1070" t="inlineStr">
        <is>
          <t>.</t>
        </is>
      </c>
      <c r="X1070" t="inlineStr">
        <is>
          <t>.</t>
        </is>
      </c>
      <c r="Y1070" t="inlineStr">
        <is>
          <t>.</t>
        </is>
      </c>
      <c r="Z1070" t="inlineStr">
        <is>
          <t>4/6</t>
        </is>
      </c>
      <c r="AA1070" t="inlineStr">
        <is>
          <t>Uncertain significance</t>
        </is>
      </c>
      <c r="AB1070" t="inlineStr">
        <is>
          <t>.</t>
        </is>
      </c>
      <c r="AC1070" t="inlineStr">
        <is>
          <t>0/1</t>
        </is>
      </c>
      <c r="AD1070" t="inlineStr">
        <is>
          <t>1</t>
        </is>
      </c>
      <c r="AE1070" t="inlineStr">
        <is>
          <t>0.00848262097838311</t>
        </is>
      </c>
      <c r="AF1070" t="inlineStr">
        <is>
          <t>sushi repeat containing protein, X-linked</t>
        </is>
      </c>
      <c r="AG1070" t="inlineStr">
        <is>
          <t xml:space="preserve">FUNCTION: May be involved in phagocytosis during disk shedding, cell adhesion to cells other than the pigment epithelium or signal transduction.; </t>
        </is>
      </c>
      <c r="AH1070" t="inlineStr">
        <is>
          <t>.</t>
        </is>
      </c>
      <c r="AI1070" t="inlineStr">
        <is>
          <t>.</t>
        </is>
      </c>
      <c r="AJ1070" t="inlineStr">
        <is>
          <t>.</t>
        </is>
      </c>
      <c r="AK1070" t="inlineStr">
        <is>
          <t>.</t>
        </is>
      </c>
      <c r="AL1070" t="inlineStr">
        <is>
          <t>.</t>
        </is>
      </c>
    </row>
    <row r="1071">
      <c r="A1071" t="inlineStr"/>
      <c r="B1071">
        <f>HYPERLINK("https://genome.ucsc.edu/cgi-bin/hgTracks?db=hg19&amp;position=chrX%3A39931326%2D39931326", "chrX:39931326")</f>
        <v/>
      </c>
      <c r="C1071" t="inlineStr">
        <is>
          <t>chrX</t>
        </is>
      </c>
      <c r="D1071" t="n">
        <v>39931326</v>
      </c>
      <c r="E1071" t="n">
        <v>39931326</v>
      </c>
      <c r="F1071" t="inlineStr">
        <is>
          <t>C</t>
        </is>
      </c>
      <c r="G1071" t="inlineStr">
        <is>
          <t>G</t>
        </is>
      </c>
      <c r="H1071" t="inlineStr">
        <is>
          <t>187.96</t>
        </is>
      </c>
      <c r="I1071" t="inlineStr">
        <is>
          <t>5</t>
        </is>
      </c>
      <c r="J1071" t="inlineStr">
        <is>
          <t>0,5</t>
        </is>
      </c>
      <c r="K1071" t="inlineStr">
        <is>
          <t>.</t>
        </is>
      </c>
      <c r="L1071">
        <f>HYPERLINK("https://www.ncbi.nlm.nih.gov/snp/rs777472319", "rs777472319")</f>
        <v/>
      </c>
      <c r="M1071">
        <f>HYPERLINK("https://www.genecards.org/Search/Keyword?queryString=%5Baliases%5D(%20BCOR%20)&amp;keywords=BCOR", "BCOR")</f>
        <v/>
      </c>
      <c r="N1071" t="inlineStr">
        <is>
          <t>UTR3;intronic</t>
        </is>
      </c>
      <c r="O1071" t="inlineStr">
        <is>
          <t>.</t>
        </is>
      </c>
      <c r="P1071" t="inlineStr">
        <is>
          <t>uc004deq.4:c.*258G&gt;C</t>
        </is>
      </c>
      <c r="Q1071" t="n">
        <v>0.0005</v>
      </c>
      <c r="R1071" t="n">
        <v>0.0004</v>
      </c>
      <c r="S1071" t="n">
        <v>0.0005</v>
      </c>
      <c r="T1071" t="n">
        <v>-1</v>
      </c>
      <c r="U1071" t="n">
        <v>0.0005999999999999999</v>
      </c>
      <c r="V1071" t="inlineStr">
        <is>
          <t>.</t>
        </is>
      </c>
      <c r="W1071" t="inlineStr">
        <is>
          <t>.</t>
        </is>
      </c>
      <c r="X1071" t="inlineStr">
        <is>
          <t>PD</t>
        </is>
      </c>
      <c r="Y1071" t="inlineStr">
        <is>
          <t>off</t>
        </is>
      </c>
      <c r="Z1071" t="inlineStr">
        <is>
          <t>.</t>
        </is>
      </c>
      <c r="AA1071" t="inlineStr">
        <is>
          <t>.</t>
        </is>
      </c>
      <c r="AB1071" t="inlineStr">
        <is>
          <t>.</t>
        </is>
      </c>
      <c r="AC1071" t="inlineStr">
        <is>
          <t>HOMO</t>
        </is>
      </c>
      <c r="AD1071" t="inlineStr">
        <is>
          <t>1</t>
        </is>
      </c>
      <c r="AE1071" t="inlineStr">
        <is>
          <t>0.999945621390125</t>
        </is>
      </c>
      <c r="AF1071" t="inlineStr">
        <is>
          <t>BCL6 corepressor</t>
        </is>
      </c>
      <c r="AG1071" t="inlineStr">
        <is>
          <t xml:space="preserve">FUNCTION: Transcriptional corepressor. May specifically inhibit gene expression when recruited to promoter regions by sequence- specific DNA-binding proteins such as BCL6 and MLLT3. This repression may be mediated at least in part by histone deacetylase activities which can associate with this corepressor. Involved in the repression of TFAP2A; impairs binding of BCL6 and KDM2B to TFAP2A promoter regions. Via repression of TFAP2A acts as a negative regulator of osteo-dentiogenic capacity in adult stem cells; the function implies inhibition of methylation on histone H3 'Lys-4' (H3K4me3) and 'Lys-36' (H3K36me2). {ECO:0000269|PubMed:10898795, ECO:0000269|PubMed:15004558, ECO:0000269|PubMed:18280243, ECO:0000269|PubMed:19578371, ECO:0000269|PubMed:23911289}.; </t>
        </is>
      </c>
      <c r="AH1071" t="inlineStr">
        <is>
          <t>.</t>
        </is>
      </c>
      <c r="AI1071" t="inlineStr">
        <is>
          <t>.</t>
        </is>
      </c>
      <c r="AJ1071" t="inlineStr">
        <is>
          <t>.</t>
        </is>
      </c>
      <c r="AK1071" t="inlineStr">
        <is>
          <t>.</t>
        </is>
      </c>
      <c r="AL1071" t="inlineStr">
        <is>
          <t>.</t>
        </is>
      </c>
    </row>
    <row r="1072">
      <c r="A1072" t="inlineStr"/>
      <c r="B1072">
        <f>HYPERLINK("https://genome.ucsc.edu/cgi-bin/hgTracks?db=hg19&amp;position=chrX%3A40562635%2D40562635", "chrX:40562635")</f>
        <v/>
      </c>
      <c r="C1072" t="inlineStr">
        <is>
          <t>chrX</t>
        </is>
      </c>
      <c r="D1072" t="n">
        <v>40562635</v>
      </c>
      <c r="E1072" t="n">
        <v>40562635</v>
      </c>
      <c r="F1072" t="inlineStr">
        <is>
          <t>T</t>
        </is>
      </c>
      <c r="G1072" t="inlineStr">
        <is>
          <t>C</t>
        </is>
      </c>
      <c r="H1072" t="inlineStr">
        <is>
          <t>46.64</t>
        </is>
      </c>
      <c r="I1072" t="inlineStr">
        <is>
          <t>12</t>
        </is>
      </c>
      <c r="J1072" t="inlineStr">
        <is>
          <t>10,2</t>
        </is>
      </c>
      <c r="K1072" t="inlineStr">
        <is>
          <t>.</t>
        </is>
      </c>
      <c r="L1072" t="inlineStr">
        <is>
          <t>.</t>
        </is>
      </c>
      <c r="M1072">
        <f>HYPERLINK("https://www.genecards.org/Search/Keyword?queryString=%5Baliases%5D(%20MED14%20)&amp;keywords=MED14", "MED14")</f>
        <v/>
      </c>
      <c r="N1072" t="inlineStr">
        <is>
          <t>intronic</t>
        </is>
      </c>
      <c r="O1072" t="inlineStr">
        <is>
          <t>.</t>
        </is>
      </c>
      <c r="P1072" t="inlineStr">
        <is>
          <t>.</t>
        </is>
      </c>
      <c r="Q1072" t="n">
        <v>-1</v>
      </c>
      <c r="R1072" t="n">
        <v>-1</v>
      </c>
      <c r="S1072" t="n">
        <v>-1</v>
      </c>
      <c r="T1072" t="n">
        <v>-1</v>
      </c>
      <c r="U1072" t="n">
        <v>-1</v>
      </c>
      <c r="V1072" t="inlineStr">
        <is>
          <t>.</t>
        </is>
      </c>
      <c r="W1072" t="inlineStr">
        <is>
          <t>.</t>
        </is>
      </c>
      <c r="X1072" t="inlineStr">
        <is>
          <t>D</t>
        </is>
      </c>
      <c r="Y1072" t="inlineStr">
        <is>
          <t>off</t>
        </is>
      </c>
      <c r="Z1072" t="inlineStr">
        <is>
          <t>.</t>
        </is>
      </c>
      <c r="AA1072" t="inlineStr">
        <is>
          <t>.</t>
        </is>
      </c>
      <c r="AB1072" t="inlineStr">
        <is>
          <t>.</t>
        </is>
      </c>
      <c r="AC1072" t="inlineStr">
        <is>
          <t>.</t>
        </is>
      </c>
      <c r="AD1072" t="inlineStr">
        <is>
          <t>1</t>
        </is>
      </c>
      <c r="AE1072" t="inlineStr">
        <is>
          <t>0.999999382308837</t>
        </is>
      </c>
      <c r="AF1072" t="inlineStr">
        <is>
          <t>mediator complex subunit 14</t>
        </is>
      </c>
      <c r="AG1072" t="inlineStr">
        <is>
          <t xml:space="preserve">FUNCTION: Component of the Mediator complex, a coactivator involved in the regulated transcription of nearly all RNA polymerase II-dependent genes. Mediator functions as a bridge to convey information from gene-specific regulatory proteins to the basal RNA polymerase II transcription machinery. Mediator is recruited to promoters by direct interactions with regulatory proteins and serves as a scaffold for the assembly of a functional preinitiation complex with RNA polymerase II and the general transcription factors. {ECO:0000269|PubMed:15340088, ECO:0000269|PubMed:15625066, ECO:0000269|PubMed:16595664}.; </t>
        </is>
      </c>
      <c r="AH1072" t="inlineStr">
        <is>
          <t>.</t>
        </is>
      </c>
      <c r="AI1072" t="inlineStr">
        <is>
          <t>.</t>
        </is>
      </c>
      <c r="AJ1072" t="inlineStr">
        <is>
          <t>.</t>
        </is>
      </c>
      <c r="AK1072" t="inlineStr">
        <is>
          <t>.</t>
        </is>
      </c>
      <c r="AL1072" t="inlineStr">
        <is>
          <t>.</t>
        </is>
      </c>
    </row>
    <row r="1073">
      <c r="A1073" t="inlineStr"/>
      <c r="B1073">
        <f>HYPERLINK("https://genome.ucsc.edu/cgi-bin/hgTracks?db=hg19&amp;position=chrX%3A47485494%2D47485494", "chrX:47485494")</f>
        <v/>
      </c>
      <c r="C1073" t="inlineStr">
        <is>
          <t>chrX</t>
        </is>
      </c>
      <c r="D1073" t="n">
        <v>47485494</v>
      </c>
      <c r="E1073" t="n">
        <v>47485494</v>
      </c>
      <c r="F1073" t="inlineStr">
        <is>
          <t>G</t>
        </is>
      </c>
      <c r="G1073" t="inlineStr">
        <is>
          <t>A</t>
        </is>
      </c>
      <c r="H1073" t="inlineStr">
        <is>
          <t>724.64</t>
        </is>
      </c>
      <c r="I1073" t="inlineStr">
        <is>
          <t>70</t>
        </is>
      </c>
      <c r="J1073" t="inlineStr">
        <is>
          <t>38,32</t>
        </is>
      </c>
      <c r="K1073" t="inlineStr">
        <is>
          <t>.</t>
        </is>
      </c>
      <c r="L1073">
        <f>HYPERLINK("https://www.ncbi.nlm.nih.gov/snp/rs752660612", "rs752660612")</f>
        <v/>
      </c>
      <c r="M1073">
        <f>HYPERLINK("https://www.genecards.org/Search/Keyword?queryString=%5Baliases%5D(%20CFP%20)&amp;keywords=CFP", "CFP")</f>
        <v/>
      </c>
      <c r="N1073" t="inlineStr">
        <is>
          <t>exonic</t>
        </is>
      </c>
      <c r="O1073" t="inlineStr">
        <is>
          <t>nonsynonymous SNV</t>
        </is>
      </c>
      <c r="P1073" t="inlineStr">
        <is>
          <t>CFP:NM_001145252:exon8:c.C1207T:p.R403C,CFP:NM_002621:exon9:c.C1207T:p.R403C;CFP:uc004dii.1:exon7:c.C1015T:p.R339C,CFP:uc004dig.4:exon8:c.C1207T:p.R403C,CFP:uc010nhu.2:exon8:c.C1207T:p.R403C,CFP:uc004dih.3:exon9:c.C1207T:p.R403C;CFP:ENST00000377005.6_4:exon8:c.C1207T:p.R403C,CFP:ENST00000396992.8_5:exon8:c.C1207T:p.R403C,CFP:ENST00000247153.7_4:exon9:c.C1207T:p.R403C</t>
        </is>
      </c>
      <c r="Q1073" t="n">
        <v>6.5e-06</v>
      </c>
      <c r="R1073" t="n">
        <v>-1</v>
      </c>
      <c r="S1073" t="n">
        <v>-1</v>
      </c>
      <c r="T1073" t="n">
        <v>-1</v>
      </c>
      <c r="U1073" t="n">
        <v>-1</v>
      </c>
      <c r="V1073" t="inlineStr">
        <is>
          <t>9/11</t>
        </is>
      </c>
      <c r="W1073" t="inlineStr">
        <is>
          <t>.</t>
        </is>
      </c>
      <c r="X1073" t="inlineStr">
        <is>
          <t>.</t>
        </is>
      </c>
      <c r="Y1073" t="inlineStr">
        <is>
          <t>.</t>
        </is>
      </c>
      <c r="Z1073" t="inlineStr">
        <is>
          <t>3/6</t>
        </is>
      </c>
      <c r="AA1073" t="inlineStr">
        <is>
          <t>Uncertain significance</t>
        </is>
      </c>
      <c r="AB1073" t="inlineStr">
        <is>
          <t>.</t>
        </is>
      </c>
      <c r="AC1073" t="inlineStr">
        <is>
          <t>0/1</t>
        </is>
      </c>
      <c r="AD1073" t="inlineStr">
        <is>
          <t>1</t>
        </is>
      </c>
      <c r="AE1073" t="inlineStr">
        <is>
          <t>0.944168669031185</t>
        </is>
      </c>
      <c r="AF1073" t="inlineStr">
        <is>
          <t>complement factor properdin</t>
        </is>
      </c>
      <c r="AG1073" t="inlineStr">
        <is>
          <t xml:space="preserve">FUNCTION: A positive regulator of the alternate pathway of complement. It binds to and stabilizes the C3- and C5-convertase enzyme complexes. {ECO:0000269|PubMed:20382442}.; </t>
        </is>
      </c>
      <c r="AH1073" t="inlineStr">
        <is>
          <t xml:space="preserve">DISEASE: Properdin deficiency (PFD) [MIM:312060]: Results in higher susceptibility to bacterial infections; especially to meningococcal infections. Three phenotypes have been reported: complete deficiency (type I), incomplete deficiency (type II), and dysfunction of properdin (type III). {ECO:0000269|PubMed:10909851, ECO:0000269|PubMed:8871668, ECO:0000269|PubMed:9710744}. Note=The disease is caused by mutations affecting the gene represented in this entry.; </t>
        </is>
      </c>
      <c r="AI1073" t="inlineStr">
        <is>
          <t>.</t>
        </is>
      </c>
      <c r="AJ1073" t="inlineStr">
        <is>
          <t>.</t>
        </is>
      </c>
      <c r="AK1073" t="inlineStr">
        <is>
          <t>.</t>
        </is>
      </c>
      <c r="AL1073" t="inlineStr">
        <is>
          <t>.</t>
        </is>
      </c>
    </row>
    <row r="1074">
      <c r="A1074" t="inlineStr"/>
      <c r="B1074">
        <f>HYPERLINK("https://genome.ucsc.edu/cgi-bin/hgTracks?db=hg19&amp;position=chrX%3A54470975%2D54470975", "chrX:54470975")</f>
        <v/>
      </c>
      <c r="C1074" t="inlineStr">
        <is>
          <t>chrX</t>
        </is>
      </c>
      <c r="D1074" t="n">
        <v>54470975</v>
      </c>
      <c r="E1074" t="n">
        <v>54470975</v>
      </c>
      <c r="F1074" t="inlineStr">
        <is>
          <t>A</t>
        </is>
      </c>
      <c r="G1074" t="inlineStr">
        <is>
          <t>G</t>
        </is>
      </c>
      <c r="H1074" t="inlineStr">
        <is>
          <t>2104.06</t>
        </is>
      </c>
      <c r="I1074" t="inlineStr">
        <is>
          <t>70</t>
        </is>
      </c>
      <c r="J1074" t="inlineStr">
        <is>
          <t>0,70</t>
        </is>
      </c>
      <c r="K1074" t="inlineStr">
        <is>
          <t>.</t>
        </is>
      </c>
      <c r="L1074" t="inlineStr">
        <is>
          <t>.</t>
        </is>
      </c>
      <c r="M1074">
        <f>HYPERLINK("https://www.genecards.org/Search/Keyword?queryString=%5Baliases%5D(%20TSR2%20)&amp;keywords=TSR2", "TSR2")</f>
        <v/>
      </c>
      <c r="N1074" t="inlineStr">
        <is>
          <t>exonic</t>
        </is>
      </c>
      <c r="O1074" t="inlineStr">
        <is>
          <t>nonsynonymous SNV</t>
        </is>
      </c>
      <c r="P1074" t="inlineStr">
        <is>
          <t>TSR2:NM_001346792:exon4:c.A283G:p.K95E,TSR2:NM_001346789:exon5:c.A559G:p.K187E,TSR2:NM_001346790:exon5:c.A283G:p.K95E,TSR2:NM_001346791:exon5:c.A283G:p.K95E,TSR2:NM_058163:exon5:c.A568G:p.K190E;TSR2:uc004dtf.3:exon4:c.A283G:p.K95E,TSR2:uc004dte.3:exon5:c.A568G:p.K190E;TSR2:ENST00000375151.5_3:exon5:c.A568G:p.K190E</t>
        </is>
      </c>
      <c r="Q1074" t="n">
        <v>-1</v>
      </c>
      <c r="R1074" t="n">
        <v>-1</v>
      </c>
      <c r="S1074" t="n">
        <v>-1</v>
      </c>
      <c r="T1074" t="n">
        <v>-1</v>
      </c>
      <c r="U1074" t="n">
        <v>-1</v>
      </c>
      <c r="V1074" t="inlineStr">
        <is>
          <t>6/11</t>
        </is>
      </c>
      <c r="W1074" t="inlineStr">
        <is>
          <t>.</t>
        </is>
      </c>
      <c r="X1074" t="inlineStr">
        <is>
          <t>.</t>
        </is>
      </c>
      <c r="Y1074" t="inlineStr">
        <is>
          <t>.</t>
        </is>
      </c>
      <c r="Z1074" t="inlineStr">
        <is>
          <t>3/6</t>
        </is>
      </c>
      <c r="AA1074" t="inlineStr">
        <is>
          <t>Uncertain significance</t>
        </is>
      </c>
      <c r="AB1074" t="inlineStr">
        <is>
          <t>.</t>
        </is>
      </c>
      <c r="AC1074" t="inlineStr">
        <is>
          <t>HOMO</t>
        </is>
      </c>
      <c r="AD1074" t="inlineStr">
        <is>
          <t>1</t>
        </is>
      </c>
      <c r="AE1074" t="inlineStr">
        <is>
          <t>0.760610428612814</t>
        </is>
      </c>
      <c r="AF1074" t="inlineStr">
        <is>
          <t>TSR2, 20S rRNA accumulation, homolog (S. cerevisiae)</t>
        </is>
      </c>
      <c r="AG1074" t="inlineStr">
        <is>
          <t xml:space="preserve">FUNCTION: May be involved in 20S pre-rRNA processing. {ECO:0000305}.; </t>
        </is>
      </c>
      <c r="AH1074" t="inlineStr">
        <is>
          <t xml:space="preserve">DISEASE: Diamond-Blackfan anemia 14, with mandibulofacial dysostosis (DBA14) [MIM:300946]: A form of Diamond-Blackfan anemia, a congenital non-regenerative hypoplastic anemia that usually presents early in infancy. Diamond-Blackfan anemia is characterized by a moderate to severe macrocytic anemia, erythroblastopenia, and an increased risk of malignancy. 30 to 40% of Diamond-Blackfan anemia patients present with short stature and congenital anomalies, the most frequent being craniofacial (Pierre-Robin syndrome and cleft palate), thumb and urogenital anomalies. {ECO:0000269|PubMed:24942156}. Note=The disease is caused by mutations affecting the gene represented in this entry.; </t>
        </is>
      </c>
      <c r="AI1074" t="inlineStr">
        <is>
          <t>.</t>
        </is>
      </c>
      <c r="AJ1074" t="inlineStr">
        <is>
          <t>.</t>
        </is>
      </c>
      <c r="AK1074" t="inlineStr">
        <is>
          <t>.</t>
        </is>
      </c>
      <c r="AL1074" t="inlineStr">
        <is>
          <t>.</t>
        </is>
      </c>
    </row>
    <row r="1075">
      <c r="A1075" t="inlineStr"/>
      <c r="B1075">
        <f>HYPERLINK("https://genome.ucsc.edu/cgi-bin/hgTracks?db=hg19&amp;position=chrX%3A55172680%2D55172680", "chrX:55172680")</f>
        <v/>
      </c>
      <c r="C1075" t="inlineStr">
        <is>
          <t>chrX</t>
        </is>
      </c>
      <c r="D1075" t="n">
        <v>55172680</v>
      </c>
      <c r="E1075" t="n">
        <v>55172680</v>
      </c>
      <c r="F1075" t="inlineStr">
        <is>
          <t>G</t>
        </is>
      </c>
      <c r="G1075" t="inlineStr">
        <is>
          <t>C</t>
        </is>
      </c>
      <c r="H1075" t="inlineStr">
        <is>
          <t>7551.64</t>
        </is>
      </c>
      <c r="I1075" t="inlineStr">
        <is>
          <t>462</t>
        </is>
      </c>
      <c r="J1075" t="inlineStr">
        <is>
          <t>257,205</t>
        </is>
      </c>
      <c r="K1075" t="inlineStr">
        <is>
          <t>.</t>
        </is>
      </c>
      <c r="L1075">
        <f>HYPERLINK("https://www.ncbi.nlm.nih.gov/snp/rs111638770", "rs111638770")</f>
        <v/>
      </c>
      <c r="M1075">
        <f>HYPERLINK("https://www.genecards.org/Search/Keyword?queryString=%5Baliases%5D(%20FAM104B%20)&amp;keywords=FAM104B", "FAM104B")</f>
        <v/>
      </c>
      <c r="N1075" t="inlineStr">
        <is>
          <t>exonic</t>
        </is>
      </c>
      <c r="O1075" t="inlineStr">
        <is>
          <t>nonsynonymous SNV</t>
        </is>
      </c>
      <c r="P1075" t="inlineStr">
        <is>
          <t>FAM104B:NM_001166699:exon3:c.C188G:p.P63R,FAM104B:NM_001166700:exon3:c.C188G:p.P63R,FAM104B:NM_001166701:exon3:c.C185G:p.P62R,FAM104B:NM_001166702:exon3:c.C176G:p.P59R,FAM104B:NM_001166703:exon3:c.C182G:p.P61R,FAM104B:NM_138362:exon3:c.C185G:p.P62R;FAM104B:uc004dug.2:exon3:c.C188G:p.P63R,FAM104B:uc004duh.2:exon3:c.C185G:p.P62R,FAM104B:uc004dui.4:exon3:c.C188G:p.P63R,FAM104B:uc022bxm.1:exon3:c.C182G:p.P61R,FAM104B:uc022bxn.1:exon3:c.C176G:p.P59R,FAM104B:uc022bxo.1:exon3:c.C185G:p.P62R;FAM104B:ENST00000332132.8_5:exon3:c.C188G:p.P63R,FAM104B:ENST00000358460.8_6:exon3:c.C185G:p.P62R,FAM104B:ENST00000425133.2_9:exon3:c.C188G:p.P63R,FAM104B:ENST00000477847.6_5:exon3:c.C176G:p.P59R,FAM104B:ENST00000489298.1_8:exon3:c.C182G:p.P61R,FAM104B:ENST00000685693.1_3:exon3:c.C185G:p.P62R</t>
        </is>
      </c>
      <c r="Q1075" t="n">
        <v>0.023529</v>
      </c>
      <c r="R1075" t="n">
        <v>-1</v>
      </c>
      <c r="S1075" t="n">
        <v>-1</v>
      </c>
      <c r="T1075" t="n">
        <v>-1</v>
      </c>
      <c r="U1075" t="n">
        <v>-1</v>
      </c>
      <c r="V1075" t="inlineStr">
        <is>
          <t>3/11</t>
        </is>
      </c>
      <c r="W1075" t="inlineStr">
        <is>
          <t>.</t>
        </is>
      </c>
      <c r="X1075" t="inlineStr">
        <is>
          <t>.</t>
        </is>
      </c>
      <c r="Y1075" t="inlineStr">
        <is>
          <t>.</t>
        </is>
      </c>
      <c r="Z1075" t="inlineStr">
        <is>
          <t>0/6</t>
        </is>
      </c>
      <c r="AA1075" t="inlineStr">
        <is>
          <t>Uncertain significance</t>
        </is>
      </c>
      <c r="AB1075" t="inlineStr">
        <is>
          <t>.</t>
        </is>
      </c>
      <c r="AC1075" t="inlineStr">
        <is>
          <t>.</t>
        </is>
      </c>
      <c r="AD1075" t="inlineStr">
        <is>
          <t>5</t>
        </is>
      </c>
      <c r="AE1075" t="inlineStr">
        <is>
          <t>0.00870993932895896</t>
        </is>
      </c>
      <c r="AF1075" t="inlineStr">
        <is>
          <t>family with sequence similarity 104 member B</t>
        </is>
      </c>
      <c r="AG1075" t="inlineStr">
        <is>
          <t>.</t>
        </is>
      </c>
      <c r="AH1075" t="inlineStr">
        <is>
          <t>.</t>
        </is>
      </c>
      <c r="AI1075" t="inlineStr">
        <is>
          <t>.</t>
        </is>
      </c>
      <c r="AJ1075" t="inlineStr">
        <is>
          <t>.</t>
        </is>
      </c>
      <c r="AK1075" t="inlineStr">
        <is>
          <t>.</t>
        </is>
      </c>
      <c r="AL1075" t="inlineStr">
        <is>
          <t>NGS_LowStringency</t>
        </is>
      </c>
    </row>
    <row r="1076">
      <c r="A1076" t="inlineStr"/>
      <c r="B1076">
        <f>HYPERLINK("https://genome.ucsc.edu/cgi-bin/hgTracks?db=hg19&amp;position=chrX%3A55172685%2D55172685", "chrX:55172685")</f>
        <v/>
      </c>
      <c r="C1076" t="inlineStr">
        <is>
          <t>chrX</t>
        </is>
      </c>
      <c r="D1076" t="n">
        <v>55172685</v>
      </c>
      <c r="E1076" t="n">
        <v>55172685</v>
      </c>
      <c r="F1076" t="inlineStr">
        <is>
          <t>-</t>
        </is>
      </c>
      <c r="G1076" t="inlineStr">
        <is>
          <t>T</t>
        </is>
      </c>
      <c r="H1076" t="inlineStr">
        <is>
          <t>7665.60</t>
        </is>
      </c>
      <c r="I1076" t="inlineStr">
        <is>
          <t>475</t>
        </is>
      </c>
      <c r="J1076" t="inlineStr">
        <is>
          <t>265,210</t>
        </is>
      </c>
      <c r="K1076" t="inlineStr">
        <is>
          <t>.</t>
        </is>
      </c>
      <c r="L1076" t="inlineStr">
        <is>
          <t>.</t>
        </is>
      </c>
      <c r="M1076">
        <f>HYPERLINK("https://www.genecards.org/Search/Keyword?queryString=%5Baliases%5D(%20FAM104B%20)&amp;keywords=FAM104B", "FAM104B")</f>
        <v/>
      </c>
      <c r="N1076" t="inlineStr">
        <is>
          <t>exonic</t>
        </is>
      </c>
      <c r="O1076" t="inlineStr">
        <is>
          <t>frameshift insertion</t>
        </is>
      </c>
      <c r="P1076" t="inlineStr">
        <is>
          <t>FAM104B:NM_001166699:exon3:c.182_183insA:p.S61Rfs*13,FAM104B:NM_001166700:exon3:c.182_183insA:p.S61Rfs*13,FAM104B:NM_001166701:exon3:c.179_180insA:p.S60Rfs*13,FAM104B:NM_001166702:exon3:c.170_171insA:p.S57Rfs*13,FAM104B:NM_001166703:exon3:c.176_177insA:p.S59Rfs*13,FAM104B:NM_138362:exon3:c.179_180insA:p.S60Rfs*13;FAM104B:uc004dug.2:exon3:c.182_183insA:p.S61Rfs*13,FAM104B:uc004duh.2:exon3:c.179_180insA:p.S60Rfs*13,FAM104B:uc004dui.4:exon3:c.182_183insA:p.S61Rfs*13,FAM104B:uc022bxm.1:exon3:c.176_177insA:p.S59Rfs*13,FAM104B:uc022bxn.1:exon3:c.170_171insA:p.S57Rfs*13,FAM104B:uc022bxo.1:exon3:c.179_180insA:p.S60Rfs*13;FAM104B:ENST00000332132.8_5:exon3:c.182_183insA:p.S61Rfs*13,FAM104B:ENST00000358460.8_6:exon3:c.179_180insA:p.S60Rfs*13,FAM104B:ENST00000425133.2_9:exon3:c.182_183insA:p.S61Rfs*13,FAM104B:ENST00000477847.6_5:exon3:c.170_171insA:p.S57Rfs*13,FAM104B:ENST00000489298.1_8:exon3:c.176_177insA:p.S59Rfs*13,FAM104B:ENST00000685693.1_3:exon3:c.179_180insA:p.S60Rfs*13</t>
        </is>
      </c>
      <c r="Q1076" t="n">
        <v>-1</v>
      </c>
      <c r="R1076" t="n">
        <v>-1</v>
      </c>
      <c r="S1076" t="n">
        <v>-1</v>
      </c>
      <c r="T1076" t="n">
        <v>-1</v>
      </c>
      <c r="U1076" t="n">
        <v>-1</v>
      </c>
      <c r="V1076" t="inlineStr">
        <is>
          <t>.</t>
        </is>
      </c>
      <c r="W1076" t="inlineStr">
        <is>
          <t>.</t>
        </is>
      </c>
      <c r="X1076" t="inlineStr">
        <is>
          <t>.</t>
        </is>
      </c>
      <c r="Y1076" t="inlineStr">
        <is>
          <t>.</t>
        </is>
      </c>
      <c r="Z1076" t="inlineStr">
        <is>
          <t>.</t>
        </is>
      </c>
      <c r="AA1076" t="inlineStr">
        <is>
          <t>.</t>
        </is>
      </c>
      <c r="AB1076" t="inlineStr">
        <is>
          <t>.</t>
        </is>
      </c>
      <c r="AC1076" t="inlineStr">
        <is>
          <t>.</t>
        </is>
      </c>
      <c r="AD1076" t="inlineStr">
        <is>
          <t>5</t>
        </is>
      </c>
      <c r="AE1076" t="inlineStr">
        <is>
          <t>0.00870993932895896</t>
        </is>
      </c>
      <c r="AF1076" t="inlineStr">
        <is>
          <t>family with sequence similarity 104 member B</t>
        </is>
      </c>
      <c r="AG1076" t="inlineStr">
        <is>
          <t>.</t>
        </is>
      </c>
      <c r="AH1076" t="inlineStr">
        <is>
          <t>.</t>
        </is>
      </c>
      <c r="AI1076" t="inlineStr">
        <is>
          <t>AlleleImbalance</t>
        </is>
      </c>
      <c r="AJ1076" t="inlineStr">
        <is>
          <t>.</t>
        </is>
      </c>
      <c r="AK1076" t="inlineStr">
        <is>
          <t>.</t>
        </is>
      </c>
      <c r="AL1076" t="inlineStr">
        <is>
          <t>NGS_LowStringency</t>
        </is>
      </c>
    </row>
    <row r="1077">
      <c r="A1077" t="inlineStr"/>
      <c r="B1077">
        <f>HYPERLINK("https://genome.ucsc.edu/cgi-bin/hgTracks?db=hg19&amp;position=chrX%3A55172687%2D55172687", "chrX:55172687")</f>
        <v/>
      </c>
      <c r="C1077" t="inlineStr">
        <is>
          <t>chrX</t>
        </is>
      </c>
      <c r="D1077" t="n">
        <v>55172687</v>
      </c>
      <c r="E1077" t="n">
        <v>55172687</v>
      </c>
      <c r="F1077" t="inlineStr">
        <is>
          <t>T</t>
        </is>
      </c>
      <c r="G1077" t="inlineStr">
        <is>
          <t>C</t>
        </is>
      </c>
      <c r="H1077" t="inlineStr">
        <is>
          <t>5974.64</t>
        </is>
      </c>
      <c r="I1077" t="inlineStr">
        <is>
          <t>485</t>
        </is>
      </c>
      <c r="J1077" t="inlineStr">
        <is>
          <t>286,199</t>
        </is>
      </c>
      <c r="K1077" t="inlineStr">
        <is>
          <t>.</t>
        </is>
      </c>
      <c r="L1077">
        <f>HYPERLINK("https://www.ncbi.nlm.nih.gov/snp/rs1047037", "rs1047037")</f>
        <v/>
      </c>
      <c r="M1077">
        <f>HYPERLINK("https://www.genecards.org/Search/Keyword?queryString=%5Baliases%5D(%20FAM104B%20)&amp;keywords=FAM104B", "FAM104B")</f>
        <v/>
      </c>
      <c r="N1077" t="inlineStr">
        <is>
          <t>exonic</t>
        </is>
      </c>
      <c r="O1077" t="inlineStr">
        <is>
          <t>nonsynonymous SNV</t>
        </is>
      </c>
      <c r="P1077" t="inlineStr">
        <is>
          <t>FAM104B:NM_001166699:exon3:c.A181G:p.S61G,FAM104B:NM_001166700:exon3:c.A181G:p.S61G,FAM104B:NM_001166701:exon3:c.A178G:p.S60G,FAM104B:NM_001166702:exon3:c.A169G:p.S57G,FAM104B:NM_001166703:exon3:c.A175G:p.S59G,FAM104B:NM_138362:exon3:c.A178G:p.S60G;FAM104B:uc004dug.2:exon3:c.A181G:p.S61G,FAM104B:uc004duh.2:exon3:c.A178G:p.S60G,FAM104B:uc004dui.4:exon3:c.A181G:p.S61G,FAM104B:uc022bxm.1:exon3:c.A175G:p.S59G,FAM104B:uc022bxn.1:exon3:c.A169G:p.S57G,FAM104B:uc022bxo.1:exon3:c.A178G:p.S60G;FAM104B:ENST00000332132.8_5:exon3:c.A181G:p.S61G,FAM104B:ENST00000358460.8_6:exon3:c.A178G:p.S60G,FAM104B:ENST00000425133.2_9:exon3:c.A181G:p.S61G,FAM104B:ENST00000477847.6_5:exon3:c.A169G:p.S57G,FAM104B:ENST00000489298.1_8:exon3:c.A175G:p.S59G,FAM104B:ENST00000685693.1_3:exon3:c.A178G:p.S60G</t>
        </is>
      </c>
      <c r="Q1077" t="n">
        <v>0.0016106</v>
      </c>
      <c r="R1077" t="n">
        <v>-1</v>
      </c>
      <c r="S1077" t="n">
        <v>-1</v>
      </c>
      <c r="T1077" t="n">
        <v>-1</v>
      </c>
      <c r="U1077" t="n">
        <v>-1</v>
      </c>
      <c r="V1077" t="inlineStr">
        <is>
          <t>3/12</t>
        </is>
      </c>
      <c r="W1077" t="inlineStr">
        <is>
          <t>.</t>
        </is>
      </c>
      <c r="X1077" t="inlineStr">
        <is>
          <t>.</t>
        </is>
      </c>
      <c r="Y1077" t="inlineStr">
        <is>
          <t>.</t>
        </is>
      </c>
      <c r="Z1077" t="inlineStr">
        <is>
          <t>0/6</t>
        </is>
      </c>
      <c r="AA1077" t="inlineStr">
        <is>
          <t>Uncertain significance</t>
        </is>
      </c>
      <c r="AB1077" t="inlineStr">
        <is>
          <t>.</t>
        </is>
      </c>
      <c r="AC1077" t="inlineStr">
        <is>
          <t>0/1</t>
        </is>
      </c>
      <c r="AD1077" t="inlineStr">
        <is>
          <t>5</t>
        </is>
      </c>
      <c r="AE1077" t="inlineStr">
        <is>
          <t>0.00870993932895896</t>
        </is>
      </c>
      <c r="AF1077" t="inlineStr">
        <is>
          <t>family with sequence similarity 104 member B</t>
        </is>
      </c>
      <c r="AG1077" t="inlineStr">
        <is>
          <t>.</t>
        </is>
      </c>
      <c r="AH1077" t="inlineStr">
        <is>
          <t>.</t>
        </is>
      </c>
      <c r="AI1077" t="inlineStr">
        <is>
          <t>AlleleImbalance;GenotypeConflict</t>
        </is>
      </c>
      <c r="AJ1077" t="inlineStr">
        <is>
          <t>.</t>
        </is>
      </c>
      <c r="AK1077" t="inlineStr">
        <is>
          <t>.</t>
        </is>
      </c>
      <c r="AL1077" t="inlineStr">
        <is>
          <t>NGS_LowStringency</t>
        </is>
      </c>
    </row>
    <row r="1078">
      <c r="A1078" t="inlineStr"/>
      <c r="B1078">
        <f>HYPERLINK("https://genome.ucsc.edu/cgi-bin/hgTracks?db=hg19&amp;position=chrX%3A55172689%2D55172689", "chrX:55172689")</f>
        <v/>
      </c>
      <c r="C1078" t="inlineStr">
        <is>
          <t>chrX</t>
        </is>
      </c>
      <c r="D1078" t="n">
        <v>55172689</v>
      </c>
      <c r="E1078" t="n">
        <v>55172689</v>
      </c>
      <c r="F1078" t="inlineStr">
        <is>
          <t>G</t>
        </is>
      </c>
      <c r="G1078" t="inlineStr">
        <is>
          <t>-</t>
        </is>
      </c>
      <c r="H1078" t="inlineStr">
        <is>
          <t>7650.60</t>
        </is>
      </c>
      <c r="I1078" t="inlineStr">
        <is>
          <t>474</t>
        </is>
      </c>
      <c r="J1078" t="inlineStr">
        <is>
          <t>266,208</t>
        </is>
      </c>
      <c r="K1078" t="inlineStr">
        <is>
          <t>.</t>
        </is>
      </c>
      <c r="L1078" t="inlineStr">
        <is>
          <t>.</t>
        </is>
      </c>
      <c r="M1078">
        <f>HYPERLINK("https://www.genecards.org/Search/Keyword?queryString=%5Baliases%5D(%20FAM104B%20)&amp;keywords=FAM104B", "FAM104B")</f>
        <v/>
      </c>
      <c r="N1078" t="inlineStr">
        <is>
          <t>exonic</t>
        </is>
      </c>
      <c r="O1078" t="inlineStr">
        <is>
          <t>frameshift deletion</t>
        </is>
      </c>
      <c r="P1078" t="inlineStr">
        <is>
          <t>FAM104B:NM_001166699:exon3:c.179delC:p.A60Efs*8,FAM104B:NM_001166700:exon3:c.179delC:p.A60Efs*8,FAM104B:NM_001166701:exon3:c.176delC:p.A59Efs*8,FAM104B:NM_001166702:exon3:c.167delC:p.A56Efs*8,FAM104B:NM_001166703:exon3:c.173delC:p.A58Efs*8,FAM104B:NM_138362:exon3:c.176delC:p.A59Efs*8;FAM104B:uc004dug.2:exon3:c.179delC:p.A60Efs*8,FAM104B:uc004duh.2:exon3:c.176delC:p.A59Efs*8,FAM104B:uc004dui.4:exon3:c.179delC:p.A60Efs*8,FAM104B:uc022bxm.1:exon3:c.173delC:p.A58Efs*8,FAM104B:uc022bxn.1:exon3:c.167delC:p.A56Efs*8,FAM104B:uc022bxo.1:exon3:c.176delC:p.A59Efs*8;FAM104B:ENST00000332132.8_5:exon3:c.179delC:p.A60Efs*8,FAM104B:ENST00000358460.8_6:exon3:c.176delC:p.A59Efs*8,FAM104B:ENST00000425133.2_9:exon3:c.179delC:p.A60Efs*8,FAM104B:ENST00000477847.6_5:exon3:c.167delC:p.A56Efs*8,FAM104B:ENST00000489298.1_8:exon3:c.173delC:p.A58Efs*8,FAM104B:ENST00000685693.1_3:exon3:c.176delC:p.A59Efs*8</t>
        </is>
      </c>
      <c r="Q1078" t="n">
        <v>-1</v>
      </c>
      <c r="R1078" t="n">
        <v>-1</v>
      </c>
      <c r="S1078" t="n">
        <v>-1</v>
      </c>
      <c r="T1078" t="n">
        <v>-1</v>
      </c>
      <c r="U1078" t="n">
        <v>-1</v>
      </c>
      <c r="V1078" t="inlineStr">
        <is>
          <t>.</t>
        </is>
      </c>
      <c r="W1078" t="inlineStr">
        <is>
          <t>.</t>
        </is>
      </c>
      <c r="X1078" t="inlineStr">
        <is>
          <t>.</t>
        </is>
      </c>
      <c r="Y1078" t="inlineStr">
        <is>
          <t>.</t>
        </is>
      </c>
      <c r="Z1078" t="inlineStr">
        <is>
          <t>.</t>
        </is>
      </c>
      <c r="AA1078" t="inlineStr">
        <is>
          <t>.</t>
        </is>
      </c>
      <c r="AB1078" t="inlineStr">
        <is>
          <t>.</t>
        </is>
      </c>
      <c r="AC1078" t="inlineStr">
        <is>
          <t>.</t>
        </is>
      </c>
      <c r="AD1078" t="inlineStr">
        <is>
          <t>5</t>
        </is>
      </c>
      <c r="AE1078" t="inlineStr">
        <is>
          <t>0.00870993932895896</t>
        </is>
      </c>
      <c r="AF1078" t="inlineStr">
        <is>
          <t>family with sequence similarity 104 member B</t>
        </is>
      </c>
      <c r="AG1078" t="inlineStr">
        <is>
          <t>.</t>
        </is>
      </c>
      <c r="AH1078" t="inlineStr">
        <is>
          <t>.</t>
        </is>
      </c>
      <c r="AI1078" t="inlineStr">
        <is>
          <t>.</t>
        </is>
      </c>
      <c r="AJ1078" t="inlineStr">
        <is>
          <t>.</t>
        </is>
      </c>
      <c r="AK1078" t="inlineStr">
        <is>
          <t>.</t>
        </is>
      </c>
      <c r="AL1078" t="inlineStr">
        <is>
          <t>NGS_LowStringency</t>
        </is>
      </c>
    </row>
    <row r="1079">
      <c r="A1079" t="inlineStr"/>
      <c r="B1079">
        <f>HYPERLINK("https://genome.ucsc.edu/cgi-bin/hgTracks?db=hg19&amp;position=chrX%3A55172708%2D55172708", "chrX:55172708")</f>
        <v/>
      </c>
      <c r="C1079" t="inlineStr">
        <is>
          <t>chrX</t>
        </is>
      </c>
      <c r="D1079" t="n">
        <v>55172708</v>
      </c>
      <c r="E1079" t="n">
        <v>55172708</v>
      </c>
      <c r="F1079" t="inlineStr">
        <is>
          <t>T</t>
        </is>
      </c>
      <c r="G1079" t="inlineStr">
        <is>
          <t>G</t>
        </is>
      </c>
      <c r="H1079" t="inlineStr">
        <is>
          <t>14514.64</t>
        </is>
      </c>
      <c r="I1079" t="inlineStr">
        <is>
          <t>499</t>
        </is>
      </c>
      <c r="J1079" t="inlineStr">
        <is>
          <t>66,433</t>
        </is>
      </c>
      <c r="K1079" t="inlineStr">
        <is>
          <t>.</t>
        </is>
      </c>
      <c r="L1079">
        <f>HYPERLINK("https://www.ncbi.nlm.nih.gov/snp/rs1047034", "rs1047034")</f>
        <v/>
      </c>
      <c r="M1079">
        <f>HYPERLINK("https://www.genecards.org/Search/Keyword?queryString=%5Baliases%5D(%20FAM104B%20)&amp;keywords=FAM104B", "FAM104B")</f>
        <v/>
      </c>
      <c r="N1079" t="inlineStr">
        <is>
          <t>exonic</t>
        </is>
      </c>
      <c r="O1079" t="inlineStr">
        <is>
          <t>nonsynonymous SNV</t>
        </is>
      </c>
      <c r="P1079" t="inlineStr">
        <is>
          <t>FAM104B:NM_001166699:exon3:c.A160C:p.I54L,FAM104B:NM_001166700:exon3:c.A160C:p.I54L,FAM104B:NM_001166701:exon3:c.A157C:p.I53L,FAM104B:NM_001166702:exon3:c.A148C:p.I50L,FAM104B:NM_001166703:exon3:c.A154C:p.I52L,FAM104B:NM_138362:exon3:c.A157C:p.I53L;FAM104B:uc004dug.2:exon3:c.A160C:p.I54L,FAM104B:uc004duh.2:exon3:c.A157C:p.I53L,FAM104B:uc004dui.4:exon3:c.A160C:p.I54L,FAM104B:uc022bxm.1:exon3:c.A154C:p.I52L,FAM104B:uc022bxn.1:exon3:c.A148C:p.I50L,FAM104B:uc022bxo.1:exon3:c.A157C:p.I53L;FAM104B:ENST00000332132.8_5:exon3:c.A160C:p.I54L,FAM104B:ENST00000358460.8_6:exon3:c.A157C:p.I53L,FAM104B:ENST00000425133.2_9:exon3:c.A160C:p.I54L,FAM104B:ENST00000477847.6_5:exon3:c.A148C:p.I50L,FAM104B:ENST00000489298.1_8:exon3:c.A154C:p.I52L,FAM104B:ENST00000685693.1_3:exon3:c.A157C:p.I53L</t>
        </is>
      </c>
      <c r="Q1079" t="n">
        <v>0.0196828</v>
      </c>
      <c r="R1079" t="n">
        <v>-1</v>
      </c>
      <c r="S1079" t="n">
        <v>-1</v>
      </c>
      <c r="T1079" t="n">
        <v>-1</v>
      </c>
      <c r="U1079" t="n">
        <v>-1</v>
      </c>
      <c r="V1079" t="inlineStr">
        <is>
          <t>3/11</t>
        </is>
      </c>
      <c r="W1079" t="inlineStr">
        <is>
          <t>.</t>
        </is>
      </c>
      <c r="X1079" t="inlineStr">
        <is>
          <t>.</t>
        </is>
      </c>
      <c r="Y1079" t="inlineStr">
        <is>
          <t>.</t>
        </is>
      </c>
      <c r="Z1079" t="inlineStr">
        <is>
          <t>1/6</t>
        </is>
      </c>
      <c r="AA1079" t="inlineStr">
        <is>
          <t>Uncertain significance</t>
        </is>
      </c>
      <c r="AB1079" t="inlineStr">
        <is>
          <t>.</t>
        </is>
      </c>
      <c r="AC1079" t="inlineStr">
        <is>
          <t>0/1</t>
        </is>
      </c>
      <c r="AD1079" t="inlineStr">
        <is>
          <t>5</t>
        </is>
      </c>
      <c r="AE1079" t="inlineStr">
        <is>
          <t>0.00870993932895896</t>
        </is>
      </c>
      <c r="AF1079" t="inlineStr">
        <is>
          <t>family with sequence similarity 104 member B</t>
        </is>
      </c>
      <c r="AG1079" t="inlineStr">
        <is>
          <t>.</t>
        </is>
      </c>
      <c r="AH1079" t="inlineStr">
        <is>
          <t>.</t>
        </is>
      </c>
      <c r="AI1079" t="inlineStr">
        <is>
          <t>.</t>
        </is>
      </c>
      <c r="AJ1079" t="inlineStr">
        <is>
          <t>.</t>
        </is>
      </c>
      <c r="AK1079" t="inlineStr">
        <is>
          <t>.</t>
        </is>
      </c>
      <c r="AL1079" t="inlineStr">
        <is>
          <t>NGS_LowStringency</t>
        </is>
      </c>
    </row>
    <row r="1080">
      <c r="A1080" t="inlineStr"/>
      <c r="B1080">
        <f>HYPERLINK("https://genome.ucsc.edu/cgi-bin/hgTracks?db=hg19&amp;position=chrX%3A57935492%2D57935492", "chrX:57935492")</f>
        <v/>
      </c>
      <c r="C1080" t="inlineStr">
        <is>
          <t>chrX</t>
        </is>
      </c>
      <c r="D1080" t="n">
        <v>57935492</v>
      </c>
      <c r="E1080" t="n">
        <v>57935492</v>
      </c>
      <c r="F1080" t="inlineStr">
        <is>
          <t>C</t>
        </is>
      </c>
      <c r="G1080" t="inlineStr">
        <is>
          <t>A</t>
        </is>
      </c>
      <c r="H1080" t="inlineStr">
        <is>
          <t>996.64</t>
        </is>
      </c>
      <c r="I1080" t="inlineStr">
        <is>
          <t>83</t>
        </is>
      </c>
      <c r="J1080" t="inlineStr">
        <is>
          <t>38,45</t>
        </is>
      </c>
      <c r="K1080" t="inlineStr">
        <is>
          <t>.</t>
        </is>
      </c>
      <c r="L1080" t="inlineStr">
        <is>
          <t>.</t>
        </is>
      </c>
      <c r="M1080">
        <f>HYPERLINK("https://www.genecards.org/Search/Keyword?queryString=%5Baliases%5D(%20ZXDA%20)&amp;keywords=ZXDA", "ZXDA")</f>
        <v/>
      </c>
      <c r="N1080" t="inlineStr">
        <is>
          <t>exonic</t>
        </is>
      </c>
      <c r="O1080" t="inlineStr">
        <is>
          <t>nonsynonymous SNV</t>
        </is>
      </c>
      <c r="P1080" t="inlineStr">
        <is>
          <t>ZXDA:NM_007156:exon1:c.G1363T:p.D455Y;ZXDA:uc004dve.3:exon1:c.G1363T:p.D455Y;ZXDA:ENST00000358697.6_4:exon1:c.G1363T:p.D455Y</t>
        </is>
      </c>
      <c r="Q1080" t="n">
        <v>-1</v>
      </c>
      <c r="R1080" t="n">
        <v>-1</v>
      </c>
      <c r="S1080" t="n">
        <v>-1</v>
      </c>
      <c r="T1080" t="n">
        <v>-1</v>
      </c>
      <c r="U1080" t="n">
        <v>-1</v>
      </c>
      <c r="V1080" t="inlineStr">
        <is>
          <t>7/12</t>
        </is>
      </c>
      <c r="W1080" t="inlineStr">
        <is>
          <t>.</t>
        </is>
      </c>
      <c r="X1080" t="inlineStr">
        <is>
          <t>.</t>
        </is>
      </c>
      <c r="Y1080" t="inlineStr">
        <is>
          <t>.</t>
        </is>
      </c>
      <c r="Z1080" t="inlineStr">
        <is>
          <t>1/6</t>
        </is>
      </c>
      <c r="AA1080" t="inlineStr">
        <is>
          <t>Uncertain significance</t>
        </is>
      </c>
      <c r="AB1080" t="inlineStr">
        <is>
          <t>.</t>
        </is>
      </c>
      <c r="AC1080" t="inlineStr">
        <is>
          <t>0/1</t>
        </is>
      </c>
      <c r="AD1080" t="inlineStr">
        <is>
          <t>2</t>
        </is>
      </c>
      <c r="AE1080" t="inlineStr">
        <is>
          <t>0.00521089549915299</t>
        </is>
      </c>
      <c r="AF1080" t="inlineStr">
        <is>
          <t>zinc finger, X-linked, duplicated A</t>
        </is>
      </c>
      <c r="AG1080" t="inlineStr">
        <is>
          <t xml:space="preserve">FUNCTION: Cooperates with CIITA to promote transcription of MHC class I and MHC class II genes. {ECO:0000269|PubMed:17493635}.; </t>
        </is>
      </c>
      <c r="AH1080" t="inlineStr">
        <is>
          <t>.</t>
        </is>
      </c>
      <c r="AI1080" t="inlineStr">
        <is>
          <t>.</t>
        </is>
      </c>
      <c r="AJ1080" t="inlineStr">
        <is>
          <t>.</t>
        </is>
      </c>
      <c r="AK1080" t="inlineStr">
        <is>
          <t>.</t>
        </is>
      </c>
      <c r="AL1080" t="inlineStr">
        <is>
          <t>NGS_HighStringency</t>
        </is>
      </c>
    </row>
    <row r="1081">
      <c r="A1081" t="inlineStr"/>
      <c r="B1081">
        <f>HYPERLINK("https://genome.ucsc.edu/cgi-bin/hgTracks?db=hg19&amp;position=chrX%3A57936042%2D57936055", "chrX:57936042")</f>
        <v/>
      </c>
      <c r="C1081" t="inlineStr">
        <is>
          <t>chrX</t>
        </is>
      </c>
      <c r="D1081" t="n">
        <v>57936042</v>
      </c>
      <c r="E1081" t="n">
        <v>57936055</v>
      </c>
      <c r="F1081" t="inlineStr">
        <is>
          <t>CTCGGGGCACAGGT</t>
        </is>
      </c>
      <c r="G1081" t="inlineStr">
        <is>
          <t>-</t>
        </is>
      </c>
      <c r="H1081" t="inlineStr">
        <is>
          <t>601.60</t>
        </is>
      </c>
      <c r="I1081" t="inlineStr">
        <is>
          <t>48</t>
        </is>
      </c>
      <c r="J1081" t="inlineStr">
        <is>
          <t>31,17</t>
        </is>
      </c>
      <c r="K1081" t="inlineStr">
        <is>
          <t>.</t>
        </is>
      </c>
      <c r="L1081" t="inlineStr">
        <is>
          <t>.</t>
        </is>
      </c>
      <c r="M1081">
        <f>HYPERLINK("https://www.genecards.org/Search/Keyword?queryString=%5Baliases%5D(%20ZXDA%20)&amp;keywords=ZXDA", "ZXDA")</f>
        <v/>
      </c>
      <c r="N1081" t="inlineStr">
        <is>
          <t>exonic</t>
        </is>
      </c>
      <c r="O1081" t="inlineStr">
        <is>
          <t>frameshift deletion</t>
        </is>
      </c>
      <c r="P1081" t="inlineStr">
        <is>
          <t>ZXDA:NM_007156:exon1:c.800_813del:p.Y267Cfs*55;ZXDA:uc004dve.3:exon1:c.800_813del:p.Y267Cfs*55;ZXDA:ENST00000358697.6_4:exon1:c.800_813del:p.Y267Cfs*55</t>
        </is>
      </c>
      <c r="Q1081" t="n">
        <v>-1</v>
      </c>
      <c r="R1081" t="n">
        <v>-1</v>
      </c>
      <c r="S1081" t="n">
        <v>-1</v>
      </c>
      <c r="T1081" t="n">
        <v>-1</v>
      </c>
      <c r="U1081" t="n">
        <v>-1</v>
      </c>
      <c r="V1081" t="inlineStr">
        <is>
          <t>.</t>
        </is>
      </c>
      <c r="W1081" t="inlineStr">
        <is>
          <t>.</t>
        </is>
      </c>
      <c r="X1081" t="inlineStr">
        <is>
          <t>.</t>
        </is>
      </c>
      <c r="Y1081" t="inlineStr">
        <is>
          <t>.</t>
        </is>
      </c>
      <c r="Z1081" t="inlineStr">
        <is>
          <t>.</t>
        </is>
      </c>
      <c r="AA1081" t="inlineStr">
        <is>
          <t>.</t>
        </is>
      </c>
      <c r="AB1081" t="inlineStr">
        <is>
          <t>.</t>
        </is>
      </c>
      <c r="AC1081" t="inlineStr">
        <is>
          <t>0/1</t>
        </is>
      </c>
      <c r="AD1081" t="inlineStr">
        <is>
          <t>2</t>
        </is>
      </c>
      <c r="AE1081" t="inlineStr">
        <is>
          <t>0.00521089549915299</t>
        </is>
      </c>
      <c r="AF1081" t="inlineStr">
        <is>
          <t>zinc finger, X-linked, duplicated A</t>
        </is>
      </c>
      <c r="AG1081" t="inlineStr">
        <is>
          <t xml:space="preserve">FUNCTION: Cooperates with CIITA to promote transcription of MHC class I and MHC class II genes. {ECO:0000269|PubMed:17493635}.; </t>
        </is>
      </c>
      <c r="AH1081" t="inlineStr">
        <is>
          <t>.</t>
        </is>
      </c>
      <c r="AI1081" t="inlineStr">
        <is>
          <t>.</t>
        </is>
      </c>
      <c r="AJ1081" t="inlineStr">
        <is>
          <t>.</t>
        </is>
      </c>
      <c r="AK1081" t="inlineStr">
        <is>
          <t>.</t>
        </is>
      </c>
      <c r="AL1081" t="inlineStr">
        <is>
          <t>NGS_HighStringency</t>
        </is>
      </c>
    </row>
    <row r="1082">
      <c r="A1082" t="inlineStr"/>
      <c r="B1082">
        <f>HYPERLINK("https://genome.ucsc.edu/cgi-bin/hgTracks?db=hg19&amp;position=chrX%3A63488470%2D63488470", "chrX:63488470")</f>
        <v/>
      </c>
      <c r="C1082" t="inlineStr">
        <is>
          <t>chrX</t>
        </is>
      </c>
      <c r="D1082" t="n">
        <v>63488470</v>
      </c>
      <c r="E1082" t="n">
        <v>63488470</v>
      </c>
      <c r="F1082" t="inlineStr">
        <is>
          <t>T</t>
        </is>
      </c>
      <c r="G1082" t="inlineStr">
        <is>
          <t>C</t>
        </is>
      </c>
      <c r="H1082" t="inlineStr">
        <is>
          <t>2333.06</t>
        </is>
      </c>
      <c r="I1082" t="inlineStr">
        <is>
          <t>78</t>
        </is>
      </c>
      <c r="J1082" t="inlineStr">
        <is>
          <t>0,78</t>
        </is>
      </c>
      <c r="K1082" t="inlineStr">
        <is>
          <t>.</t>
        </is>
      </c>
      <c r="L1082" t="inlineStr">
        <is>
          <t>.</t>
        </is>
      </c>
      <c r="M1082">
        <f>HYPERLINK("https://www.genecards.org/Search/Keyword?queryString=%5Baliases%5D(%20MTMR8%20)&amp;keywords=MTMR8", "MTMR8")</f>
        <v/>
      </c>
      <c r="N1082" t="inlineStr">
        <is>
          <t>exonic</t>
        </is>
      </c>
      <c r="O1082" t="inlineStr">
        <is>
          <t>nonsynonymous SNV</t>
        </is>
      </c>
      <c r="P1082" t="inlineStr">
        <is>
          <t>MTMR8:NM_017677:exon14:c.A2062G:p.T688A;MTMR8:uc004dvs.3:exon14:c.A2062G:p.T688A;MTMR8:ENST00000374852.4_5:exon14:c.A2062G:p.T688A</t>
        </is>
      </c>
      <c r="Q1082" t="n">
        <v>-1</v>
      </c>
      <c r="R1082" t="n">
        <v>-1</v>
      </c>
      <c r="S1082" t="n">
        <v>-1</v>
      </c>
      <c r="T1082" t="n">
        <v>-1</v>
      </c>
      <c r="U1082" t="n">
        <v>-1</v>
      </c>
      <c r="V1082" t="inlineStr">
        <is>
          <t>4/11</t>
        </is>
      </c>
      <c r="W1082" t="inlineStr">
        <is>
          <t>.</t>
        </is>
      </c>
      <c r="X1082" t="inlineStr">
        <is>
          <t>.</t>
        </is>
      </c>
      <c r="Y1082" t="inlineStr">
        <is>
          <t>.</t>
        </is>
      </c>
      <c r="Z1082" t="inlineStr">
        <is>
          <t>0/6</t>
        </is>
      </c>
      <c r="AA1082" t="inlineStr">
        <is>
          <t>Uncertain significance</t>
        </is>
      </c>
      <c r="AB1082" t="inlineStr">
        <is>
          <t>.</t>
        </is>
      </c>
      <c r="AC1082" t="inlineStr">
        <is>
          <t>HOMO</t>
        </is>
      </c>
      <c r="AD1082" t="inlineStr">
        <is>
          <t>1</t>
        </is>
      </c>
      <c r="AE1082" t="inlineStr">
        <is>
          <t>1.33537060083682e-11</t>
        </is>
      </c>
      <c r="AF1082" t="inlineStr">
        <is>
          <t>myotubularin related protein 8</t>
        </is>
      </c>
      <c r="AG1082" t="inlineStr">
        <is>
          <t xml:space="preserve">FUNCTION: Phosphatase that acts on lipids with a phosphoinositol headgroup. {ECO:0000305}.; </t>
        </is>
      </c>
      <c r="AH1082" t="inlineStr">
        <is>
          <t>.</t>
        </is>
      </c>
      <c r="AI1082" t="inlineStr">
        <is>
          <t>.</t>
        </is>
      </c>
      <c r="AJ1082" t="inlineStr">
        <is>
          <t>.</t>
        </is>
      </c>
      <c r="AK1082" t="inlineStr">
        <is>
          <t>.</t>
        </is>
      </c>
      <c r="AL1082" t="inlineStr">
        <is>
          <t>.</t>
        </is>
      </c>
    </row>
    <row r="1083">
      <c r="A1083" t="inlineStr"/>
      <c r="B1083">
        <f>HYPERLINK("https://genome.ucsc.edu/cgi-bin/hgTracks?db=hg19&amp;position=chrX%3A70639872%2D70639872", "chrX:70639872")</f>
        <v/>
      </c>
      <c r="C1083" t="inlineStr">
        <is>
          <t>chrX</t>
        </is>
      </c>
      <c r="D1083" t="n">
        <v>70639872</v>
      </c>
      <c r="E1083" t="n">
        <v>70639872</v>
      </c>
      <c r="F1083" t="inlineStr">
        <is>
          <t>-</t>
        </is>
      </c>
      <c r="G1083" t="inlineStr">
        <is>
          <t>T</t>
        </is>
      </c>
      <c r="H1083" t="inlineStr">
        <is>
          <t>73.60</t>
        </is>
      </c>
      <c r="I1083" t="inlineStr">
        <is>
          <t>18</t>
        </is>
      </c>
      <c r="J1083" t="inlineStr">
        <is>
          <t>13,5</t>
        </is>
      </c>
      <c r="K1083" t="inlineStr">
        <is>
          <t>.</t>
        </is>
      </c>
      <c r="L1083" t="inlineStr">
        <is>
          <t>.</t>
        </is>
      </c>
      <c r="M1083">
        <f>HYPERLINK("https://www.genecards.org/Search/Keyword?queryString=%5Baliases%5D(%20BCYRN1%20)%20OR%20%5Baliases%5D(%20TAF1%20)&amp;keywords=BCYRN1,TAF1", "BCYRN1;TAF1")</f>
        <v/>
      </c>
      <c r="N1083" t="inlineStr">
        <is>
          <t>intronic;ncRNA_intronic</t>
        </is>
      </c>
      <c r="O1083" t="inlineStr">
        <is>
          <t>.</t>
        </is>
      </c>
      <c r="P1083" t="inlineStr">
        <is>
          <t>.</t>
        </is>
      </c>
      <c r="Q1083" t="n">
        <v>0.0012</v>
      </c>
      <c r="R1083" t="n">
        <v>0.0002</v>
      </c>
      <c r="S1083" t="n">
        <v>0.0002</v>
      </c>
      <c r="T1083" t="n">
        <v>-1</v>
      </c>
      <c r="U1083" t="n">
        <v>-1</v>
      </c>
      <c r="V1083" t="inlineStr">
        <is>
          <t>.</t>
        </is>
      </c>
      <c r="W1083" t="inlineStr">
        <is>
          <t>.</t>
        </is>
      </c>
      <c r="X1083" t="inlineStr">
        <is>
          <t>.</t>
        </is>
      </c>
      <c r="Y1083" t="inlineStr">
        <is>
          <t>.</t>
        </is>
      </c>
      <c r="Z1083" t="inlineStr">
        <is>
          <t>.</t>
        </is>
      </c>
      <c r="AA1083" t="inlineStr">
        <is>
          <t>.</t>
        </is>
      </c>
      <c r="AB1083" t="inlineStr">
        <is>
          <t>.</t>
        </is>
      </c>
      <c r="AC1083" t="inlineStr">
        <is>
          <t>.</t>
        </is>
      </c>
      <c r="AD1083" t="inlineStr">
        <is>
          <t>2;1</t>
        </is>
      </c>
      <c r="AE1083" t="inlineStr">
        <is>
          <t>0.999999755773455</t>
        </is>
      </c>
      <c r="AF1083" t="inlineStr">
        <is>
          <t>TATA-box binding protein associated factor 1;brain cytoplasmic RNA 1</t>
        </is>
      </c>
      <c r="AG1083" t="inlineStr">
        <is>
          <t xml:space="preserve">FUNCTION: Largest component and core scaffold of the TFIID basal transcription factor complex. Contains novel N- and C-terminal Ser/Thr kinase domains which can autophosphorylate or transphosphorylate other transcription factors. Phosphorylates TP53 on 'Thr-55' which leads to MDM2-mediated degradation of TP53. Phosphorylates GTF2A1 and GTF2F1 on Ser residues. Possesses DNA- binding activity. Essential for progression of the G1 phase of the cell cycle (PubMed:11278496, PubMed:15053879, PubMed:2038334, PubMed:8450888, PubMed:8625415, PubMed:9660973, PubMed:9858607). Exhibits histone acetyltransferase activity towards histones H3 and H4 (PubMed:15870300). {ECO:0000269|PubMed:11278496, ECO:0000269|PubMed:15053879, ECO:0000269|PubMed:15870300, ECO:0000269|PubMed:2038334, ECO:0000269|PubMed:8450888, ECO:0000269|PubMed:8625415, ECO:0000269|PubMed:9660973, ECO:0000269|PubMed:9858607}.; </t>
        </is>
      </c>
      <c r="AH1083" t="inlineStr">
        <is>
          <t xml:space="preserve">DISEASE: Dystonia 3, torsion, X-linked (DYT3) [MIM:314250]: A X- linked dystonia-parkinsonism disorder. Dystonia is defined by the presence of sustained involuntary muscle contractions, often leading to abnormal postures. DYT3 is characterized by severe progressive torsion dystonia followed by parkinsonism. It has a well-defined pathology of extensive neuronal loss and mosaic gliosis in the striatum (caudate nucleus and putamen) which appears to resemble that in Huntington disease. {ECO:0000269|PubMed:12928496, ECO:0000269|PubMed:17273961}. Note=The disease is caused by mutations affecting the gene represented in this entry.; </t>
        </is>
      </c>
      <c r="AI1083" t="inlineStr">
        <is>
          <t>.</t>
        </is>
      </c>
      <c r="AJ1083" t="inlineStr">
        <is>
          <t>.</t>
        </is>
      </c>
      <c r="AK1083" t="inlineStr">
        <is>
          <t>.</t>
        </is>
      </c>
      <c r="AL1083" t="inlineStr">
        <is>
          <t>.</t>
        </is>
      </c>
    </row>
    <row r="1084">
      <c r="A1084" t="inlineStr"/>
      <c r="B1084">
        <f>HYPERLINK("https://genome.ucsc.edu/cgi-bin/hgTracks?db=hg19&amp;position=chrX%3A70767088%2D70767090", "chrX:70767088")</f>
        <v/>
      </c>
      <c r="C1084" t="inlineStr">
        <is>
          <t>chrX</t>
        </is>
      </c>
      <c r="D1084" t="n">
        <v>70767088</v>
      </c>
      <c r="E1084" t="n">
        <v>70767090</v>
      </c>
      <c r="F1084" t="inlineStr">
        <is>
          <t>CTC</t>
        </is>
      </c>
      <c r="G1084" t="inlineStr">
        <is>
          <t>-</t>
        </is>
      </c>
      <c r="H1084" t="inlineStr">
        <is>
          <t>64.60</t>
        </is>
      </c>
      <c r="I1084" t="inlineStr">
        <is>
          <t>6</t>
        </is>
      </c>
      <c r="J1084" t="inlineStr">
        <is>
          <t>4,2</t>
        </is>
      </c>
      <c r="K1084" t="inlineStr">
        <is>
          <t>.</t>
        </is>
      </c>
      <c r="L1084" t="inlineStr">
        <is>
          <t>.</t>
        </is>
      </c>
      <c r="M1084">
        <f>HYPERLINK("https://www.genecards.org/Search/Keyword?queryString=%5Baliases%5D(%20BCYRN1%20)%20OR%20%5Baliases%5D(%20OGT%20)&amp;keywords=BCYRN1,OGT", "BCYRN1;OGT")</f>
        <v/>
      </c>
      <c r="N1084" t="inlineStr">
        <is>
          <t>intronic;ncRNA_intronic</t>
        </is>
      </c>
      <c r="O1084" t="inlineStr">
        <is>
          <t>.</t>
        </is>
      </c>
      <c r="P1084" t="inlineStr">
        <is>
          <t>.</t>
        </is>
      </c>
      <c r="Q1084" t="n">
        <v>-1</v>
      </c>
      <c r="R1084" t="n">
        <v>-1</v>
      </c>
      <c r="S1084" t="n">
        <v>-1</v>
      </c>
      <c r="T1084" t="n">
        <v>-1</v>
      </c>
      <c r="U1084" t="n">
        <v>-1</v>
      </c>
      <c r="V1084" t="inlineStr">
        <is>
          <t>.</t>
        </is>
      </c>
      <c r="W1084" t="inlineStr">
        <is>
          <t>.</t>
        </is>
      </c>
      <c r="X1084" t="inlineStr">
        <is>
          <t>.</t>
        </is>
      </c>
      <c r="Y1084" t="inlineStr">
        <is>
          <t>.</t>
        </is>
      </c>
      <c r="Z1084" t="inlineStr">
        <is>
          <t>.</t>
        </is>
      </c>
      <c r="AA1084" t="inlineStr">
        <is>
          <t>.</t>
        </is>
      </c>
      <c r="AB1084" t="inlineStr">
        <is>
          <t>.</t>
        </is>
      </c>
      <c r="AC1084" t="inlineStr">
        <is>
          <t>0/1</t>
        </is>
      </c>
      <c r="AD1084" t="inlineStr">
        <is>
          <t>2;1</t>
        </is>
      </c>
      <c r="AE1084" t="inlineStr">
        <is>
          <t>0.999947206587498</t>
        </is>
      </c>
      <c r="AF1084" t="inlineStr">
        <is>
          <t>O-linked N-acetylglucosamine (GlcNAc) transferase;brain cytoplasmic RNA 1</t>
        </is>
      </c>
      <c r="AG1084" t="inlineStr">
        <is>
          <t xml:space="preserve">FUNCTION: Catalyzes the transfer of a single N-acetylglucosamine from UDP-GlcNAc to a serine or threonine residue in cytoplasmic and nuclear proteins resulting in their modification with a beta- linked N-acetylglucosamine (O-GlcNAc). Glycosylates a large and diverse number of proteins including histone H2B, AKT1, EZH2, PFKL, KMT2E/MLL5, MAPT/TAU and HCFC1. Can regulate their cellular processes via cross-talk between glycosylation and phosphorylation or by affecting proteolytic processing. Involved in insulin resistance in muscle and adipocyte cells via glycosylating insulin signaling components and inhibiting the 'Thr-308' phosphorylation of AKT1, enhancing IRS1 phosphorylation and attenuating insulin signaling. Involved in glycolysis regulation by mediating glycosylation of 6-phosphofructokinase PFKL, inhibiting its activity (PubMed:22923583). Component of a THAP1/THAP3-HCFC1-OGT complex that is required for the regulation of the transcriptional activity of RRM1. Plays a key role in chromatin structure by mediating O-GlcNAcylation of 'Ser-112' of histone H2B: recruited to CpG-rich transcription start sites of active genes via its interaction with TET proteins (TET1, TET2 or TET3) (PubMed:22121020, PubMed:23353889). As part of the NSL complex indirectly involved in acetylation of nucleosomal histone H4 on several lysine residues (PubMed:20018852). O-GlcNAcylation of 'Ser-75' of EZH2 increases its stability, and facilitating the formation of H3K27me3 by the PRC2/EED-EZH2 complex (PubMed:24474760). Regulates circadian oscillation of the clock genes and glucose homeostasis in the liver. Stabilizes clock proteins ARNTL/BMAL1 and CLOCK through O-glycosylation, which prevents their ubiquitination and subsequent degradation. Promotes the CLOCK-ARNTL/BMAL1-mediated transcription of genes in the negative loop of the circadian clock such as PER1/2 and CRY1/2 (PubMed:12150998, PubMed:18288188, PubMed:19377461, PubMed:19451179, PubMed:20018868, PubMed:20200153, PubMed:21285374, PubMed:15361863). {ECO:0000269|PubMed:12150998, ECO:0000269|PubMed:15361863, ECO:0000269|PubMed:18288188, ECO:0000269|PubMed:19377461, ECO:0000269|PubMed:19451179, ECO:0000269|PubMed:20018852, ECO:0000269|PubMed:20018868, ECO:0000269|PubMed:20200153, ECO:0000269|PubMed:21285374, ECO:0000269|PubMed:22121020, ECO:0000269|PubMed:22923583, ECO:0000269|PubMed:23353889, ECO:0000269|PubMed:24474760}.; </t>
        </is>
      </c>
      <c r="AH1084" t="inlineStr">
        <is>
          <t xml:space="preserve">DISEASE: Note=Regulation of OGT activity and altered O- GlcNAcylations are implicated in diabetes and Alzheimer disease. O-GlcNAcylation of AKT1 affects insulin signaling and, possibly diabetes. Reduced O-GlcNAcylations and resulting increased phosphorylations of MAPT/TAU are observed in Alzheimer disease (AD) brain cerebrum.; </t>
        </is>
      </c>
      <c r="AI1084" t="inlineStr">
        <is>
          <t>.</t>
        </is>
      </c>
      <c r="AJ1084" t="inlineStr">
        <is>
          <t>.</t>
        </is>
      </c>
      <c r="AK1084" t="inlineStr">
        <is>
          <t>.</t>
        </is>
      </c>
      <c r="AL1084" t="inlineStr">
        <is>
          <t>.</t>
        </is>
      </c>
    </row>
    <row r="1085">
      <c r="A1085" t="inlineStr"/>
      <c r="B1085">
        <f>HYPERLINK("https://genome.ucsc.edu/cgi-bin/hgTracks?db=hg19&amp;position=chrX%3A106797862%2D106797862", "chrX:106797862")</f>
        <v/>
      </c>
      <c r="C1085" t="inlineStr">
        <is>
          <t>chrX</t>
        </is>
      </c>
      <c r="D1085" t="n">
        <v>106797862</v>
      </c>
      <c r="E1085" t="n">
        <v>106797862</v>
      </c>
      <c r="F1085" t="inlineStr">
        <is>
          <t>T</t>
        </is>
      </c>
      <c r="G1085" t="inlineStr">
        <is>
          <t>A</t>
        </is>
      </c>
      <c r="H1085" t="inlineStr">
        <is>
          <t>39.64</t>
        </is>
      </c>
      <c r="I1085" t="inlineStr">
        <is>
          <t>8</t>
        </is>
      </c>
      <c r="J1085" t="inlineStr">
        <is>
          <t>6,2</t>
        </is>
      </c>
      <c r="K1085" t="inlineStr">
        <is>
          <t>.</t>
        </is>
      </c>
      <c r="L1085" t="inlineStr">
        <is>
          <t>.</t>
        </is>
      </c>
      <c r="M1085">
        <f>HYPERLINK("https://www.genecards.org/Search/Keyword?queryString=%5Baliases%5D(%20FRMPD3%20)&amp;keywords=FRMPD3", "FRMPD3")</f>
        <v/>
      </c>
      <c r="N1085" t="inlineStr">
        <is>
          <t>intergenic;intronic</t>
        </is>
      </c>
      <c r="O1085" t="inlineStr">
        <is>
          <t>.</t>
        </is>
      </c>
      <c r="P1085" t="inlineStr">
        <is>
          <t>dist=310389;dist=45773</t>
        </is>
      </c>
      <c r="Q1085" t="n">
        <v>-1</v>
      </c>
      <c r="R1085" t="n">
        <v>-1</v>
      </c>
      <c r="S1085" t="n">
        <v>-1</v>
      </c>
      <c r="T1085" t="n">
        <v>-1</v>
      </c>
      <c r="U1085" t="n">
        <v>-1</v>
      </c>
      <c r="V1085" t="inlineStr">
        <is>
          <t>.</t>
        </is>
      </c>
      <c r="W1085" t="inlineStr">
        <is>
          <t>.</t>
        </is>
      </c>
      <c r="X1085" t="inlineStr">
        <is>
          <t>PD</t>
        </is>
      </c>
      <c r="Y1085" t="inlineStr">
        <is>
          <t>off</t>
        </is>
      </c>
      <c r="Z1085" t="inlineStr">
        <is>
          <t>.</t>
        </is>
      </c>
      <c r="AA1085" t="inlineStr">
        <is>
          <t>.</t>
        </is>
      </c>
      <c r="AB1085" t="inlineStr">
        <is>
          <t>.</t>
        </is>
      </c>
      <c r="AC1085" t="inlineStr">
        <is>
          <t>0/1</t>
        </is>
      </c>
      <c r="AD1085" t="inlineStr">
        <is>
          <t>1</t>
        </is>
      </c>
      <c r="AE1085" t="inlineStr">
        <is>
          <t>0.910767889845881</t>
        </is>
      </c>
      <c r="AF1085" t="inlineStr">
        <is>
          <t>FERM and PDZ domain containing 3</t>
        </is>
      </c>
      <c r="AG1085" t="inlineStr">
        <is>
          <t>.</t>
        </is>
      </c>
      <c r="AH1085" t="inlineStr">
        <is>
          <t>.</t>
        </is>
      </c>
      <c r="AI1085" t="inlineStr">
        <is>
          <t>.</t>
        </is>
      </c>
      <c r="AJ1085" t="inlineStr">
        <is>
          <t>.</t>
        </is>
      </c>
      <c r="AK1085" t="inlineStr">
        <is>
          <t>.</t>
        </is>
      </c>
      <c r="AL1085" t="inlineStr">
        <is>
          <t>.</t>
        </is>
      </c>
    </row>
    <row r="1086">
      <c r="A1086" t="inlineStr"/>
      <c r="B1086">
        <f>HYPERLINK("https://genome.ucsc.edu/cgi-bin/hgTracks?db=hg19&amp;position=chrX%3A149937538%2D149937538", "chrX:149937538")</f>
        <v/>
      </c>
      <c r="C1086" t="inlineStr">
        <is>
          <t>chrX</t>
        </is>
      </c>
      <c r="D1086" t="n">
        <v>149937538</v>
      </c>
      <c r="E1086" t="n">
        <v>149937538</v>
      </c>
      <c r="F1086" t="inlineStr">
        <is>
          <t>G</t>
        </is>
      </c>
      <c r="G1086" t="inlineStr">
        <is>
          <t>A</t>
        </is>
      </c>
      <c r="H1086" t="inlineStr">
        <is>
          <t>2650.06</t>
        </is>
      </c>
      <c r="I1086" t="inlineStr">
        <is>
          <t>86</t>
        </is>
      </c>
      <c r="J1086" t="inlineStr">
        <is>
          <t>0,86</t>
        </is>
      </c>
      <c r="K1086" t="inlineStr">
        <is>
          <t>.</t>
        </is>
      </c>
      <c r="L1086">
        <f>HYPERLINK("https://www.ncbi.nlm.nih.gov/snp/rs148827569", "rs148827569")</f>
        <v/>
      </c>
      <c r="M1086">
        <f>HYPERLINK("https://www.genecards.org/Search/Keyword?queryString=%5Baliases%5D(%20CD99L2%20)&amp;keywords=CD99L2", "CD99L2")</f>
        <v/>
      </c>
      <c r="N1086" t="inlineStr">
        <is>
          <t>exonic</t>
        </is>
      </c>
      <c r="O1086" t="inlineStr">
        <is>
          <t>nonsynonymous SNV</t>
        </is>
      </c>
      <c r="P1086" t="inlineStr">
        <is>
          <t>CD99L2:NM_001184808:exon8:c.C539T:p.P180L,CD99L2:NM_134445:exon8:c.C542T:p.P181L,CD99L2:NM_134446:exon9:c.C611T:p.P204L,CD99L2:NM_031462:exon11:c.C758T:p.P253L,CD99L2:NM_001242614:exon12:c.C788T:p.P263L;CD99L2:uc004fen.3:exon8:c.C542T:p.P181L,CD99L2:uc011myb.2:exon8:c.C539T:p.P180L,CD99L2:uc004fem.3:exon9:c.C611T:p.P204L,CD99L2:uc004fel.3:exon11:c.C758T:p.P253L,CD99L2:uc004fek.3:exon12:c.C788T:p.P263L;CD99L2:ENST00000355149.8_5:exon8:c.C542T:p.P181L,CD99L2:ENST00000437787.6_3:exon8:c.C539T:p.P180L,CD99L2:ENST00000466436.5_6:exon9:c.C611T:p.P204L,CD99L2:ENST00000370377.8_10:exon11:c.C758T:p.P253L,CD99L2:ENST00000613030.4_6:exon12:c.C788T:p.P263L</t>
        </is>
      </c>
      <c r="Q1086" t="n">
        <v>0.0013</v>
      </c>
      <c r="R1086" t="n">
        <v>0.0007</v>
      </c>
      <c r="S1086" t="n">
        <v>0.0005999999999999999</v>
      </c>
      <c r="T1086" t="n">
        <v>-1</v>
      </c>
      <c r="U1086" t="n">
        <v>0.0003</v>
      </c>
      <c r="V1086" t="inlineStr">
        <is>
          <t>4/10</t>
        </is>
      </c>
      <c r="W1086" t="inlineStr">
        <is>
          <t>.</t>
        </is>
      </c>
      <c r="X1086" t="inlineStr">
        <is>
          <t>.</t>
        </is>
      </c>
      <c r="Y1086" t="inlineStr">
        <is>
          <t>.</t>
        </is>
      </c>
      <c r="Z1086" t="inlineStr">
        <is>
          <t>1/6</t>
        </is>
      </c>
      <c r="AA1086" t="inlineStr">
        <is>
          <t>Uncertain significance</t>
        </is>
      </c>
      <c r="AB1086" t="inlineStr">
        <is>
          <t>.</t>
        </is>
      </c>
      <c r="AC1086" t="inlineStr">
        <is>
          <t>HOMO</t>
        </is>
      </c>
      <c r="AD1086" t="inlineStr">
        <is>
          <t>1</t>
        </is>
      </c>
      <c r="AE1086" t="inlineStr">
        <is>
          <t>0.0033413380678308</t>
        </is>
      </c>
      <c r="AF1086" t="inlineStr">
        <is>
          <t>CD99 molecule like 2</t>
        </is>
      </c>
      <c r="AG1086" t="inlineStr">
        <is>
          <t xml:space="preserve">FUNCTION: Plays a role in a late step of leukocyte extravasation helping cells to overcome the endothelial basement membrane. Acts at the same site as, but independently of, PECAM1 (By similarity). Homophilic adhesion molecule, but these interactions may not be required for cell aggregation (By similarity). {ECO:0000250}.; </t>
        </is>
      </c>
      <c r="AH1086" t="inlineStr">
        <is>
          <t>.</t>
        </is>
      </c>
      <c r="AI1086" t="inlineStr">
        <is>
          <t>.</t>
        </is>
      </c>
      <c r="AJ1086" t="inlineStr">
        <is>
          <t>.</t>
        </is>
      </c>
      <c r="AK1086" t="inlineStr">
        <is>
          <t>.</t>
        </is>
      </c>
      <c r="AL1086" t="inlineStr">
        <is>
          <t>.</t>
        </is>
      </c>
    </row>
    <row r="1087">
      <c r="A1087" t="inlineStr"/>
      <c r="B1087">
        <f>HYPERLINK("https://genome.ucsc.edu/cgi-bin/hgTracks?db=hg19&amp;position=chrX%3A153009342%2D153009342", "chrX:153009342")</f>
        <v/>
      </c>
      <c r="C1087" t="inlineStr">
        <is>
          <t>chrX</t>
        </is>
      </c>
      <c r="D1087" t="n">
        <v>153009342</v>
      </c>
      <c r="E1087" t="n">
        <v>153009342</v>
      </c>
      <c r="F1087" t="inlineStr">
        <is>
          <t>C</t>
        </is>
      </c>
      <c r="G1087" t="inlineStr">
        <is>
          <t>T</t>
        </is>
      </c>
      <c r="H1087" t="inlineStr">
        <is>
          <t>67.64</t>
        </is>
      </c>
      <c r="I1087" t="inlineStr">
        <is>
          <t>20</t>
        </is>
      </c>
      <c r="J1087" t="inlineStr">
        <is>
          <t>17,3</t>
        </is>
      </c>
      <c r="K1087" t="inlineStr">
        <is>
          <t>.</t>
        </is>
      </c>
      <c r="L1087" t="inlineStr">
        <is>
          <t>.</t>
        </is>
      </c>
      <c r="M1087">
        <f>HYPERLINK("https://www.genecards.org/Search/Keyword?queryString=%5Baliases%5D(%20ABCD1%20)&amp;keywords=ABCD1", "ABCD1")</f>
        <v/>
      </c>
      <c r="N1087" t="inlineStr">
        <is>
          <t>UTR3;ncRNA_intronic</t>
        </is>
      </c>
      <c r="O1087" t="inlineStr">
        <is>
          <t>.</t>
        </is>
      </c>
      <c r="P1087" t="inlineStr">
        <is>
          <t>NM_000033:c.*153C&gt;T;uc004fif.2:c.*153C&gt;T</t>
        </is>
      </c>
      <c r="Q1087" t="n">
        <v>0.0112</v>
      </c>
      <c r="R1087" t="n">
        <v>0.0032</v>
      </c>
      <c r="S1087" t="n">
        <v>0.0031</v>
      </c>
      <c r="T1087" t="n">
        <v>-1</v>
      </c>
      <c r="U1087" t="n">
        <v>0.0052</v>
      </c>
      <c r="V1087" t="inlineStr">
        <is>
          <t>.</t>
        </is>
      </c>
      <c r="W1087" t="inlineStr">
        <is>
          <t>.</t>
        </is>
      </c>
      <c r="X1087" t="inlineStr">
        <is>
          <t>.</t>
        </is>
      </c>
      <c r="Y1087" t="inlineStr">
        <is>
          <t>.</t>
        </is>
      </c>
      <c r="Z1087" t="inlineStr">
        <is>
          <t>.</t>
        </is>
      </c>
      <c r="AA1087" t="inlineStr">
        <is>
          <t>.</t>
        </is>
      </c>
      <c r="AB1087" t="inlineStr">
        <is>
          <t>.</t>
        </is>
      </c>
      <c r="AC1087" t="inlineStr">
        <is>
          <t>.</t>
        </is>
      </c>
      <c r="AD1087" t="inlineStr">
        <is>
          <t>7</t>
        </is>
      </c>
      <c r="AE1087" t="inlineStr">
        <is>
          <t>0.982118837885542</t>
        </is>
      </c>
      <c r="AF1087" t="inlineStr">
        <is>
          <t>ATP binding cassette subfamily D member 1</t>
        </is>
      </c>
      <c r="AG1087" t="inlineStr">
        <is>
          <t xml:space="preserve">FUNCTION: Probable transporter. The nucleotide-binding fold acts as an ATP-binding subunit with ATPase activity. {ECO:0000269|PubMed:11248239}.; </t>
        </is>
      </c>
      <c r="AH1087" t="inlineStr">
        <is>
          <t xml:space="preserve">DISEASE: Adrenoleukodystrophy (ALD) [MIM:300100]: A peroxisomal metabolic disorder characterized by progressive multifocal demyelination of the central nervous system and by peripheral adrenal insufficiency (Addison disease). It results in mental deterioration, corticospinal tract dysfunction, and cortical blindness. Different clinical manifestations exist like: cerebral childhood ALD (CALD), adult cerebral ALD (ACALD), adrenomyeloneuropathy (AMN) and 'Addison disease only' (ADO) phenotype. {ECO:0000269|PubMed:10369742, ECO:0000269|PubMed:10480364, ECO:0000269|PubMed:10737980, ECO:0000269|PubMed:10980539, ECO:0000269|PubMed:11438993, ECO:0000269|PubMed:11810273, ECO:0000269|PubMed:15643618, ECO:0000269|PubMed:21700483, ECO:0000269|PubMed:21889498, ECO:0000269|PubMed:7581394, ECO:0000269|PubMed:7717396, ECO:0000269|PubMed:7825602, ECO:0000269|PubMed:7849723, ECO:0000269|PubMed:7904210, ECO:0000269|PubMed:8040304, ECO:0000269|PubMed:8566952, ECO:0000269|PubMed:8651290, ECO:0000269|PubMed:9452087}. Note=The disease is caused by mutations affecting the gene represented in this entry.; DISEASE: Note=The promoter region of ABCD1 is deleted in the chromosome Xq28 deletion syndrome which involves ABCD1 and the neighboring gene BCAP31. {ECO:0000269|PubMed:11992258}.; </t>
        </is>
      </c>
      <c r="AI1087" t="inlineStr">
        <is>
          <t>.</t>
        </is>
      </c>
      <c r="AJ1087" t="inlineStr">
        <is>
          <t>.</t>
        </is>
      </c>
      <c r="AK1087" t="inlineStr">
        <is>
          <t>.</t>
        </is>
      </c>
      <c r="AL1087" t="inlineStr">
        <is>
          <t>.</t>
        </is>
      </c>
    </row>
    <row r="1088">
      <c r="A1088" t="inlineStr"/>
      <c r="B1088">
        <f>HYPERLINK("https://genome.ucsc.edu/cgi-bin/hgTracks?db=hg19&amp;position=chrX%3A153009350%2D153009350", "chrX:153009350")</f>
        <v/>
      </c>
      <c r="C1088" t="inlineStr">
        <is>
          <t>chrX</t>
        </is>
      </c>
      <c r="D1088" t="n">
        <v>153009350</v>
      </c>
      <c r="E1088" t="n">
        <v>153009350</v>
      </c>
      <c r="F1088" t="inlineStr">
        <is>
          <t>G</t>
        </is>
      </c>
      <c r="G1088" t="inlineStr">
        <is>
          <t>A</t>
        </is>
      </c>
      <c r="H1088" t="inlineStr">
        <is>
          <t>64.64</t>
        </is>
      </c>
      <c r="I1088" t="inlineStr">
        <is>
          <t>21</t>
        </is>
      </c>
      <c r="J1088" t="inlineStr">
        <is>
          <t>18,3</t>
        </is>
      </c>
      <c r="K1088" t="inlineStr">
        <is>
          <t>.</t>
        </is>
      </c>
      <c r="L1088" t="inlineStr">
        <is>
          <t>.</t>
        </is>
      </c>
      <c r="M1088">
        <f>HYPERLINK("https://www.genecards.org/Search/Keyword?queryString=%5Baliases%5D(%20ABCD1%20)&amp;keywords=ABCD1", "ABCD1")</f>
        <v/>
      </c>
      <c r="N1088" t="inlineStr">
        <is>
          <t>UTR3;ncRNA_intronic</t>
        </is>
      </c>
      <c r="O1088" t="inlineStr">
        <is>
          <t>.</t>
        </is>
      </c>
      <c r="P1088" t="inlineStr">
        <is>
          <t>NM_000033:c.*161G&gt;A;uc004fif.2:c.*161G&gt;A</t>
        </is>
      </c>
      <c r="Q1088" t="n">
        <v>0.0112</v>
      </c>
      <c r="R1088" t="n">
        <v>0.0009</v>
      </c>
      <c r="S1088" t="n">
        <v>0.001</v>
      </c>
      <c r="T1088" t="n">
        <v>-1</v>
      </c>
      <c r="U1088" t="n">
        <v>0.0014</v>
      </c>
      <c r="V1088" t="inlineStr">
        <is>
          <t>.</t>
        </is>
      </c>
      <c r="W1088" t="inlineStr">
        <is>
          <t>.</t>
        </is>
      </c>
      <c r="X1088" t="inlineStr">
        <is>
          <t>.</t>
        </is>
      </c>
      <c r="Y1088" t="inlineStr">
        <is>
          <t>.</t>
        </is>
      </c>
      <c r="Z1088" t="inlineStr">
        <is>
          <t>.</t>
        </is>
      </c>
      <c r="AA1088" t="inlineStr">
        <is>
          <t>.</t>
        </is>
      </c>
      <c r="AB1088" t="inlineStr">
        <is>
          <t>.</t>
        </is>
      </c>
      <c r="AC1088" t="inlineStr">
        <is>
          <t>.</t>
        </is>
      </c>
      <c r="AD1088" t="inlineStr">
        <is>
          <t>7</t>
        </is>
      </c>
      <c r="AE1088" t="inlineStr">
        <is>
          <t>0.982118837885542</t>
        </is>
      </c>
      <c r="AF1088" t="inlineStr">
        <is>
          <t>ATP binding cassette subfamily D member 1</t>
        </is>
      </c>
      <c r="AG1088" t="inlineStr">
        <is>
          <t xml:space="preserve">FUNCTION: Probable transporter. The nucleotide-binding fold acts as an ATP-binding subunit with ATPase activity. {ECO:0000269|PubMed:11248239}.; </t>
        </is>
      </c>
      <c r="AH1088" t="inlineStr">
        <is>
          <t xml:space="preserve">DISEASE: Adrenoleukodystrophy (ALD) [MIM:300100]: A peroxisomal metabolic disorder characterized by progressive multifocal demyelination of the central nervous system and by peripheral adrenal insufficiency (Addison disease). It results in mental deterioration, corticospinal tract dysfunction, and cortical blindness. Different clinical manifestations exist like: cerebral childhood ALD (CALD), adult cerebral ALD (ACALD), adrenomyeloneuropathy (AMN) and 'Addison disease only' (ADO) phenotype. {ECO:0000269|PubMed:10369742, ECO:0000269|PubMed:10480364, ECO:0000269|PubMed:10737980, ECO:0000269|PubMed:10980539, ECO:0000269|PubMed:11438993, ECO:0000269|PubMed:11810273, ECO:0000269|PubMed:15643618, ECO:0000269|PubMed:21700483, ECO:0000269|PubMed:21889498, ECO:0000269|PubMed:7581394, ECO:0000269|PubMed:7717396, ECO:0000269|PubMed:7825602, ECO:0000269|PubMed:7849723, ECO:0000269|PubMed:7904210, ECO:0000269|PubMed:8040304, ECO:0000269|PubMed:8566952, ECO:0000269|PubMed:8651290, ECO:0000269|PubMed:9452087}. Note=The disease is caused by mutations affecting the gene represented in this entry.; DISEASE: Note=The promoter region of ABCD1 is deleted in the chromosome Xq28 deletion syndrome which involves ABCD1 and the neighboring gene BCAP31. {ECO:0000269|PubMed:11992258}.; </t>
        </is>
      </c>
      <c r="AI1088" t="inlineStr">
        <is>
          <t>.</t>
        </is>
      </c>
      <c r="AJ1088" t="inlineStr">
        <is>
          <t>.</t>
        </is>
      </c>
      <c r="AK1088" t="inlineStr">
        <is>
          <t>.</t>
        </is>
      </c>
      <c r="AL1088" t="inlineStr">
        <is>
          <t>.</t>
        </is>
      </c>
    </row>
    <row r="1089">
      <c r="A1089" t="inlineStr"/>
      <c r="B1089">
        <f>HYPERLINK("https://genome.ucsc.edu/cgi-bin/hgTracks?db=hg19&amp;position=chrX%3A153009352%2D153009352", "chrX:153009352")</f>
        <v/>
      </c>
      <c r="C1089" t="inlineStr">
        <is>
          <t>chrX</t>
        </is>
      </c>
      <c r="D1089" t="n">
        <v>153009352</v>
      </c>
      <c r="E1089" t="n">
        <v>153009352</v>
      </c>
      <c r="F1089" t="inlineStr">
        <is>
          <t>A</t>
        </is>
      </c>
      <c r="G1089" t="inlineStr">
        <is>
          <t>G</t>
        </is>
      </c>
      <c r="H1089" t="inlineStr">
        <is>
          <t>67.64</t>
        </is>
      </c>
      <c r="I1089" t="inlineStr">
        <is>
          <t>20</t>
        </is>
      </c>
      <c r="J1089" t="inlineStr">
        <is>
          <t>17,3</t>
        </is>
      </c>
      <c r="K1089" t="inlineStr">
        <is>
          <t>.</t>
        </is>
      </c>
      <c r="L1089">
        <f>HYPERLINK("https://www.ncbi.nlm.nih.gov/snp/rs191015436", "rs191015436")</f>
        <v/>
      </c>
      <c r="M1089">
        <f>HYPERLINK("https://www.genecards.org/Search/Keyword?queryString=%5Baliases%5D(%20ABCD1%20)&amp;keywords=ABCD1", "ABCD1")</f>
        <v/>
      </c>
      <c r="N1089" t="inlineStr">
        <is>
          <t>UTR3;ncRNA_intronic</t>
        </is>
      </c>
      <c r="O1089" t="inlineStr">
        <is>
          <t>.</t>
        </is>
      </c>
      <c r="P1089" t="inlineStr">
        <is>
          <t>NM_000033:c.*163A&gt;G;uc004fif.2:c.*163A&gt;G</t>
        </is>
      </c>
      <c r="Q1089" t="n">
        <v>0.0114</v>
      </c>
      <c r="R1089" t="n">
        <v>0.0009</v>
      </c>
      <c r="S1089" t="n">
        <v>0.001</v>
      </c>
      <c r="T1089" t="n">
        <v>-1</v>
      </c>
      <c r="U1089" t="n">
        <v>0.0014</v>
      </c>
      <c r="V1089" t="inlineStr">
        <is>
          <t>.</t>
        </is>
      </c>
      <c r="W1089" t="inlineStr">
        <is>
          <t>.</t>
        </is>
      </c>
      <c r="X1089" t="inlineStr">
        <is>
          <t>.</t>
        </is>
      </c>
      <c r="Y1089" t="inlineStr">
        <is>
          <t>.</t>
        </is>
      </c>
      <c r="Z1089" t="inlineStr">
        <is>
          <t>.</t>
        </is>
      </c>
      <c r="AA1089" t="inlineStr">
        <is>
          <t>.</t>
        </is>
      </c>
      <c r="AB1089" t="inlineStr">
        <is>
          <t>.</t>
        </is>
      </c>
      <c r="AC1089" t="inlineStr">
        <is>
          <t>.</t>
        </is>
      </c>
      <c r="AD1089" t="inlineStr">
        <is>
          <t>7</t>
        </is>
      </c>
      <c r="AE1089" t="inlineStr">
        <is>
          <t>0.982118837885542</t>
        </is>
      </c>
      <c r="AF1089" t="inlineStr">
        <is>
          <t>ATP binding cassette subfamily D member 1</t>
        </is>
      </c>
      <c r="AG1089" t="inlineStr">
        <is>
          <t xml:space="preserve">FUNCTION: Probable transporter. The nucleotide-binding fold acts as an ATP-binding subunit with ATPase activity. {ECO:0000269|PubMed:11248239}.; </t>
        </is>
      </c>
      <c r="AH1089" t="inlineStr">
        <is>
          <t xml:space="preserve">DISEASE: Adrenoleukodystrophy (ALD) [MIM:300100]: A peroxisomal metabolic disorder characterized by progressive multifocal demyelination of the central nervous system and by peripheral adrenal insufficiency (Addison disease). It results in mental deterioration, corticospinal tract dysfunction, and cortical blindness. Different clinical manifestations exist like: cerebral childhood ALD (CALD), adult cerebral ALD (ACALD), adrenomyeloneuropathy (AMN) and 'Addison disease only' (ADO) phenotype. {ECO:0000269|PubMed:10369742, ECO:0000269|PubMed:10480364, ECO:0000269|PubMed:10737980, ECO:0000269|PubMed:10980539, ECO:0000269|PubMed:11438993, ECO:0000269|PubMed:11810273, ECO:0000269|PubMed:15643618, ECO:0000269|PubMed:21700483, ECO:0000269|PubMed:21889498, ECO:0000269|PubMed:7581394, ECO:0000269|PubMed:7717396, ECO:0000269|PubMed:7825602, ECO:0000269|PubMed:7849723, ECO:0000269|PubMed:7904210, ECO:0000269|PubMed:8040304, ECO:0000269|PubMed:8566952, ECO:0000269|PubMed:8651290, ECO:0000269|PubMed:9452087}. Note=The disease is caused by mutations affecting the gene represented in this entry.; DISEASE: Note=The promoter region of ABCD1 is deleted in the chromosome Xq28 deletion syndrome which involves ABCD1 and the neighboring gene BCAP31. {ECO:0000269|PubMed:11992258}.; </t>
        </is>
      </c>
      <c r="AI1089" t="inlineStr">
        <is>
          <t>.</t>
        </is>
      </c>
      <c r="AJ1089" t="inlineStr">
        <is>
          <t>.</t>
        </is>
      </c>
      <c r="AK1089" t="inlineStr">
        <is>
          <t>.</t>
        </is>
      </c>
      <c r="AL1089" t="inlineStr">
        <is>
          <t>.</t>
        </is>
      </c>
    </row>
    <row r="1090">
      <c r="A1090" t="inlineStr"/>
      <c r="B1090">
        <f>HYPERLINK("https://genome.ucsc.edu/cgi-bin/hgTracks?db=hg19&amp;position=chrX%3A153009364%2D153009364", "chrX:153009364")</f>
        <v/>
      </c>
      <c r="C1090" t="inlineStr">
        <is>
          <t>chrX</t>
        </is>
      </c>
      <c r="D1090" t="n">
        <v>153009364</v>
      </c>
      <c r="E1090" t="n">
        <v>153009364</v>
      </c>
      <c r="F1090" t="inlineStr">
        <is>
          <t>G</t>
        </is>
      </c>
      <c r="G1090" t="inlineStr">
        <is>
          <t>A</t>
        </is>
      </c>
      <c r="H1090" t="inlineStr">
        <is>
          <t>44.64</t>
        </is>
      </c>
      <c r="I1090" t="inlineStr">
        <is>
          <t>21</t>
        </is>
      </c>
      <c r="J1090" t="inlineStr">
        <is>
          <t>18,3</t>
        </is>
      </c>
      <c r="K1090" t="inlineStr">
        <is>
          <t>.</t>
        </is>
      </c>
      <c r="L1090" t="inlineStr">
        <is>
          <t>.</t>
        </is>
      </c>
      <c r="M1090">
        <f>HYPERLINK("https://www.genecards.org/Search/Keyword?queryString=%5Baliases%5D(%20ABCD1%20)&amp;keywords=ABCD1", "ABCD1")</f>
        <v/>
      </c>
      <c r="N1090" t="inlineStr">
        <is>
          <t>UTR3;ncRNA_intronic</t>
        </is>
      </c>
      <c r="O1090" t="inlineStr">
        <is>
          <t>.</t>
        </is>
      </c>
      <c r="P1090" t="inlineStr">
        <is>
          <t>NM_000033:c.*175G&gt;A;uc004fif.2:c.*175G&gt;A</t>
        </is>
      </c>
      <c r="Q1090" t="n">
        <v>0.0061</v>
      </c>
      <c r="R1090" t="n">
        <v>0.001</v>
      </c>
      <c r="S1090" t="n">
        <v>0.0015</v>
      </c>
      <c r="T1090" t="n">
        <v>-1</v>
      </c>
      <c r="U1090" t="n">
        <v>0.0021</v>
      </c>
      <c r="V1090" t="inlineStr">
        <is>
          <t>.</t>
        </is>
      </c>
      <c r="W1090" t="inlineStr">
        <is>
          <t>.</t>
        </is>
      </c>
      <c r="X1090" t="inlineStr">
        <is>
          <t>.</t>
        </is>
      </c>
      <c r="Y1090" t="inlineStr">
        <is>
          <t>.</t>
        </is>
      </c>
      <c r="Z1090" t="inlineStr">
        <is>
          <t>.</t>
        </is>
      </c>
      <c r="AA1090" t="inlineStr">
        <is>
          <t>.</t>
        </is>
      </c>
      <c r="AB1090" t="inlineStr">
        <is>
          <t>.</t>
        </is>
      </c>
      <c r="AC1090" t="inlineStr">
        <is>
          <t>0/1</t>
        </is>
      </c>
      <c r="AD1090" t="inlineStr">
        <is>
          <t>7</t>
        </is>
      </c>
      <c r="AE1090" t="inlineStr">
        <is>
          <t>0.982118837885542</t>
        </is>
      </c>
      <c r="AF1090" t="inlineStr">
        <is>
          <t>ATP binding cassette subfamily D member 1</t>
        </is>
      </c>
      <c r="AG1090" t="inlineStr">
        <is>
          <t xml:space="preserve">FUNCTION: Probable transporter. The nucleotide-binding fold acts as an ATP-binding subunit with ATPase activity. {ECO:0000269|PubMed:11248239}.; </t>
        </is>
      </c>
      <c r="AH1090" t="inlineStr">
        <is>
          <t xml:space="preserve">DISEASE: Adrenoleukodystrophy (ALD) [MIM:300100]: A peroxisomal metabolic disorder characterized by progressive multifocal demyelination of the central nervous system and by peripheral adrenal insufficiency (Addison disease). It results in mental deterioration, corticospinal tract dysfunction, and cortical blindness. Different clinical manifestations exist like: cerebral childhood ALD (CALD), adult cerebral ALD (ACALD), adrenomyeloneuropathy (AMN) and 'Addison disease only' (ADO) phenotype. {ECO:0000269|PubMed:10369742, ECO:0000269|PubMed:10480364, ECO:0000269|PubMed:10737980, ECO:0000269|PubMed:10980539, ECO:0000269|PubMed:11438993, ECO:0000269|PubMed:11810273, ECO:0000269|PubMed:15643618, ECO:0000269|PubMed:21700483, ECO:0000269|PubMed:21889498, ECO:0000269|PubMed:7581394, ECO:0000269|PubMed:7717396, ECO:0000269|PubMed:7825602, ECO:0000269|PubMed:7849723, ECO:0000269|PubMed:7904210, ECO:0000269|PubMed:8040304, ECO:0000269|PubMed:8566952, ECO:0000269|PubMed:8651290, ECO:0000269|PubMed:9452087}. Note=The disease is caused by mutations affecting the gene represented in this entry.; DISEASE: Note=The promoter region of ABCD1 is deleted in the chromosome Xq28 deletion syndrome which involves ABCD1 and the neighboring gene BCAP31. {ECO:0000269|PubMed:11992258}.; </t>
        </is>
      </c>
      <c r="AI1090" t="inlineStr">
        <is>
          <t>.</t>
        </is>
      </c>
      <c r="AJ1090" t="inlineStr">
        <is>
          <t>.</t>
        </is>
      </c>
      <c r="AK1090" t="inlineStr">
        <is>
          <t>.</t>
        </is>
      </c>
      <c r="AL1090" t="inlineStr">
        <is>
          <t>.</t>
        </is>
      </c>
    </row>
    <row r="1091">
      <c r="A1091" t="inlineStr"/>
      <c r="B1091">
        <f>HYPERLINK("https://genome.ucsc.edu/cgi-bin/hgTracks?db=hg19&amp;position=chrX%3A153009385%2D153009385", "chrX:153009385")</f>
        <v/>
      </c>
      <c r="C1091" t="inlineStr">
        <is>
          <t>chrX</t>
        </is>
      </c>
      <c r="D1091" t="n">
        <v>153009385</v>
      </c>
      <c r="E1091" t="n">
        <v>153009385</v>
      </c>
      <c r="F1091" t="inlineStr">
        <is>
          <t>C</t>
        </is>
      </c>
      <c r="G1091" t="inlineStr">
        <is>
          <t>G</t>
        </is>
      </c>
      <c r="H1091" t="inlineStr">
        <is>
          <t>40.64</t>
        </is>
      </c>
      <c r="I1091" t="inlineStr">
        <is>
          <t>29</t>
        </is>
      </c>
      <c r="J1091" t="inlineStr">
        <is>
          <t>26,3</t>
        </is>
      </c>
      <c r="K1091" t="inlineStr">
        <is>
          <t>.</t>
        </is>
      </c>
      <c r="L1091">
        <f>HYPERLINK("https://www.ncbi.nlm.nih.gov/snp/rs367591611", "rs367591611")</f>
        <v/>
      </c>
      <c r="M1091">
        <f>HYPERLINK("https://www.genecards.org/Search/Keyword?queryString=%5Baliases%5D(%20ABCD1%20)&amp;keywords=ABCD1", "ABCD1")</f>
        <v/>
      </c>
      <c r="N1091" t="inlineStr">
        <is>
          <t>UTR3;ncRNA_intronic</t>
        </is>
      </c>
      <c r="O1091" t="inlineStr">
        <is>
          <t>.</t>
        </is>
      </c>
      <c r="P1091" t="inlineStr">
        <is>
          <t>NM_000033:c.*196C&gt;G;uc004fif.2:c.*196C&gt;G</t>
        </is>
      </c>
      <c r="Q1091" t="n">
        <v>0.01</v>
      </c>
      <c r="R1091" t="n">
        <v>0.0032</v>
      </c>
      <c r="S1091" t="n">
        <v>0.0031</v>
      </c>
      <c r="T1091" t="n">
        <v>-1</v>
      </c>
      <c r="U1091" t="n">
        <v>0.0026</v>
      </c>
      <c r="V1091" t="inlineStr">
        <is>
          <t>.</t>
        </is>
      </c>
      <c r="W1091" t="inlineStr">
        <is>
          <t>.</t>
        </is>
      </c>
      <c r="X1091" t="inlineStr">
        <is>
          <t>.</t>
        </is>
      </c>
      <c r="Y1091" t="inlineStr">
        <is>
          <t>.</t>
        </is>
      </c>
      <c r="Z1091" t="inlineStr">
        <is>
          <t>.</t>
        </is>
      </c>
      <c r="AA1091" t="inlineStr">
        <is>
          <t>.</t>
        </is>
      </c>
      <c r="AB1091" t="inlineStr">
        <is>
          <t>Uncertain_significance</t>
        </is>
      </c>
      <c r="AC1091" t="inlineStr">
        <is>
          <t>.</t>
        </is>
      </c>
      <c r="AD1091" t="inlineStr">
        <is>
          <t>7</t>
        </is>
      </c>
      <c r="AE1091" t="inlineStr">
        <is>
          <t>0.982118837885542</t>
        </is>
      </c>
      <c r="AF1091" t="inlineStr">
        <is>
          <t>ATP binding cassette subfamily D member 1</t>
        </is>
      </c>
      <c r="AG1091" t="inlineStr">
        <is>
          <t xml:space="preserve">FUNCTION: Probable transporter. The nucleotide-binding fold acts as an ATP-binding subunit with ATPase activity. {ECO:0000269|PubMed:11248239}.; </t>
        </is>
      </c>
      <c r="AH1091" t="inlineStr">
        <is>
          <t xml:space="preserve">DISEASE: Adrenoleukodystrophy (ALD) [MIM:300100]: A peroxisomal metabolic disorder characterized by progressive multifocal demyelination of the central nervous system and by peripheral adrenal insufficiency (Addison disease). It results in mental deterioration, corticospinal tract dysfunction, and cortical blindness. Different clinical manifestations exist like: cerebral childhood ALD (CALD), adult cerebral ALD (ACALD), adrenomyeloneuropathy (AMN) and 'Addison disease only' (ADO) phenotype. {ECO:0000269|PubMed:10369742, ECO:0000269|PubMed:10480364, ECO:0000269|PubMed:10737980, ECO:0000269|PubMed:10980539, ECO:0000269|PubMed:11438993, ECO:0000269|PubMed:11810273, ECO:0000269|PubMed:15643618, ECO:0000269|PubMed:21700483, ECO:0000269|PubMed:21889498, ECO:0000269|PubMed:7581394, ECO:0000269|PubMed:7717396, ECO:0000269|PubMed:7825602, ECO:0000269|PubMed:7849723, ECO:0000269|PubMed:7904210, ECO:0000269|PubMed:8040304, ECO:0000269|PubMed:8566952, ECO:0000269|PubMed:8651290, ECO:0000269|PubMed:9452087}. Note=The disease is caused by mutations affecting the gene represented in this entry.; DISEASE: Note=The promoter region of ABCD1 is deleted in the chromosome Xq28 deletion syndrome which involves ABCD1 and the neighboring gene BCAP31. {ECO:0000269|PubMed:11992258}.; </t>
        </is>
      </c>
      <c r="AI1091" t="inlineStr">
        <is>
          <t>.</t>
        </is>
      </c>
      <c r="AJ1091" t="inlineStr">
        <is>
          <t>.</t>
        </is>
      </c>
      <c r="AK1091" t="inlineStr">
        <is>
          <t>.</t>
        </is>
      </c>
      <c r="AL1091" t="inlineStr">
        <is>
          <t>.</t>
        </is>
      </c>
    </row>
    <row r="1092">
      <c r="A1092" t="inlineStr"/>
      <c r="B1092">
        <f>HYPERLINK("https://genome.ucsc.edu/cgi-bin/hgTracks?db=hg19&amp;position=chrX%3A153009386%2D153009386", "chrX:153009386")</f>
        <v/>
      </c>
      <c r="C1092" t="inlineStr">
        <is>
          <t>chrX</t>
        </is>
      </c>
      <c r="D1092" t="n">
        <v>153009386</v>
      </c>
      <c r="E1092" t="n">
        <v>153009386</v>
      </c>
      <c r="F1092" t="inlineStr">
        <is>
          <t>G</t>
        </is>
      </c>
      <c r="G1092" t="inlineStr">
        <is>
          <t>T</t>
        </is>
      </c>
      <c r="H1092" t="inlineStr">
        <is>
          <t>40.64</t>
        </is>
      </c>
      <c r="I1092" t="inlineStr">
        <is>
          <t>29</t>
        </is>
      </c>
      <c r="J1092" t="inlineStr">
        <is>
          <t>26,3</t>
        </is>
      </c>
      <c r="K1092" t="inlineStr">
        <is>
          <t>.</t>
        </is>
      </c>
      <c r="L1092">
        <f>HYPERLINK("https://www.ncbi.nlm.nih.gov/snp/rs371380320", "rs371380320")</f>
        <v/>
      </c>
      <c r="M1092">
        <f>HYPERLINK("https://www.genecards.org/Search/Keyword?queryString=%5Baliases%5D(%20ABCD1%20)&amp;keywords=ABCD1", "ABCD1")</f>
        <v/>
      </c>
      <c r="N1092" t="inlineStr">
        <is>
          <t>UTR3;ncRNA_intronic</t>
        </is>
      </c>
      <c r="O1092" t="inlineStr">
        <is>
          <t>.</t>
        </is>
      </c>
      <c r="P1092" t="inlineStr">
        <is>
          <t>NM_000033:c.*197G&gt;T;uc004fif.2:c.*197G&gt;T</t>
        </is>
      </c>
      <c r="Q1092" t="n">
        <v>0.009900000000000001</v>
      </c>
      <c r="R1092" t="n">
        <v>0.0015</v>
      </c>
      <c r="S1092" t="n">
        <v>0.0014</v>
      </c>
      <c r="T1092" t="n">
        <v>-1</v>
      </c>
      <c r="U1092" t="n">
        <v>0.0024</v>
      </c>
      <c r="V1092" t="inlineStr">
        <is>
          <t>.</t>
        </is>
      </c>
      <c r="W1092" t="inlineStr">
        <is>
          <t>.</t>
        </is>
      </c>
      <c r="X1092" t="inlineStr">
        <is>
          <t>.</t>
        </is>
      </c>
      <c r="Y1092" t="inlineStr">
        <is>
          <t>.</t>
        </is>
      </c>
      <c r="Z1092" t="inlineStr">
        <is>
          <t>.</t>
        </is>
      </c>
      <c r="AA1092" t="inlineStr">
        <is>
          <t>.</t>
        </is>
      </c>
      <c r="AB1092" t="inlineStr">
        <is>
          <t>.</t>
        </is>
      </c>
      <c r="AC1092" t="inlineStr">
        <is>
          <t>.</t>
        </is>
      </c>
      <c r="AD1092" t="inlineStr">
        <is>
          <t>7</t>
        </is>
      </c>
      <c r="AE1092" t="inlineStr">
        <is>
          <t>0.982118837885542</t>
        </is>
      </c>
      <c r="AF1092" t="inlineStr">
        <is>
          <t>ATP binding cassette subfamily D member 1</t>
        </is>
      </c>
      <c r="AG1092" t="inlineStr">
        <is>
          <t xml:space="preserve">FUNCTION: Probable transporter. The nucleotide-binding fold acts as an ATP-binding subunit with ATPase activity. {ECO:0000269|PubMed:11248239}.; </t>
        </is>
      </c>
      <c r="AH1092" t="inlineStr">
        <is>
          <t xml:space="preserve">DISEASE: Adrenoleukodystrophy (ALD) [MIM:300100]: A peroxisomal metabolic disorder characterized by progressive multifocal demyelination of the central nervous system and by peripheral adrenal insufficiency (Addison disease). It results in mental deterioration, corticospinal tract dysfunction, and cortical blindness. Different clinical manifestations exist like: cerebral childhood ALD (CALD), adult cerebral ALD (ACALD), adrenomyeloneuropathy (AMN) and 'Addison disease only' (ADO) phenotype. {ECO:0000269|PubMed:10369742, ECO:0000269|PubMed:10480364, ECO:0000269|PubMed:10737980, ECO:0000269|PubMed:10980539, ECO:0000269|PubMed:11438993, ECO:0000269|PubMed:11810273, ECO:0000269|PubMed:15643618, ECO:0000269|PubMed:21700483, ECO:0000269|PubMed:21889498, ECO:0000269|PubMed:7581394, ECO:0000269|PubMed:7717396, ECO:0000269|PubMed:7825602, ECO:0000269|PubMed:7849723, ECO:0000269|PubMed:7904210, ECO:0000269|PubMed:8040304, ECO:0000269|PubMed:8566952, ECO:0000269|PubMed:8651290, ECO:0000269|PubMed:9452087}. Note=The disease is caused by mutations affecting the gene represented in this entry.; DISEASE: Note=The promoter region of ABCD1 is deleted in the chromosome Xq28 deletion syndrome which involves ABCD1 and the neighboring gene BCAP31. {ECO:0000269|PubMed:11992258}.; </t>
        </is>
      </c>
      <c r="AI1092" t="inlineStr">
        <is>
          <t>.</t>
        </is>
      </c>
      <c r="AJ1092" t="inlineStr">
        <is>
          <t>.</t>
        </is>
      </c>
      <c r="AK1092" t="inlineStr">
        <is>
          <t>.</t>
        </is>
      </c>
      <c r="AL1092" t="inlineStr">
        <is>
          <t>.</t>
        </is>
      </c>
    </row>
    <row r="1093">
      <c r="A1093" t="inlineStr"/>
      <c r="B1093">
        <f>HYPERLINK("https://genome.ucsc.edu/cgi-bin/hgTracks?db=hg19&amp;position=chrX%3A153010190%2D153010190", "chrX:153010190")</f>
        <v/>
      </c>
      <c r="C1093" t="inlineStr">
        <is>
          <t>chrX</t>
        </is>
      </c>
      <c r="D1093" t="n">
        <v>153010190</v>
      </c>
      <c r="E1093" t="n">
        <v>153010190</v>
      </c>
      <c r="F1093" t="inlineStr">
        <is>
          <t>C</t>
        </is>
      </c>
      <c r="G1093" t="inlineStr">
        <is>
          <t>T</t>
        </is>
      </c>
      <c r="H1093" t="inlineStr">
        <is>
          <t>43.64</t>
        </is>
      </c>
      <c r="I1093" t="inlineStr">
        <is>
          <t>22</t>
        </is>
      </c>
      <c r="J1093" t="inlineStr">
        <is>
          <t>19,3</t>
        </is>
      </c>
      <c r="K1093" t="inlineStr">
        <is>
          <t>.</t>
        </is>
      </c>
      <c r="L1093">
        <f>HYPERLINK("https://www.ncbi.nlm.nih.gov/snp/rs879949945", "rs879949945")</f>
        <v/>
      </c>
      <c r="M1093">
        <f>HYPERLINK("https://www.genecards.org/Search/Keyword?queryString=%5Baliases%5D(%20ABCD1%20)&amp;keywords=ABCD1", "ABCD1")</f>
        <v/>
      </c>
      <c r="N1093" t="inlineStr">
        <is>
          <t>UTR3;ncRNA_intronic</t>
        </is>
      </c>
      <c r="O1093" t="inlineStr">
        <is>
          <t>.</t>
        </is>
      </c>
      <c r="P1093" t="inlineStr">
        <is>
          <t>NM_000033:c.*1001C&gt;T;uc004fif.2:c.*1001C&gt;T</t>
        </is>
      </c>
      <c r="Q1093" t="n">
        <v>0.0025</v>
      </c>
      <c r="R1093" t="n">
        <v>-1</v>
      </c>
      <c r="S1093" t="n">
        <v>-1</v>
      </c>
      <c r="T1093" t="n">
        <v>-1</v>
      </c>
      <c r="U1093" t="n">
        <v>-1</v>
      </c>
      <c r="V1093" t="inlineStr">
        <is>
          <t>.</t>
        </is>
      </c>
      <c r="W1093" t="inlineStr">
        <is>
          <t>.</t>
        </is>
      </c>
      <c r="X1093" t="inlineStr">
        <is>
          <t>.</t>
        </is>
      </c>
      <c r="Y1093" t="inlineStr">
        <is>
          <t>.</t>
        </is>
      </c>
      <c r="Z1093" t="inlineStr">
        <is>
          <t>.</t>
        </is>
      </c>
      <c r="AA1093" t="inlineStr">
        <is>
          <t>.</t>
        </is>
      </c>
      <c r="AB1093" t="inlineStr">
        <is>
          <t>.</t>
        </is>
      </c>
      <c r="AC1093" t="inlineStr">
        <is>
          <t>0/1</t>
        </is>
      </c>
      <c r="AD1093" t="inlineStr">
        <is>
          <t>7</t>
        </is>
      </c>
      <c r="AE1093" t="inlineStr">
        <is>
          <t>0.982118837885542</t>
        </is>
      </c>
      <c r="AF1093" t="inlineStr">
        <is>
          <t>ATP binding cassette subfamily D member 1</t>
        </is>
      </c>
      <c r="AG1093" t="inlineStr">
        <is>
          <t xml:space="preserve">FUNCTION: Probable transporter. The nucleotide-binding fold acts as an ATP-binding subunit with ATPase activity. {ECO:0000269|PubMed:11248239}.; </t>
        </is>
      </c>
      <c r="AH1093" t="inlineStr">
        <is>
          <t xml:space="preserve">DISEASE: Adrenoleukodystrophy (ALD) [MIM:300100]: A peroxisomal metabolic disorder characterized by progressive multifocal demyelination of the central nervous system and by peripheral adrenal insufficiency (Addison disease). It results in mental deterioration, corticospinal tract dysfunction, and cortical blindness. Different clinical manifestations exist like: cerebral childhood ALD (CALD), adult cerebral ALD (ACALD), adrenomyeloneuropathy (AMN) and 'Addison disease only' (ADO) phenotype. {ECO:0000269|PubMed:10369742, ECO:0000269|PubMed:10480364, ECO:0000269|PubMed:10737980, ECO:0000269|PubMed:10980539, ECO:0000269|PubMed:11438993, ECO:0000269|PubMed:11810273, ECO:0000269|PubMed:15643618, ECO:0000269|PubMed:21700483, ECO:0000269|PubMed:21889498, ECO:0000269|PubMed:7581394, ECO:0000269|PubMed:7717396, ECO:0000269|PubMed:7825602, ECO:0000269|PubMed:7849723, ECO:0000269|PubMed:7904210, ECO:0000269|PubMed:8040304, ECO:0000269|PubMed:8566952, ECO:0000269|PubMed:8651290, ECO:0000269|PubMed:9452087}. Note=The disease is caused by mutations affecting the gene represented in this entry.; DISEASE: Note=The promoter region of ABCD1 is deleted in the chromosome Xq28 deletion syndrome which involves ABCD1 and the neighboring gene BCAP31. {ECO:0000269|PubMed:11992258}.; </t>
        </is>
      </c>
      <c r="AI1093" t="inlineStr">
        <is>
          <t>.</t>
        </is>
      </c>
      <c r="AJ1093" t="inlineStr">
        <is>
          <t>.</t>
        </is>
      </c>
      <c r="AK1093" t="inlineStr">
        <is>
          <t>.</t>
        </is>
      </c>
      <c r="AL1093" t="inlineStr">
        <is>
          <t>.</t>
        </is>
      </c>
    </row>
    <row r="1094">
      <c r="A1094" t="inlineStr"/>
      <c r="B1094">
        <f>HYPERLINK("https://genome.ucsc.edu/cgi-bin/hgTracks?db=hg19&amp;position=chrY%3A13500604%2D13500604", "chrY:13500604")</f>
        <v/>
      </c>
      <c r="C1094" t="inlineStr">
        <is>
          <t>chrY</t>
        </is>
      </c>
      <c r="D1094" t="n">
        <v>13500604</v>
      </c>
      <c r="E1094" t="n">
        <v>13500604</v>
      </c>
      <c r="F1094" t="inlineStr">
        <is>
          <t>A</t>
        </is>
      </c>
      <c r="G1094" t="inlineStr">
        <is>
          <t>T</t>
        </is>
      </c>
      <c r="H1094" t="inlineStr">
        <is>
          <t>226.64</t>
        </is>
      </c>
      <c r="I1094" t="inlineStr">
        <is>
          <t>21</t>
        </is>
      </c>
      <c r="J1094" t="inlineStr">
        <is>
          <t>9,12</t>
        </is>
      </c>
      <c r="K1094" t="inlineStr">
        <is>
          <t>.</t>
        </is>
      </c>
      <c r="L1094">
        <f>HYPERLINK("https://www.ncbi.nlm.nih.gov/snp/rs76826769", "rs76826769")</f>
        <v/>
      </c>
      <c r="M1094" t="inlineStr">
        <is>
          <t>.</t>
        </is>
      </c>
      <c r="N1094" t="inlineStr">
        <is>
          <t>intergenic</t>
        </is>
      </c>
      <c r="O1094" t="inlineStr">
        <is>
          <t>.</t>
        </is>
      </c>
      <c r="P1094" t="inlineStr">
        <is>
          <t>dist=NONE;dist=1017311;dist=165986;dist=129033;dist=159971;dist=446839</t>
        </is>
      </c>
      <c r="Q1094" t="n">
        <v>0.0001617</v>
      </c>
      <c r="R1094" t="n">
        <v>-1</v>
      </c>
      <c r="S1094" t="n">
        <v>-1</v>
      </c>
      <c r="T1094" t="n">
        <v>-1</v>
      </c>
      <c r="U1094" t="n">
        <v>-1</v>
      </c>
      <c r="V1094" t="inlineStr">
        <is>
          <t>.</t>
        </is>
      </c>
      <c r="W1094" t="inlineStr">
        <is>
          <t>.</t>
        </is>
      </c>
      <c r="X1094" t="inlineStr">
        <is>
          <t>D</t>
        </is>
      </c>
      <c r="Y1094" t="inlineStr">
        <is>
          <t>off</t>
        </is>
      </c>
      <c r="Z1094" t="inlineStr">
        <is>
          <t>.</t>
        </is>
      </c>
      <c r="AA1094" t="inlineStr">
        <is>
          <t>.</t>
        </is>
      </c>
      <c r="AB1094" t="inlineStr">
        <is>
          <t>.</t>
        </is>
      </c>
      <c r="AC1094" t="inlineStr">
        <is>
          <t>0/1</t>
        </is>
      </c>
      <c r="AD1094" t="inlineStr">
        <is>
          <t>6</t>
        </is>
      </c>
      <c r="AE1094" t="inlineStr">
        <is>
          <t>.</t>
        </is>
      </c>
      <c r="AF1094" t="inlineStr">
        <is>
          <t>.</t>
        </is>
      </c>
      <c r="AG1094" t="inlineStr">
        <is>
          <t>.</t>
        </is>
      </c>
      <c r="AH1094" t="inlineStr">
        <is>
          <t>.</t>
        </is>
      </c>
      <c r="AI1094" t="inlineStr">
        <is>
          <t>GenotypeConflict</t>
        </is>
      </c>
      <c r="AJ1094" t="inlineStr">
        <is>
          <t>.</t>
        </is>
      </c>
      <c r="AK1094" t="inlineStr">
        <is>
          <t>.</t>
        </is>
      </c>
      <c r="AL1094" t="inlineStr">
        <is>
          <t>.</t>
        </is>
      </c>
    </row>
    <row r="1095">
      <c r="A1095" t="inlineStr"/>
      <c r="B1095">
        <f>HYPERLINK("https://genome.ucsc.edu/cgi-bin/hgTracks?db=hg19&amp;position=chrY%3A13500639%2D13500639", "chrY:13500639")</f>
        <v/>
      </c>
      <c r="C1095" t="inlineStr">
        <is>
          <t>chrY</t>
        </is>
      </c>
      <c r="D1095" t="n">
        <v>13500639</v>
      </c>
      <c r="E1095" t="n">
        <v>13500639</v>
      </c>
      <c r="F1095" t="inlineStr">
        <is>
          <t>C</t>
        </is>
      </c>
      <c r="G1095" t="inlineStr">
        <is>
          <t>T</t>
        </is>
      </c>
      <c r="H1095" t="inlineStr">
        <is>
          <t>133.64</t>
        </is>
      </c>
      <c r="I1095" t="inlineStr">
        <is>
          <t>19</t>
        </is>
      </c>
      <c r="J1095" t="inlineStr">
        <is>
          <t>11,8</t>
        </is>
      </c>
      <c r="K1095" t="inlineStr">
        <is>
          <t>.</t>
        </is>
      </c>
      <c r="L1095">
        <f>HYPERLINK("https://www.ncbi.nlm.nih.gov/snp/rs763588005", "rs763588005")</f>
        <v/>
      </c>
      <c r="M1095" t="inlineStr">
        <is>
          <t>.</t>
        </is>
      </c>
      <c r="N1095" t="inlineStr">
        <is>
          <t>intergenic</t>
        </is>
      </c>
      <c r="O1095" t="inlineStr">
        <is>
          <t>.</t>
        </is>
      </c>
      <c r="P1095" t="inlineStr">
        <is>
          <t>dist=NONE;dist=1017276;dist=166021;dist=128998;dist=160006;dist=446804</t>
        </is>
      </c>
      <c r="Q1095" t="n">
        <v>3.23e-05</v>
      </c>
      <c r="R1095" t="n">
        <v>-1</v>
      </c>
      <c r="S1095" t="n">
        <v>-1</v>
      </c>
      <c r="T1095" t="n">
        <v>-1</v>
      </c>
      <c r="U1095" t="n">
        <v>-1</v>
      </c>
      <c r="V1095" t="inlineStr">
        <is>
          <t>.</t>
        </is>
      </c>
      <c r="W1095" t="inlineStr">
        <is>
          <t>.</t>
        </is>
      </c>
      <c r="X1095" t="inlineStr">
        <is>
          <t>D</t>
        </is>
      </c>
      <c r="Y1095" t="inlineStr">
        <is>
          <t>on</t>
        </is>
      </c>
      <c r="Z1095" t="inlineStr">
        <is>
          <t>.</t>
        </is>
      </c>
      <c r="AA1095" t="inlineStr">
        <is>
          <t>.</t>
        </is>
      </c>
      <c r="AB1095" t="inlineStr">
        <is>
          <t>.</t>
        </is>
      </c>
      <c r="AC1095" t="inlineStr">
        <is>
          <t>0/1</t>
        </is>
      </c>
      <c r="AD1095" t="inlineStr">
        <is>
          <t>6</t>
        </is>
      </c>
      <c r="AE1095" t="inlineStr">
        <is>
          <t>.</t>
        </is>
      </c>
      <c r="AF1095" t="inlineStr">
        <is>
          <t>.</t>
        </is>
      </c>
      <c r="AG1095" t="inlineStr">
        <is>
          <t>.</t>
        </is>
      </c>
      <c r="AH1095" t="inlineStr">
        <is>
          <t>.</t>
        </is>
      </c>
      <c r="AI1095" t="inlineStr">
        <is>
          <t>GenotypeConflict</t>
        </is>
      </c>
      <c r="AJ1095" t="inlineStr">
        <is>
          <t>.</t>
        </is>
      </c>
      <c r="AK1095" t="inlineStr">
        <is>
          <t>.</t>
        </is>
      </c>
      <c r="AL1095" t="inlineStr">
        <is>
          <t>.</t>
        </is>
      </c>
    </row>
  </sheetData>
  <pageMargins left="0.75" right="0.75" top="1" bottom="1" header="0.5" footer="0.5"/>
</worksheet>
</file>

<file path=xl/worksheets/sheet2.xml><?xml version="1.0" encoding="utf-8"?>
<worksheet xmlns="http://schemas.openxmlformats.org/spreadsheetml/2006/main">
  <sheetPr>
    <outlinePr summaryBelow="1" summaryRight="1"/>
    <pageSetUpPr/>
  </sheetPr>
  <dimension ref="A1:O823"/>
  <sheetViews>
    <sheetView workbookViewId="0">
      <selection activeCell="A1" sqref="A1"/>
    </sheetView>
  </sheetViews>
  <sheetFormatPr baseColWidth="8" defaultRowHeight="15"/>
  <sheetData>
    <row r="1">
      <c r="A1" s="1" t="inlineStr">
        <is>
          <t>#Gene_name</t>
        </is>
      </c>
      <c r="B1" s="1" t="inlineStr">
        <is>
          <t>pLi</t>
        </is>
      </c>
      <c r="C1" s="1" t="inlineStr">
        <is>
          <t>Gene_full_name</t>
        </is>
      </c>
      <c r="D1" s="1" t="inlineStr">
        <is>
          <t>Function_description</t>
        </is>
      </c>
      <c r="E1" s="1" t="inlineStr">
        <is>
          <t>Disease_description</t>
        </is>
      </c>
      <c r="F1" s="1" t="inlineStr">
        <is>
          <t>Tissue_specificity(Uniprot)</t>
        </is>
      </c>
      <c r="G1" s="1" t="inlineStr">
        <is>
          <t>Expression(egenetics)</t>
        </is>
      </c>
      <c r="H1" s="1" t="inlineStr">
        <is>
          <t>Expression(GNF/Atlas)</t>
        </is>
      </c>
      <c r="I1" s="1" t="inlineStr">
        <is>
          <t>OMIM-00</t>
        </is>
      </c>
      <c r="J1" s="1" t="inlineStr">
        <is>
          <t>OMIM-01</t>
        </is>
      </c>
      <c r="K1" s="1" t="inlineStr">
        <is>
          <t>OMIM-02</t>
        </is>
      </c>
      <c r="L1" s="1" t="inlineStr">
        <is>
          <t>OMIM-03</t>
        </is>
      </c>
      <c r="M1" s="1" t="inlineStr">
        <is>
          <t>OMIM-04</t>
        </is>
      </c>
      <c r="N1" s="1" t="inlineStr">
        <is>
          <t>OMIM-05</t>
        </is>
      </c>
      <c r="O1" s="1" t="inlineStr">
        <is>
          <t>OMIM-06</t>
        </is>
      </c>
    </row>
    <row r="2">
      <c r="A2" t="inlineStr">
        <is>
          <t>A2M</t>
        </is>
      </c>
      <c r="B2" t="inlineStr">
        <is>
          <t>0.000540114865271392</t>
        </is>
      </c>
      <c r="C2" t="inlineStr">
        <is>
          <t>alpha-2-macroglobulin</t>
        </is>
      </c>
      <c r="D2" t="inlineStr">
        <is>
          <t xml:space="preserve">FUNCTION: Is able to inhibit all four classes of proteinases by a unique 'trapping' mechanism. This protein has a peptide stretch, called the 'bait region' which contains specific cleavage sites for different proteinases. When a proteinase cleaves the bait region, a conformational change is induced in the protein which traps the proteinase. The entrapped enzyme remains active against low molecular weight substrates (activity against high molecular weight substrates is greatly reduced). Following cleavage in the bait region a thioester bond is hydrolyzed and mediates the covalent binding of the protein to the proteinase.; </t>
        </is>
      </c>
      <c r="E2" t="inlineStr">
        <is>
          <t>.</t>
        </is>
      </c>
      <c r="F2" t="inlineStr">
        <is>
          <t xml:space="preserve">TISSUE SPECIFICITY: Secreted in plasma. {ECO:0000269|PubMed:6203908}.; </t>
        </is>
      </c>
      <c r="G2" t="inlineStr">
        <is>
          <t>myocardium;smooth muscle;ovary;skin;retina;prostate;frontal lobe;endometrium;thyroid;brain;gall bladder;tonsil;heart;tongue;adrenal cortex;skeletal muscle;breast;epididymis;trabecular meshwork;visual apparatus;macula lutea;liver;spleen;mammary gland;colon;parathyroid;choroid;fovea centralis;uterus;whole body;cerebral cortex;larynx;testis;dura mater;spinal ganglion;pineal gland;unclassifiable (Anatomical System);meninges;lacrimal gland;islets of Langerhans;hypothalamus;pancreas;lung;pia mater;adrenal gland;placenta;hippocampus;head and neck;kidney;stomach;</t>
        </is>
      </c>
      <c r="H2" t="inlineStr">
        <is>
          <t>.</t>
        </is>
      </c>
      <c r="I2" t="inlineStr">
        <is>
          <t>.</t>
        </is>
      </c>
      <c r="J2" t="inlineStr">
        <is>
          <t>.</t>
        </is>
      </c>
      <c r="K2" t="inlineStr">
        <is>
          <t>.</t>
        </is>
      </c>
      <c r="L2" t="inlineStr">
        <is>
          <t>.</t>
        </is>
      </c>
      <c r="M2" t="inlineStr">
        <is>
          <t>.</t>
        </is>
      </c>
      <c r="N2" t="inlineStr">
        <is>
          <t>.</t>
        </is>
      </c>
      <c r="O2" t="inlineStr">
        <is>
          <t>.</t>
        </is>
      </c>
    </row>
    <row r="3">
      <c r="A3" t="inlineStr">
        <is>
          <t>AADACL4</t>
        </is>
      </c>
      <c r="B3" t="inlineStr">
        <is>
          <t>0.000547686324044419</t>
        </is>
      </c>
      <c r="C3" t="inlineStr">
        <is>
          <t>arylacetamide deacetylase-like 4</t>
        </is>
      </c>
      <c r="D3" t="inlineStr">
        <is>
          <t>.</t>
        </is>
      </c>
      <c r="E3" t="inlineStr">
        <is>
          <t>.</t>
        </is>
      </c>
      <c r="F3" t="inlineStr">
        <is>
          <t>.</t>
        </is>
      </c>
      <c r="G3" t="inlineStr">
        <is>
          <t>.</t>
        </is>
      </c>
      <c r="H3" t="inlineStr">
        <is>
          <t>.</t>
        </is>
      </c>
      <c r="I3" t="inlineStr">
        <is>
          <t>.</t>
        </is>
      </c>
      <c r="J3" t="inlineStr">
        <is>
          <t>.</t>
        </is>
      </c>
      <c r="K3" t="inlineStr">
        <is>
          <t>.</t>
        </is>
      </c>
      <c r="L3" t="inlineStr">
        <is>
          <t>.</t>
        </is>
      </c>
      <c r="M3" t="inlineStr">
        <is>
          <t>.</t>
        </is>
      </c>
      <c r="N3" t="inlineStr">
        <is>
          <t>.</t>
        </is>
      </c>
      <c r="O3" t="inlineStr">
        <is>
          <t>.</t>
        </is>
      </c>
    </row>
    <row r="4">
      <c r="A4" t="inlineStr">
        <is>
          <t>ABCA12</t>
        </is>
      </c>
      <c r="B4" t="inlineStr">
        <is>
          <t>2.02270864482359e-07</t>
        </is>
      </c>
      <c r="C4" t="inlineStr">
        <is>
          <t>ATP binding cassette subfamily A member 12</t>
        </is>
      </c>
      <c r="D4" t="inlineStr">
        <is>
          <t xml:space="preserve">FUNCTION: Probable transporter involved in lipid homeostasis.; </t>
        </is>
      </c>
      <c r="E4" t="inlineStr">
        <is>
          <t xml:space="preserve">DISEASE: Ichthyosis, congenital, autosomal recessive 4A (ARCI4A) [MIM:601277]: A form of autosomal recessive congenital ichthyosis, a disorder of keratinization with abnormal differentiation and desquamation of the epidermis, resulting in abnormal skin scaling over the whole body. The main skin phenotypes are lamellar ichthyosis (LI) and non-bullous congenital ichthyosiform erythroderma (NCIE), although phenotypic overlap within the same patient or among patients from the same family can occur. Lamellar ichthyosis is a condition often associated with an embedment in a collodion-like membrane at birth; skin scales later develop, covering the entire body surface. Non-bullous congenital ichthyosiform erythroderma characterized by fine whitish scaling on an erythrodermal background; larger brownish scales are present on the buttocks, neck and legs. {ECO:0000269|PubMed:12915478, ECO:0000269|PubMed:17508018, ECO:0000269|PubMed:18284401, ECO:0000269|PubMed:19262603, ECO:0000269|PubMed:22257947}. Note=The disease is caused by mutations affecting the gene represented in this entry.; DISEASE: Ichthyosis, congenital, autosomal recessive 4B (ARCI4B) [MIM:242500]: A rare, very severe form of congenital ichthyosis, in which the neonate is born with a thick covering of armor-like scales. The skin dries out to form hard diamond-shaped plaques separated by fissures, resembling 'armor plating'. The normal facial features are severely affected, with distortion of the lips (eclabion), eyelids (ectropion), ears, and nostrils. Affected babies are often born prematurely and rarely survive the perinatal period. Babies who survive into infancy and beyond develop skin changes resembling severe non-bullous congenital ichthyosiform erythroderma. {ECO:0000269|PubMed:15756637, ECO:0000269|PubMed:16675967, ECO:0000269|PubMed:16902423}. Note=The disease is caused by mutations affecting the gene represented in this entry.; </t>
        </is>
      </c>
      <c r="F4" t="inlineStr">
        <is>
          <t xml:space="preserve">TISSUE SPECIFICITY: Mainly expressed in the stomach, placenta, testis and fetal brain. {ECO:0000269|PubMed:12697999}.; </t>
        </is>
      </c>
      <c r="G4" t="inlineStr">
        <is>
          <t>unclassifiable (Anatomical System);breast;lung;stomach;</t>
        </is>
      </c>
      <c r="H4" t="inlineStr">
        <is>
          <t>dorsal root ganglion;occipital lobe;superior cervical ganglion;atrioventricular node;pons;skin;skeletal muscle;subthalamic nucleus;globus pallidus;appendix;ciliary ganglion;trigeminal ganglion;parietal lobe;</t>
        </is>
      </c>
      <c r="I4">
        <f>HYPERLINK("https://omim.org/entry/601277", "601277")</f>
        <v/>
      </c>
      <c r="J4">
        <f>HYPERLINK("https://omim.org/entry/242500", "242500")</f>
        <v/>
      </c>
      <c r="K4" t="inlineStr">
        <is>
          <t>.</t>
        </is>
      </c>
      <c r="L4" t="inlineStr">
        <is>
          <t>.</t>
        </is>
      </c>
      <c r="M4" t="inlineStr">
        <is>
          <t>.</t>
        </is>
      </c>
      <c r="N4" t="inlineStr">
        <is>
          <t>.</t>
        </is>
      </c>
      <c r="O4" t="inlineStr">
        <is>
          <t>.</t>
        </is>
      </c>
    </row>
    <row r="5">
      <c r="A5" t="inlineStr">
        <is>
          <t>ABCD1</t>
        </is>
      </c>
      <c r="B5" t="inlineStr">
        <is>
          <t>0.982118837885542</t>
        </is>
      </c>
      <c r="C5" t="inlineStr">
        <is>
          <t>ATP binding cassette subfamily D member 1</t>
        </is>
      </c>
      <c r="D5" t="inlineStr">
        <is>
          <t xml:space="preserve">FUNCTION: Probable transporter. The nucleotide-binding fold acts as an ATP-binding subunit with ATPase activity. {ECO:0000269|PubMed:11248239}.; </t>
        </is>
      </c>
      <c r="E5" t="inlineStr">
        <is>
          <t xml:space="preserve">DISEASE: Adrenoleukodystrophy (ALD) [MIM:300100]: A peroxisomal metabolic disorder characterized by progressive multifocal demyelination of the central nervous system and by peripheral adrenal insufficiency (Addison disease). It results in mental deterioration, corticospinal tract dysfunction, and cortical blindness. Different clinical manifestations exist like: cerebral childhood ALD (CALD), adult cerebral ALD (ACALD), adrenomyeloneuropathy (AMN) and 'Addison disease only' (ADO) phenotype. {ECO:0000269|PubMed:10369742, ECO:0000269|PubMed:10480364, ECO:0000269|PubMed:10737980, ECO:0000269|PubMed:10980539, ECO:0000269|PubMed:11438993, ECO:0000269|PubMed:11810273, ECO:0000269|PubMed:15643618, ECO:0000269|PubMed:21700483, ECO:0000269|PubMed:21889498, ECO:0000269|PubMed:7581394, ECO:0000269|PubMed:7717396, ECO:0000269|PubMed:7825602, ECO:0000269|PubMed:7849723, ECO:0000269|PubMed:7904210, ECO:0000269|PubMed:8040304, ECO:0000269|PubMed:8566952, ECO:0000269|PubMed:8651290, ECO:0000269|PubMed:9452087}. Note=The disease is caused by mutations affecting the gene represented in this entry.; DISEASE: Note=The promoter region of ABCD1 is deleted in the chromosome Xq28 deletion syndrome which involves ABCD1 and the neighboring gene BCAP31. {ECO:0000269|PubMed:11992258}.; </t>
        </is>
      </c>
      <c r="F5" t="inlineStr">
        <is>
          <t>.</t>
        </is>
      </c>
      <c r="G5" t="inlineStr">
        <is>
          <t>unclassifiable (Anatomical System);lymph node;cartilage;ovary;colon;parathyroid;blood;choroid;skin;skeletal muscle;retina;pancreas;lung;adrenal gland;bone;placenta;alveolus;testis;cervix;kidney;brain;stomach;</t>
        </is>
      </c>
      <c r="H5" t="inlineStr">
        <is>
          <t>superior cervical ganglion;skeletal muscle;</t>
        </is>
      </c>
      <c r="I5">
        <f>HYPERLINK("https://omim.org/entry/300100", "300100")</f>
        <v/>
      </c>
      <c r="J5" t="inlineStr">
        <is>
          <t>.</t>
        </is>
      </c>
      <c r="K5" t="inlineStr">
        <is>
          <t>.</t>
        </is>
      </c>
      <c r="L5" t="inlineStr">
        <is>
          <t>.</t>
        </is>
      </c>
      <c r="M5" t="inlineStr">
        <is>
          <t>.</t>
        </is>
      </c>
      <c r="N5" t="inlineStr">
        <is>
          <t>.</t>
        </is>
      </c>
      <c r="O5" t="inlineStr">
        <is>
          <t>.</t>
        </is>
      </c>
    </row>
    <row r="6">
      <c r="A6" t="inlineStr">
        <is>
          <t>ABI3BP</t>
        </is>
      </c>
      <c r="B6" t="inlineStr">
        <is>
          <t>3.9401554209396e-07</t>
        </is>
      </c>
      <c r="C6" t="inlineStr">
        <is>
          <t>ABI family member 3 binding protein</t>
        </is>
      </c>
      <c r="D6" t="inlineStr">
        <is>
          <t>.</t>
        </is>
      </c>
      <c r="E6" t="inlineStr">
        <is>
          <t>.</t>
        </is>
      </c>
      <c r="F6" t="inlineStr">
        <is>
          <t xml:space="preserve">TISSUE SPECIFICITY: Expressed in brain, heart, lung, liver, pancreas kidney and placenta. {ECO:0000269|PubMed:11501947}.; </t>
        </is>
      </c>
      <c r="G6" t="inlineStr">
        <is>
          <t>smooth muscle;skin;retina;uterus;prostate;whole body;frontal lobe;cochlea;larynx;thyroid;bone;testis;brain;gall bladder;unclassifiable (Anatomical System);lymph node;heart;cartilage;nervous;blood;lens;skeletal muscle;pancreas;lung;placenta;head and neck;kidney;mammary gland;stomach;aorta;</t>
        </is>
      </c>
      <c r="H6" t="inlineStr">
        <is>
          <t>ciliary ganglion;</t>
        </is>
      </c>
      <c r="I6" t="inlineStr">
        <is>
          <t>.</t>
        </is>
      </c>
      <c r="J6" t="inlineStr">
        <is>
          <t>.</t>
        </is>
      </c>
      <c r="K6" t="inlineStr">
        <is>
          <t>.</t>
        </is>
      </c>
      <c r="L6" t="inlineStr">
        <is>
          <t>.</t>
        </is>
      </c>
      <c r="M6" t="inlineStr">
        <is>
          <t>.</t>
        </is>
      </c>
      <c r="N6" t="inlineStr">
        <is>
          <t>.</t>
        </is>
      </c>
      <c r="O6" t="inlineStr">
        <is>
          <t>.</t>
        </is>
      </c>
    </row>
    <row r="7">
      <c r="A7" t="inlineStr">
        <is>
          <t>ABL1</t>
        </is>
      </c>
      <c r="B7" t="inlineStr">
        <is>
          <t>0.999882701417156</t>
        </is>
      </c>
      <c r="C7" t="inlineStr">
        <is>
          <t>ABL proto-oncogene 1, non-receptor tyrosine kinase</t>
        </is>
      </c>
      <c r="D7" t="inlineStr">
        <is>
          <t xml:space="preserve">FUNCTION: Non-receptor tyrosine-protein kinase that plays a role in many key processes linked to cell growth and survival such as cytoskeleton remodeling in response to extracellular stimuli, cell motility and adhesion, receptor endocytosis, autophagy, DNA damage response and apoptosis. Coordinates actin remodeling through tyrosine phosphorylation of proteins controlling cytoskeleton dynamics like WASF3 (involved in branch formation); ANXA1 (involved in membrane anchoring); DBN1, DBNL, CTTN, RAPH1 and ENAH (involved in signaling); or MAPT and PXN (microtubule-binding proteins). Phosphorylation of WASF3 is critical for the stimulation of lamellipodia formation and cell migration. Involved in the regulation of cell adhesion and motility through phosphorylation of key regulators of these processes such as BCAR1, CRK, CRKL, DOK1, EFS or NEDD9. Phosphorylates multiple receptor tyrosine kinases and more particularly promotes endocytosis of EGFR, facilitates the formation of neuromuscular synapses through MUSK, inhibits PDGFRB-mediated chemotaxis and modulates the endocytosis of activated B-cell receptor complexes. Other substrates which are involved in endocytosis regulation are the caveolin (CAV1) and RIN1. Moreover, ABL1 regulates the CBL family of ubiquitin ligases that drive receptor down-regulation and actin remodeling. Phosphorylation of CBL leads to increased EGFR stability. Involved in late-stage autophagy by regulating positively the trafficking and function of lysosomal components. ABL1 targets to mitochondria in response to oxidative stress and thereby mediates mitochondrial dysfunction and cell death. ABL1 is also translocated in the nucleus where it has DNA-binding activity and is involved in DNA-damage response and apoptosis. Many substrates are known mediators of DNA repair: DDB1, DDB2, ERCC3, ERCC6, RAD9A, RAD51, RAD52 or WRN. Activates the proapoptotic pathway when the DNA damage is too severe to be repaired. Phosphorylates TP73, a primary regulator for this type of damage- induced apoptosis. Phosphorylates the caspase CASP9 on 'Tyr-153' and regulates its processing in the apoptotic response to DNA damage. Phosphorylates PSMA7 that leads to an inhibition of proteasomal activity and cell cycle transition blocks. ABL1 acts also as a regulator of multiple pathological signaling cascades during infection. Several known tyrosine-phosphorylated microbial proteins have been identified as ABL1 substrates. This is the case of A36R of Vaccinia virus, Tir (translocated intimin receptor) of pathogenic E.coli and possibly Citrobacter, CagA (cytotoxin- associated gene A) of H.pylori, or AnkA (ankyrin repeat-containing protein A) of A.phagocytophilum. Pathogens can highjack ABL1 kinase signaling to reorganize the host actin cytoskeleton for multiple purposes, like facilitating intracellular movement and host cell exit. Finally, functions as its own regulator through autocatalytic activity as well as through phosphorylation of its inhibitor, ABI1. {ECO:0000269|PubMed:10391250, ECO:0000269|PubMed:11971963, ECO:0000269|PubMed:12379650, ECO:0000269|PubMed:12531427, ECO:0000269|PubMed:12672821, ECO:0000269|PubMed:15031292, ECO:0000269|PubMed:15556646, ECO:0000269|PubMed:15657060, ECO:0000269|PubMed:15886098, ECO:0000269|PubMed:16424036, ECO:0000269|PubMed:16678104, ECO:0000269|PubMed:16943190, ECO:0000269|PubMed:17306540, ECO:0000269|PubMed:17623672, ECO:0000269|PubMed:18328268, ECO:0000269|PubMed:18945674, ECO:0000269|PubMed:19891780, ECO:0000269|PubMed:20357770, ECO:0000269|PubMed:20417104, ECO:0000269|PubMed:9037071, ECO:0000269|PubMed:9144171, ECO:0000269|PubMed:9461559}.; </t>
        </is>
      </c>
      <c r="E7" t="inlineStr">
        <is>
          <t xml:space="preserve">DISEASE: Leukemia, chronic myeloid (CML) [MIM:608232]: A clonal myeloproliferative disorder of a pluripotent stem cell with a specific cytogenetic abnormality, the Philadelphia chromosome (Ph), involving myeloid, erythroid, megakaryocytic, B-lymphoid, and sometimes T-lymphoid cells, but not marrow fibroblasts. Note=The gene represented in this entry is involved in disease pathogenesis.; DISEASE: Note=A chromosomal aberration involving ABL1 has been found in patients with chronic myeloid leukemia. Translocation t(9;22)(q34;q11) with BCR. The translocation produces a BCR-ABL found also in acute myeloid leukemia (AML) and acute lymphoblastic leukemia (ALL).; </t>
        </is>
      </c>
      <c r="F7" t="inlineStr">
        <is>
          <t xml:space="preserve">TISSUE SPECIFICITY: Widely expressed.; </t>
        </is>
      </c>
      <c r="G7" t="inlineStr">
        <is>
          <t>prostate;lung;placenta;skin;</t>
        </is>
      </c>
      <c r="H7" t="inlineStr">
        <is>
          <t>superior cervical ganglion;</t>
        </is>
      </c>
      <c r="I7">
        <f>HYPERLINK("https://omim.org/entry/608232", "608232")</f>
        <v/>
      </c>
      <c r="J7" t="inlineStr">
        <is>
          <t>.</t>
        </is>
      </c>
      <c r="K7" t="inlineStr">
        <is>
          <t>.</t>
        </is>
      </c>
      <c r="L7" t="inlineStr">
        <is>
          <t>.</t>
        </is>
      </c>
      <c r="M7" t="inlineStr">
        <is>
          <t>.</t>
        </is>
      </c>
      <c r="N7" t="inlineStr">
        <is>
          <t>.</t>
        </is>
      </c>
      <c r="O7" t="inlineStr">
        <is>
          <t>.</t>
        </is>
      </c>
    </row>
    <row r="8">
      <c r="A8" t="inlineStr">
        <is>
          <t>ACADL</t>
        </is>
      </c>
      <c r="B8" t="inlineStr">
        <is>
          <t>3.5917982569485e-08</t>
        </is>
      </c>
      <c r="C8" t="inlineStr">
        <is>
          <t>acyl-CoA dehydrogenase, long chain</t>
        </is>
      </c>
      <c r="D8" t="inlineStr">
        <is>
          <t>.</t>
        </is>
      </c>
      <c r="E8" t="inlineStr">
        <is>
          <t xml:space="preserve">DISEASE: Acyl-CoA dehydrogenase very long-chain deficiency (ACADVLD) [MIM:201475]: An inborn error of mitochondrial fatty acid beta-oxidation which leads to impaired long-chain fatty acid beta-oxidation. It is clinically heterogeneous, with three major phenotypes: a severe childhood form characterized by early onset, high mortality and high incidence of cardiomyopathy; a milder childhood form with later onset, characterized by hypoketotic hypoglycemia, low mortality and rare cardiomyopathy; an adult form, with isolated skeletal muscle involvement, rhabdomyolysis and myoglobinuria, usually triggered by exercise or fasting. Note=The disease is caused by mutations affecting the gene represented in this entry.; </t>
        </is>
      </c>
      <c r="F8" t="inlineStr">
        <is>
          <t>.</t>
        </is>
      </c>
      <c r="G8" t="inlineStr">
        <is>
          <t>unclassifiable (Anatomical System);medulla oblongata;prostate;lung;cerebral cortex;bone;placenta;liver;testis;cervix;spleen;kidney;skeletal muscle;</t>
        </is>
      </c>
      <c r="H8" t="inlineStr">
        <is>
          <t>superior cervical ganglion;ciliary ganglion;atrioventricular node;trigeminal ganglion;</t>
        </is>
      </c>
      <c r="I8">
        <f>HYPERLINK("https://omim.org/entry/201475", "201475")</f>
        <v/>
      </c>
      <c r="J8" t="inlineStr">
        <is>
          <t>.</t>
        </is>
      </c>
      <c r="K8" t="inlineStr">
        <is>
          <t>.</t>
        </is>
      </c>
      <c r="L8" t="inlineStr">
        <is>
          <t>.</t>
        </is>
      </c>
      <c r="M8" t="inlineStr">
        <is>
          <t>.</t>
        </is>
      </c>
      <c r="N8" t="inlineStr">
        <is>
          <t>.</t>
        </is>
      </c>
      <c r="O8" t="inlineStr">
        <is>
          <t>.</t>
        </is>
      </c>
    </row>
    <row r="9">
      <c r="A9" t="inlineStr">
        <is>
          <t>ACBD7</t>
        </is>
      </c>
      <c r="B9" t="inlineStr">
        <is>
          <t>0.0863366080379718</t>
        </is>
      </c>
      <c r="C9" t="inlineStr">
        <is>
          <t>acyl-CoA binding domain containing 7</t>
        </is>
      </c>
      <c r="D9" t="inlineStr">
        <is>
          <t xml:space="preserve">FUNCTION: Binds medium- and long-chain acyl-CoA esters.; </t>
        </is>
      </c>
      <c r="E9" t="inlineStr">
        <is>
          <t>.</t>
        </is>
      </c>
      <c r="F9" t="inlineStr">
        <is>
          <t>.</t>
        </is>
      </c>
      <c r="G9" t="inlineStr">
        <is>
          <t>.</t>
        </is>
      </c>
      <c r="H9" t="inlineStr">
        <is>
          <t>.</t>
        </is>
      </c>
      <c r="I9" t="inlineStr">
        <is>
          <t>.</t>
        </is>
      </c>
      <c r="J9" t="inlineStr">
        <is>
          <t>.</t>
        </is>
      </c>
      <c r="K9" t="inlineStr">
        <is>
          <t>.</t>
        </is>
      </c>
      <c r="L9" t="inlineStr">
        <is>
          <t>.</t>
        </is>
      </c>
      <c r="M9" t="inlineStr">
        <is>
          <t>.</t>
        </is>
      </c>
      <c r="N9" t="inlineStr">
        <is>
          <t>.</t>
        </is>
      </c>
      <c r="O9" t="inlineStr">
        <is>
          <t>.</t>
        </is>
      </c>
    </row>
    <row r="10">
      <c r="A10" t="inlineStr">
        <is>
          <t>ACSM3</t>
        </is>
      </c>
      <c r="B10" t="inlineStr">
        <is>
          <t>4.97906453643603e-09</t>
        </is>
      </c>
      <c r="C10" t="inlineStr">
        <is>
          <t>acyl-CoA synthetase medium-chain family member 3</t>
        </is>
      </c>
      <c r="D10" t="inlineStr">
        <is>
          <t xml:space="preserve">FUNCTION: Has medium-chain fatty acid:CoA ligase activity with broad substrate specificity (in vitro). Acts on acids from C(4) to C(11) and on the corresponding 3-hydroxy- and 2,3- or 3,4- unsaturated acids (in vitro) (By similarity). {ECO:0000250}.; </t>
        </is>
      </c>
      <c r="E10" t="inlineStr">
        <is>
          <t>.</t>
        </is>
      </c>
      <c r="F10" t="inlineStr">
        <is>
          <t>.</t>
        </is>
      </c>
      <c r="G10" t="inlineStr">
        <is>
          <t>unclassifiable (Anatomical System);medulla oblongata;ovary;colon;parathyroid;skin;skeletal muscle;breast;uterus;prostate;whole body;lung;endometrium;bone;liver;testis;cervix;spleen;germinal center;kidney;brain;bladder;stomach;peripheral nerve;thymus;</t>
        </is>
      </c>
      <c r="H10" t="inlineStr">
        <is>
          <t>dorsal root ganglion;superior cervical ganglion;trigeminal ganglion;skeletal muscle;</t>
        </is>
      </c>
      <c r="I10" t="inlineStr">
        <is>
          <t>.</t>
        </is>
      </c>
      <c r="J10" t="inlineStr">
        <is>
          <t>.</t>
        </is>
      </c>
      <c r="K10" t="inlineStr">
        <is>
          <t>.</t>
        </is>
      </c>
      <c r="L10" t="inlineStr">
        <is>
          <t>.</t>
        </is>
      </c>
      <c r="M10" t="inlineStr">
        <is>
          <t>.</t>
        </is>
      </c>
      <c r="N10" t="inlineStr">
        <is>
          <t>.</t>
        </is>
      </c>
      <c r="O10" t="inlineStr">
        <is>
          <t>.</t>
        </is>
      </c>
    </row>
    <row r="11">
      <c r="A11" t="inlineStr">
        <is>
          <t>ADAM15</t>
        </is>
      </c>
      <c r="B11" t="inlineStr">
        <is>
          <t>1.07719204651477e-11</t>
        </is>
      </c>
      <c r="C11" t="inlineStr">
        <is>
          <t>ADAM metallopeptidase domain 15</t>
        </is>
      </c>
      <c r="D11" t="inlineStr">
        <is>
          <t xml:space="preserve">FUNCTION: Active metalloproteinase with gelatinolytic and collagenolytic activity. Plays a role in the wound healing process. Mediates both heterotypic intraepithelial cell/T-cell interactions and homotypic T-cell aggregation. Inhibits beta-1 integrin-mediated cell adhesion and migration of airway smooth muscle cells. Suppresses cell motility on or towards fibronectin possibly by driving alpha-v/beta-1 integrin (ITAGV-ITGB1) cell surface expression via ERK1/2 inactivation. Cleaves E-cadherin in response to growth factor deprivation. Plays a role in glomerular cell migration. Plays a role in pathological neovascularization. May play a role in cartilage remodeling. May be proteolytically processed, during sperm epididymal maturation and the acrosome reaction. May play a role in sperm-egg binding through its disintegrin domain. {ECO:0000269|PubMed:12091380, ECO:0000269|PubMed:15358598, ECO:0000269|PubMed:15818704, ECO:0000269|PubMed:17416588, ECO:0000269|PubMed:17575078, ECO:0000269|PubMed:18387333, ECO:0000269|PubMed:18434311}.; </t>
        </is>
      </c>
      <c r="E11" t="inlineStr">
        <is>
          <t>.</t>
        </is>
      </c>
      <c r="F11" t="inlineStr">
        <is>
          <t xml:space="preserve">TISSUE SPECIFICITY: Expressed in colon and small intestine. Expressed in airway smooth muscle and glomerular mesangial cells (at protein level). Ubiquitously expressed. Overexpressed in atherosclerotic lesions. Constitutively expressed in cultured endothelium and smooth muscle. Expressed in chondrocytes. Expressed in airway smooth muscle and glomerular mesangial cells. {ECO:0000269|PubMed:12091380, ECO:0000269|PubMed:15358598, ECO:0000269|PubMed:17575078, ECO:0000269|PubMed:9016778}.; </t>
        </is>
      </c>
      <c r="G11" t="inlineStr">
        <is>
          <t>ovary;colon;parathyroid;fovea centralis;choroid;skin;retina;bone marrow;uterus;prostate;optic nerve;whole body;frontal lobe;cerebral cortex;endometrium;thyroid;bone;iris;testis;spinal ganglion;brain;unclassifiable (Anatomical System);cartilage;heart;lacrimal gland;islets of Langerhans;blood;lens;skeletal muscle;breast;pancreas;lung;mesenchyma;placenta;macula lutea;visual apparatus;liver;spleen;cervix;kidney;mammary gland;stomach;</t>
        </is>
      </c>
      <c r="H11" t="inlineStr">
        <is>
          <t>uterus corpus;subthalamic nucleus;superior cervical ganglion;lung;heart;placenta;</t>
        </is>
      </c>
      <c r="I11" t="inlineStr">
        <is>
          <t>.</t>
        </is>
      </c>
      <c r="J11" t="inlineStr">
        <is>
          <t>.</t>
        </is>
      </c>
      <c r="K11" t="inlineStr">
        <is>
          <t>.</t>
        </is>
      </c>
      <c r="L11" t="inlineStr">
        <is>
          <t>.</t>
        </is>
      </c>
      <c r="M11" t="inlineStr">
        <is>
          <t>.</t>
        </is>
      </c>
      <c r="N11" t="inlineStr">
        <is>
          <t>.</t>
        </is>
      </c>
      <c r="O11" t="inlineStr">
        <is>
          <t>.</t>
        </is>
      </c>
    </row>
    <row r="12">
      <c r="A12" t="inlineStr">
        <is>
          <t>ADAM22</t>
        </is>
      </c>
      <c r="B12" t="inlineStr">
        <is>
          <t>0.999388899396346</t>
        </is>
      </c>
      <c r="C12" t="inlineStr">
        <is>
          <t>ADAM metallopeptidase domain 22</t>
        </is>
      </c>
      <c r="D12" t="inlineStr">
        <is>
          <t xml:space="preserve">FUNCTION: Probable ligand for integrin in the brain. This is a non catalytic metalloprotease-like protein (PubMed:19692335). Involved in regulation of cell adhesion and spreading and in inhibition of cell proliferation. Neuronal receptor for LGI1. {ECO:0000269|PubMed:12589811, ECO:0000269|PubMed:15882968, ECO:0000269|PubMed:16385342, ECO:0000269|PubMed:19692335}.; </t>
        </is>
      </c>
      <c r="E12" t="inlineStr">
        <is>
          <t>.</t>
        </is>
      </c>
      <c r="F12" t="inlineStr">
        <is>
          <t xml:space="preserve">TISSUE SPECIFICITY: Highly expressed in the brain and in some high-grade but not low-grade gliomas. Detected slightly or not at all in other tissues. {ECO:0000269|PubMed:16385342}.; </t>
        </is>
      </c>
      <c r="G12" t="inlineStr">
        <is>
          <t>unclassifiable (Anatomical System);hypothalamus;fovea centralis;choroid;lens;skeletal muscle;skin;retina;optic nerve;lung;frontal lobe;bone;macula lutea;pituitary gland;kidney;brain;</t>
        </is>
      </c>
      <c r="H12" t="inlineStr">
        <is>
          <t>amygdala;dorsal root ganglion;occipital lobe;thalamus;superior cervical ganglion;medulla oblongata;cerebellum peduncles;temporal lobe;caudate nucleus;atrioventricular node;pons;skeletal muscle;subthalamic nucleus;uterus corpus;testis - seminiferous tubule;prefrontal cortex;appendix;globus pallidus;ciliary ganglion;trigeminal ganglion;parietal lobe;cingulate cortex;cerebellum;</t>
        </is>
      </c>
      <c r="I12" t="inlineStr">
        <is>
          <t>.</t>
        </is>
      </c>
      <c r="J12" t="inlineStr">
        <is>
          <t>.</t>
        </is>
      </c>
      <c r="K12" t="inlineStr">
        <is>
          <t>.</t>
        </is>
      </c>
      <c r="L12" t="inlineStr">
        <is>
          <t>.</t>
        </is>
      </c>
      <c r="M12" t="inlineStr">
        <is>
          <t>.</t>
        </is>
      </c>
      <c r="N12" t="inlineStr">
        <is>
          <t>.</t>
        </is>
      </c>
      <c r="O12" t="inlineStr">
        <is>
          <t>.</t>
        </is>
      </c>
    </row>
    <row r="13">
      <c r="A13" t="inlineStr">
        <is>
          <t>ADAMTS15</t>
        </is>
      </c>
      <c r="B13" t="inlineStr">
        <is>
          <t>0.679914358287786</t>
        </is>
      </c>
      <c r="C13" t="inlineStr">
        <is>
          <t>ADAM metallopeptidase with thrombospondin type 1 motif 15</t>
        </is>
      </c>
      <c r="D13" t="inlineStr">
        <is>
          <t>.</t>
        </is>
      </c>
      <c r="E13" t="inlineStr">
        <is>
          <t>.</t>
        </is>
      </c>
      <c r="F13" t="inlineStr">
        <is>
          <t xml:space="preserve">TISSUE SPECIFICITY: Expressed in fetal liver and kidney, but not in any of the adult tissues examined.; </t>
        </is>
      </c>
      <c r="G13" t="inlineStr">
        <is>
          <t>unclassifiable (Anatomical System);</t>
        </is>
      </c>
      <c r="H13" t="inlineStr">
        <is>
          <t>superior cervical ganglion;subthalamic nucleus;ciliary ganglion;atrioventricular node;trigeminal ganglion;</t>
        </is>
      </c>
      <c r="I13" t="inlineStr">
        <is>
          <t>.</t>
        </is>
      </c>
      <c r="J13" t="inlineStr">
        <is>
          <t>.</t>
        </is>
      </c>
      <c r="K13" t="inlineStr">
        <is>
          <t>.</t>
        </is>
      </c>
      <c r="L13" t="inlineStr">
        <is>
          <t>.</t>
        </is>
      </c>
      <c r="M13" t="inlineStr">
        <is>
          <t>.</t>
        </is>
      </c>
      <c r="N13" t="inlineStr">
        <is>
          <t>.</t>
        </is>
      </c>
      <c r="O13" t="inlineStr">
        <is>
          <t>.</t>
        </is>
      </c>
    </row>
    <row r="14">
      <c r="A14" t="inlineStr">
        <is>
          <t>ADAMTS16</t>
        </is>
      </c>
      <c r="B14" t="inlineStr">
        <is>
          <t>0.00108650288416212</t>
        </is>
      </c>
      <c r="C14" t="inlineStr">
        <is>
          <t>ADAM metallopeptidase with thrombospondin type 1 motif 16</t>
        </is>
      </c>
      <c r="D14" t="inlineStr">
        <is>
          <t>.</t>
        </is>
      </c>
      <c r="E14" t="inlineStr">
        <is>
          <t>.</t>
        </is>
      </c>
      <c r="F14" t="inlineStr">
        <is>
          <t xml:space="preserve">TISSUE SPECIFICITY: Expressed in fetal lung and kidney and in adult prostate and ovary.; </t>
        </is>
      </c>
      <c r="G14" t="inlineStr">
        <is>
          <t>unclassifiable (Anatomical System);lymph node;brain;</t>
        </is>
      </c>
      <c r="H14" t="inlineStr">
        <is>
          <t>superior cervical ganglion;occipital lobe;appendix;ciliary ganglion;atrioventricular node;trigeminal ganglion;skeletal muscle;cerebellum;</t>
        </is>
      </c>
      <c r="I14" t="inlineStr">
        <is>
          <t>.</t>
        </is>
      </c>
      <c r="J14" t="inlineStr">
        <is>
          <t>.</t>
        </is>
      </c>
      <c r="K14" t="inlineStr">
        <is>
          <t>.</t>
        </is>
      </c>
      <c r="L14" t="inlineStr">
        <is>
          <t>.</t>
        </is>
      </c>
      <c r="M14" t="inlineStr">
        <is>
          <t>.</t>
        </is>
      </c>
      <c r="N14" t="inlineStr">
        <is>
          <t>.</t>
        </is>
      </c>
      <c r="O14" t="inlineStr">
        <is>
          <t>.</t>
        </is>
      </c>
    </row>
    <row r="15">
      <c r="A15" t="inlineStr">
        <is>
          <t>ADAMTS20</t>
        </is>
      </c>
      <c r="B15" t="inlineStr">
        <is>
          <t>4.85371907276584e-26</t>
        </is>
      </c>
      <c r="C15" t="inlineStr">
        <is>
          <t>ADAM metallopeptidase with thrombospondin type 1 motif 20</t>
        </is>
      </c>
      <c r="D15" t="inlineStr">
        <is>
          <t xml:space="preserve">FUNCTION: May play a role in tissue-remodeling process occurring in both normal and pathological conditions. May have a protease- independent function in the transport from the endoplasmic reticulum to the Golgi apparatus of secretory cargos, mediated by the GON domain.; </t>
        </is>
      </c>
      <c r="E15" t="inlineStr">
        <is>
          <t>.</t>
        </is>
      </c>
      <c r="F15" t="inlineStr">
        <is>
          <t xml:space="preserve">TISSUE SPECIFICITY: Very sparingly expressed, although is detected at low levels in testis, prostate, ovary, heart, placenta, lung and pancreas. Overexpressed in several brain, colon and breast carcinomas.; </t>
        </is>
      </c>
      <c r="G15" t="inlineStr">
        <is>
          <t>.</t>
        </is>
      </c>
      <c r="H15" t="inlineStr">
        <is>
          <t>.</t>
        </is>
      </c>
      <c r="I15" t="inlineStr">
        <is>
          <t>.</t>
        </is>
      </c>
      <c r="J15" t="inlineStr">
        <is>
          <t>.</t>
        </is>
      </c>
      <c r="K15" t="inlineStr">
        <is>
          <t>.</t>
        </is>
      </c>
      <c r="L15" t="inlineStr">
        <is>
          <t>.</t>
        </is>
      </c>
      <c r="M15" t="inlineStr">
        <is>
          <t>.</t>
        </is>
      </c>
      <c r="N15" t="inlineStr">
        <is>
          <t>.</t>
        </is>
      </c>
      <c r="O15" t="inlineStr">
        <is>
          <t>.</t>
        </is>
      </c>
    </row>
    <row r="16">
      <c r="A16" t="inlineStr">
        <is>
          <t>ADAT2</t>
        </is>
      </c>
      <c r="B16" t="inlineStr">
        <is>
          <t>2.09083702776258e-08</t>
        </is>
      </c>
      <c r="C16" t="inlineStr">
        <is>
          <t>adenosine deaminase, tRNA specific 2</t>
        </is>
      </c>
      <c r="D16" t="inlineStr">
        <is>
          <t xml:space="preserve">FUNCTION: Probably participates in deamination of adenosine-34 to inosine in many tRNAs. {ECO:0000250}.; </t>
        </is>
      </c>
      <c r="E16" t="inlineStr">
        <is>
          <t>.</t>
        </is>
      </c>
      <c r="F16" t="inlineStr">
        <is>
          <t>.</t>
        </is>
      </c>
      <c r="G16" t="inlineStr">
        <is>
          <t>smooth muscle;cartilage;ovary;heart;urinary;colon;parathyroid;blood;skin;uterus;pancreas;prostate;lung;endometrium;bone;thyroid;placenta;liver;testis;head and neck;germinal center;kidney;</t>
        </is>
      </c>
      <c r="H16" t="inlineStr">
        <is>
          <t>globus pallidus;ciliary ganglion;trigeminal ganglion;</t>
        </is>
      </c>
      <c r="I16" t="inlineStr">
        <is>
          <t>.</t>
        </is>
      </c>
      <c r="J16" t="inlineStr">
        <is>
          <t>.</t>
        </is>
      </c>
      <c r="K16" t="inlineStr">
        <is>
          <t>.</t>
        </is>
      </c>
      <c r="L16" t="inlineStr">
        <is>
          <t>.</t>
        </is>
      </c>
      <c r="M16" t="inlineStr">
        <is>
          <t>.</t>
        </is>
      </c>
      <c r="N16" t="inlineStr">
        <is>
          <t>.</t>
        </is>
      </c>
      <c r="O16" t="inlineStr">
        <is>
          <t>.</t>
        </is>
      </c>
    </row>
    <row r="17">
      <c r="A17" t="inlineStr">
        <is>
          <t>ADGRF5</t>
        </is>
      </c>
      <c r="B17" t="inlineStr">
        <is>
          <t>.</t>
        </is>
      </c>
      <c r="C17" t="inlineStr">
        <is>
          <t>adhesion G protein-coupled receptor F5</t>
        </is>
      </c>
      <c r="D17" t="inlineStr">
        <is>
          <t xml:space="preserve">FUNCTION: Receptor that plays a critical role in lung surfactant homeostasis. May play a role in controlling adipocyte function. {ECO:0000250|UniProtKB:G5E8Q8}.; </t>
        </is>
      </c>
      <c r="E17" t="inlineStr">
        <is>
          <t>.</t>
        </is>
      </c>
      <c r="F17" t="inlineStr">
        <is>
          <t>.</t>
        </is>
      </c>
      <c r="G17" t="inlineStr">
        <is>
          <t>.</t>
        </is>
      </c>
      <c r="H17" t="inlineStr">
        <is>
          <t>.</t>
        </is>
      </c>
      <c r="I17" t="inlineStr">
        <is>
          <t>.</t>
        </is>
      </c>
      <c r="J17" t="inlineStr">
        <is>
          <t>.</t>
        </is>
      </c>
      <c r="K17" t="inlineStr">
        <is>
          <t>.</t>
        </is>
      </c>
      <c r="L17" t="inlineStr">
        <is>
          <t>.</t>
        </is>
      </c>
      <c r="M17" t="inlineStr">
        <is>
          <t>.</t>
        </is>
      </c>
      <c r="N17" t="inlineStr">
        <is>
          <t>.</t>
        </is>
      </c>
      <c r="O17" t="inlineStr">
        <is>
          <t>.</t>
        </is>
      </c>
    </row>
    <row r="18">
      <c r="A18" t="inlineStr">
        <is>
          <t>ADGRL2</t>
        </is>
      </c>
      <c r="B18" t="inlineStr">
        <is>
          <t>.</t>
        </is>
      </c>
      <c r="C18" t="inlineStr">
        <is>
          <t>adhesion G protein-coupled receptor L2</t>
        </is>
      </c>
      <c r="D18" t="inlineStr">
        <is>
          <t xml:space="preserve">FUNCTION: Calcium-independent receptor of low affinity for alpha- latrotoxin, an excitatory neurotoxin present in black widow spider venom which triggers massive exocytosis from neurons and neuroendocrine cells. Receptor propably implicated in the regulation of exocytosis. {ECO:0000250|UniProtKB:O88923}.; </t>
        </is>
      </c>
      <c r="E18" t="inlineStr">
        <is>
          <t>.</t>
        </is>
      </c>
      <c r="F18" t="inlineStr">
        <is>
          <t xml:space="preserve">TISSUE SPECIFICITY: Expressed very widely in all normal tissues tested. Expression is variable in tumor cell lines, apparently elevated in some lines and absent or markedly reduced in others. {ECO:0000269|PubMed:10030676}.; </t>
        </is>
      </c>
      <c r="G18" t="inlineStr">
        <is>
          <t>.</t>
        </is>
      </c>
      <c r="H18" t="inlineStr">
        <is>
          <t>.</t>
        </is>
      </c>
      <c r="I18" t="inlineStr">
        <is>
          <t>.</t>
        </is>
      </c>
      <c r="J18" t="inlineStr">
        <is>
          <t>.</t>
        </is>
      </c>
      <c r="K18" t="inlineStr">
        <is>
          <t>.</t>
        </is>
      </c>
      <c r="L18" t="inlineStr">
        <is>
          <t>.</t>
        </is>
      </c>
      <c r="M18" t="inlineStr">
        <is>
          <t>.</t>
        </is>
      </c>
      <c r="N18" t="inlineStr">
        <is>
          <t>.</t>
        </is>
      </c>
      <c r="O18" t="inlineStr">
        <is>
          <t>.</t>
        </is>
      </c>
    </row>
    <row r="19">
      <c r="A19" t="inlineStr">
        <is>
          <t>ADGRL4</t>
        </is>
      </c>
      <c r="B19" t="inlineStr">
        <is>
          <t>.</t>
        </is>
      </c>
      <c r="C19" t="inlineStr">
        <is>
          <t>adhesion G protein-coupled receptor L4</t>
        </is>
      </c>
      <c r="D19" t="inlineStr">
        <is>
          <t xml:space="preserve">FUNCTION: Endothelial orphan receptor that acts as a key regulator of angiogenesis. {ECO:0000269|PubMed:23871637}.; </t>
        </is>
      </c>
      <c r="E19" t="inlineStr">
        <is>
          <t>.</t>
        </is>
      </c>
      <c r="F19" t="inlineStr">
        <is>
          <t xml:space="preserve">TISSUE SPECIFICITY: Detected in the majority of epithelial cells in tumor and normal tissues. Expressed also in human umbilical vein endothelial cells. {ECO:0000269|PubMed:23871637}.; </t>
        </is>
      </c>
      <c r="G19" t="inlineStr">
        <is>
          <t>.</t>
        </is>
      </c>
      <c r="H19" t="inlineStr">
        <is>
          <t>.</t>
        </is>
      </c>
      <c r="I19" t="inlineStr">
        <is>
          <t>.</t>
        </is>
      </c>
      <c r="J19" t="inlineStr">
        <is>
          <t>.</t>
        </is>
      </c>
      <c r="K19" t="inlineStr">
        <is>
          <t>.</t>
        </is>
      </c>
      <c r="L19" t="inlineStr">
        <is>
          <t>.</t>
        </is>
      </c>
      <c r="M19" t="inlineStr">
        <is>
          <t>.</t>
        </is>
      </c>
      <c r="N19" t="inlineStr">
        <is>
          <t>.</t>
        </is>
      </c>
      <c r="O19" t="inlineStr">
        <is>
          <t>.</t>
        </is>
      </c>
    </row>
    <row r="20">
      <c r="A20" t="inlineStr">
        <is>
          <t>ADGRV1</t>
        </is>
      </c>
      <c r="B20" t="inlineStr">
        <is>
          <t>.</t>
        </is>
      </c>
      <c r="C20" t="inlineStr">
        <is>
          <t>adhesion G protein-coupled receptor V1</t>
        </is>
      </c>
      <c r="D20" t="inlineStr">
        <is>
          <t xml:space="preserve">FUNCTION: Receptor that may have an important role in the development of the central nervous system.; </t>
        </is>
      </c>
      <c r="E20" t="inlineStr">
        <is>
          <t xml:space="preserve">DISEASE: Usher syndrome 2C (USH2C) [MIM:605472]: USH is a genetically heterogeneous condition characterized by the association of retinitis pigmentosa with sensorineural deafness. Age at onset and differences in auditory and vestibular function distinguish Usher syndrome type 1 (USH1), Usher syndrome type 2 (USH2) and Usher syndrome type 3 (USH3). USH2 is characterized by congenital mild hearing impairment with normal vestibular responses. {ECO:0000269|PubMed:14740321, ECO:0000269|PubMed:22147658}. Note=The disease is caused by mutations affecting the gene represented in this entry.; DISEASE: Febrile seizures, familial, 4 (FEB4) [MIM:604352]: Seizures associated with febrile episodes in childhood without any evidence of intracranial infection or defined pathologic or traumatic cause. It is a common condition, affecting 2-5% of children aged 3 months to 5 years. The majority are simple febrile seizures (generally defined as generalized onset, single seizures with a duration of less than 30 minutes). Complex febrile seizures are characterized by focal onset, duration greater than 30 minutes, and/or more than one seizure in a 24 hour period. The likelihood of developing epilepsy following simple febrile seizures is low. Complex febrile seizures are associated with a moderately increased incidence of epilepsy. Note=The disease may be caused by mutations affecting the gene represented in this entry.; </t>
        </is>
      </c>
      <c r="F20" t="inlineStr">
        <is>
          <t xml:space="preserve">TISSUE SPECIFICITY: Expressed at low levels in adult tissues. {ECO:0000269|PubMed:10976914}.; </t>
        </is>
      </c>
      <c r="G20" t="inlineStr">
        <is>
          <t>.</t>
        </is>
      </c>
      <c r="H20" t="inlineStr">
        <is>
          <t>.</t>
        </is>
      </c>
      <c r="I20">
        <f>HYPERLINK("https://omim.org/entry/605472", "605472")</f>
        <v/>
      </c>
      <c r="J20">
        <f>HYPERLINK("https://omim.org/entry/604352", "604352")</f>
        <v/>
      </c>
      <c r="K20" t="inlineStr">
        <is>
          <t>.</t>
        </is>
      </c>
      <c r="L20" t="inlineStr">
        <is>
          <t>.</t>
        </is>
      </c>
      <c r="M20" t="inlineStr">
        <is>
          <t>.</t>
        </is>
      </c>
      <c r="N20" t="inlineStr">
        <is>
          <t>.</t>
        </is>
      </c>
      <c r="O20" t="inlineStr">
        <is>
          <t>.</t>
        </is>
      </c>
    </row>
    <row r="21">
      <c r="A21" t="inlineStr">
        <is>
          <t>AFAP1</t>
        </is>
      </c>
      <c r="B21" t="inlineStr">
        <is>
          <t>0.376071779661091</t>
        </is>
      </c>
      <c r="C21" t="inlineStr">
        <is>
          <t>actin filament associated protein 1</t>
        </is>
      </c>
      <c r="D21" t="inlineStr">
        <is>
          <t xml:space="preserve">FUNCTION: Can cross-link actin filaments into both network and bundle structures (By similarity). May modulate changes in actin filament integrity and induce lamellipodia formation. May function as an adapter molecule that links other proteins, such as SRC and PKC to the actin cytoskeleton. Seems to play a role in the development and progression of prostate adenocarcinoma by regulating cell-matrix adhesions and migration in the cancer cells. {ECO:0000250, ECO:0000269|PubMed:15485829}.; </t>
        </is>
      </c>
      <c r="E21" t="inlineStr">
        <is>
          <t>.</t>
        </is>
      </c>
      <c r="F21" t="inlineStr">
        <is>
          <t xml:space="preserve">TISSUE SPECIFICITY: Low expression in normal breast epithelial cell line MCF-10A and in tumorigenic breast cancer cell lines MCF- 7, T-47D and ZR-75-1. Highly expressed in the invasive breast cancer cell lines MDA-MB-231 and MDA-MB-435. Overexpressed in prostate carcinoma. {ECO:0000269|PubMed:17520695, ECO:0000269|PubMed:17885682}.; </t>
        </is>
      </c>
      <c r="G21" t="inlineStr">
        <is>
          <t>medulla oblongata;ovary;salivary gland;intestine;colon;parathyroid;skin;retina;bone marrow;uterus;prostate;frontal lobe;cochlea;endometrium;larynx;bone;thyroid;testis;brain;bladder;unclassifiable (Anatomical System);cartilage;heart;pharynx;blood;skeletal muscle;breast;pancreas;lung;cornea;placenta;visual apparatus;hippocampus;liver;amnion;head and neck;cervix;kidney;mammary gland;stomach;aorta;cerebellum;</t>
        </is>
      </c>
      <c r="H21" t="inlineStr">
        <is>
          <t>trigeminal ganglion;</t>
        </is>
      </c>
      <c r="I21" t="inlineStr">
        <is>
          <t>.</t>
        </is>
      </c>
      <c r="J21" t="inlineStr">
        <is>
          <t>.</t>
        </is>
      </c>
      <c r="K21" t="inlineStr">
        <is>
          <t>.</t>
        </is>
      </c>
      <c r="L21" t="inlineStr">
        <is>
          <t>.</t>
        </is>
      </c>
      <c r="M21" t="inlineStr">
        <is>
          <t>.</t>
        </is>
      </c>
      <c r="N21" t="inlineStr">
        <is>
          <t>.</t>
        </is>
      </c>
      <c r="O21" t="inlineStr">
        <is>
          <t>.</t>
        </is>
      </c>
    </row>
    <row r="22">
      <c r="A22" t="inlineStr">
        <is>
          <t>AFAP1L1</t>
        </is>
      </c>
      <c r="B22" t="inlineStr">
        <is>
          <t>4.06878415314462e-08</t>
        </is>
      </c>
      <c r="C22" t="inlineStr">
        <is>
          <t>actin filament associated protein 1 like 1</t>
        </is>
      </c>
      <c r="D22" t="inlineStr">
        <is>
          <t xml:space="preserve">FUNCTION: May be involved in podosome and invadosome formation. {ECO:0000269|PubMed:21333378}.; </t>
        </is>
      </c>
      <c r="E22" t="inlineStr">
        <is>
          <t>.</t>
        </is>
      </c>
      <c r="F22" t="inlineStr">
        <is>
          <t xml:space="preserve">TISSUE SPECIFICITY: Expressed in breast, colon and brain. In all 3 tissues, expressed in the microvasculature (at protein level). In addition, in the breast, found in the contractile myoepithelial cell layer which surrounds the breast ducts (at protein level). In the colon, expressed in the mucous membrane and colonic crypts and in the smooth muscle cell layer which provide movement of the colon (at protein level). In the cerebellum, localized around the Purkinje neurons and the granule cells of the granular layer, but not inside cell bodies (at protein level). Outside of the cerebellar cortex, expressed in glial cells (at protein level). Highly expressed away from the cell bodies within the dentate nucleus (at protein level). {ECO:0000269|PubMed:21333378}.; </t>
        </is>
      </c>
      <c r="G22" t="inlineStr">
        <is>
          <t>ovary;salivary gland;colon;skin;uterus;prostate;endometrium;larynx;thyroid;bone;testis;brain;unclassifiable (Anatomical System);lymph node;heart;cartilage;oral cavity;skeletal muscle;pancreas;lung;placenta;visual apparatus;liver;spleen;head and neck;kidney;mammary gland;aorta;</t>
        </is>
      </c>
      <c r="H22" t="inlineStr">
        <is>
          <t>dorsal root ganglion;superior cervical ganglion;medulla oblongata;appendix;ciliary ganglion;atrioventricular node;trigeminal ganglion;skin;</t>
        </is>
      </c>
      <c r="I22" t="inlineStr">
        <is>
          <t>.</t>
        </is>
      </c>
      <c r="J22" t="inlineStr">
        <is>
          <t>.</t>
        </is>
      </c>
      <c r="K22" t="inlineStr">
        <is>
          <t>.</t>
        </is>
      </c>
      <c r="L22" t="inlineStr">
        <is>
          <t>.</t>
        </is>
      </c>
      <c r="M22" t="inlineStr">
        <is>
          <t>.</t>
        </is>
      </c>
      <c r="N22" t="inlineStr">
        <is>
          <t>.</t>
        </is>
      </c>
      <c r="O22" t="inlineStr">
        <is>
          <t>.</t>
        </is>
      </c>
    </row>
    <row r="23">
      <c r="A23" t="inlineStr">
        <is>
          <t>AGO4</t>
        </is>
      </c>
      <c r="B23" t="inlineStr">
        <is>
          <t>0.990043812111039</t>
        </is>
      </c>
      <c r="C23" t="inlineStr">
        <is>
          <t>argonaute 4, RISC catalytic component</t>
        </is>
      </c>
      <c r="D23" t="inlineStr">
        <is>
          <t xml:space="preserve">FUNCTION: Required for RNA-mediated gene silencing (RNAi). Binds to short RNAs such as microRNAs (miRNAs) and represses the translation of mRNAs which are complementary to them. Lacks endonuclease activity and does not appear to cleave target mRNAs. Also required for RNA-directed transcription and replication of the human hapatitis delta virus (HDV). {ECO:0000255|HAMAP- Rule:MF_03033, ECO:0000269|PubMed:15337849, ECO:0000269|PubMed:18552826, ECO:0000269|PubMed:18771919}.; </t>
        </is>
      </c>
      <c r="E23" t="inlineStr">
        <is>
          <t>.</t>
        </is>
      </c>
      <c r="F23" t="inlineStr">
        <is>
          <t>.</t>
        </is>
      </c>
      <c r="G23" t="inlineStr">
        <is>
          <t>.</t>
        </is>
      </c>
      <c r="H23" t="inlineStr">
        <is>
          <t>.</t>
        </is>
      </c>
      <c r="I23" t="inlineStr">
        <is>
          <t>.</t>
        </is>
      </c>
      <c r="J23" t="inlineStr">
        <is>
          <t>.</t>
        </is>
      </c>
      <c r="K23" t="inlineStr">
        <is>
          <t>.</t>
        </is>
      </c>
      <c r="L23" t="inlineStr">
        <is>
          <t>.</t>
        </is>
      </c>
      <c r="M23" t="inlineStr">
        <is>
          <t>.</t>
        </is>
      </c>
      <c r="N23" t="inlineStr">
        <is>
          <t>.</t>
        </is>
      </c>
      <c r="O23" t="inlineStr">
        <is>
          <t>.</t>
        </is>
      </c>
    </row>
    <row r="24">
      <c r="A24" t="inlineStr">
        <is>
          <t>AGT</t>
        </is>
      </c>
      <c r="B24" t="inlineStr">
        <is>
          <t>1.57429487936421e-09</t>
        </is>
      </c>
      <c r="C24" t="inlineStr">
        <is>
          <t>angiotensinogen</t>
        </is>
      </c>
      <c r="D24" t="inlineStr">
        <is>
          <t xml:space="preserve">FUNCTION: Essential component of the renin-angiotensin system (RAS), a potent regulator of blood pressure, body fluid and electrolyte homeostasis.; FUNCTION: Angiotensin-3: stimulates aldosterone release.; </t>
        </is>
      </c>
      <c r="E24" t="inlineStr">
        <is>
          <t xml:space="preserve">DISEASE: Essential hypertension (EHT) [MIM:145500]: A condition in which blood pressure is consistently higher than normal with no identifiable cause. {ECO:0000269|PubMed:1394429, ECO:0000269|PubMed:8513325}. Note=Disease susceptibility is associated with variations affecting the gene represented in this entry.; DISEASE: Renal tubular dysgenesis (RTD) [MIM:267430]: Autosomal recessive severe disorder of renal tubular development characterized by persistent fetal anuria and perinatal death, probably due to pulmonary hypoplasia from early-onset oligohydramnios (the Potter phenotype). {ECO:0000269|PubMed:16116425}. Note=The disease is caused by mutations affecting the gene represented in this entry.; </t>
        </is>
      </c>
      <c r="F24" t="inlineStr">
        <is>
          <t xml:space="preserve">TISSUE SPECIFICITY: Expressed by the liver and secreted in plasma.; </t>
        </is>
      </c>
      <c r="G24" t="inlineStr">
        <is>
          <t>.</t>
        </is>
      </c>
      <c r="H24" t="inlineStr">
        <is>
          <t>.</t>
        </is>
      </c>
      <c r="I24">
        <f>HYPERLINK("https://omim.org/entry/145500", "145500")</f>
        <v/>
      </c>
      <c r="J24">
        <f>HYPERLINK("https://omim.org/entry/267430", "267430")</f>
        <v/>
      </c>
      <c r="K24" t="inlineStr">
        <is>
          <t>.</t>
        </is>
      </c>
      <c r="L24" t="inlineStr">
        <is>
          <t>.</t>
        </is>
      </c>
      <c r="M24" t="inlineStr">
        <is>
          <t>.</t>
        </is>
      </c>
      <c r="N24" t="inlineStr">
        <is>
          <t>.</t>
        </is>
      </c>
      <c r="O24" t="inlineStr">
        <is>
          <t>.</t>
        </is>
      </c>
    </row>
    <row r="25">
      <c r="A25" t="inlineStr">
        <is>
          <t>AGXT2</t>
        </is>
      </c>
      <c r="B25" t="inlineStr">
        <is>
          <t>4.66554613813699e-15</t>
        </is>
      </c>
      <c r="C25" t="inlineStr">
        <is>
          <t>alanine--glyoxylate aminotransferase 2</t>
        </is>
      </c>
      <c r="D25" t="inlineStr">
        <is>
          <t xml:space="preserve">FUNCTION: Can metabolize asymmetric dimethylarginine (ADMA) via transamination to alpha-keto-delta-(NN-dimethylguanidino) valeric acid (DMGV). ADMA is a potent inhibitor of nitric-oxide (NO) synthase, and this activity provides mechanism through which the kidney regulates blood pressure. {ECO:0000269|PubMed:20018850, ECO:0000269|PubMed:23023372, ECO:0000269|PubMed:24586340}.; </t>
        </is>
      </c>
      <c r="E25" t="inlineStr">
        <is>
          <t>.</t>
        </is>
      </c>
      <c r="F25" t="inlineStr">
        <is>
          <t>.</t>
        </is>
      </c>
      <c r="G25" t="inlineStr">
        <is>
          <t>unclassifiable (Anatomical System);whole body;liver;spleen;kidney;</t>
        </is>
      </c>
      <c r="H25" t="inlineStr">
        <is>
          <t>dorsal root ganglion;superior cervical ganglion;fetal liver;globus pallidus;ciliary ganglion;kidney;atrioventricular node;pons;trigeminal ganglion;skin;</t>
        </is>
      </c>
      <c r="I25" t="inlineStr">
        <is>
          <t>.</t>
        </is>
      </c>
      <c r="J25" t="inlineStr">
        <is>
          <t>.</t>
        </is>
      </c>
      <c r="K25" t="inlineStr">
        <is>
          <t>.</t>
        </is>
      </c>
      <c r="L25" t="inlineStr">
        <is>
          <t>.</t>
        </is>
      </c>
      <c r="M25" t="inlineStr">
        <is>
          <t>.</t>
        </is>
      </c>
      <c r="N25" t="inlineStr">
        <is>
          <t>.</t>
        </is>
      </c>
      <c r="O25" t="inlineStr">
        <is>
          <t>.</t>
        </is>
      </c>
    </row>
    <row r="26">
      <c r="A26" t="inlineStr">
        <is>
          <t>AIG1</t>
        </is>
      </c>
      <c r="B26" t="inlineStr">
        <is>
          <t>1.90321735888132e-05</t>
        </is>
      </c>
      <c r="C26" t="inlineStr">
        <is>
          <t>androgen-induced 1</t>
        </is>
      </c>
      <c r="D26" t="inlineStr">
        <is>
          <t xml:space="preserve">FUNCTION: May play a role in androgen-regulated growth of hair follicles.; </t>
        </is>
      </c>
      <c r="E26" t="inlineStr">
        <is>
          <t>.</t>
        </is>
      </c>
      <c r="F26" t="inlineStr">
        <is>
          <t xml:space="preserve">TISSUE SPECIFICITY: Highly expressed in heart, ovary, testis, liver, and kidney, at lower levels in spleen, prostate, brain, skeletal muscle, pancreas, small intestine and colon, and undetected in peripheral blood leukocytes, thymus, lung and placenta. AIG1 expression is higher in hair follicles from males than from females. {ECO:0000269|PubMed:11266118}.; </t>
        </is>
      </c>
      <c r="G26" t="inlineStr">
        <is>
          <t>ovary;colon;substantia nigra;parathyroid;fovea centralis;skin;retina;uterus;prostate;atrium;frontal lobe;endometrium;bone;iris;testis;dura mater;germinal center;brain;bladder;unclassifiable (Anatomical System);meninges;small intestine;heart;cartilage;cerebellum cortex;islets of Langerhans;hypothalamus;breast;pancreas;pia mater;lung;adrenal gland;nasopharynx;trabecular meshwork;placenta;macula lutea;liver;spleen;kidney;stomach;</t>
        </is>
      </c>
      <c r="H26" t="inlineStr">
        <is>
          <t>whole brain;dorsal root ganglion;superior cervical ganglion;testis;ciliary ganglion;kidney;atrioventricular node;trigeminal ganglion;</t>
        </is>
      </c>
      <c r="I26" t="inlineStr">
        <is>
          <t>.</t>
        </is>
      </c>
      <c r="J26" t="inlineStr">
        <is>
          <t>.</t>
        </is>
      </c>
      <c r="K26" t="inlineStr">
        <is>
          <t>.</t>
        </is>
      </c>
      <c r="L26" t="inlineStr">
        <is>
          <t>.</t>
        </is>
      </c>
      <c r="M26" t="inlineStr">
        <is>
          <t>.</t>
        </is>
      </c>
      <c r="N26" t="inlineStr">
        <is>
          <t>.</t>
        </is>
      </c>
      <c r="O26" t="inlineStr">
        <is>
          <t>.</t>
        </is>
      </c>
    </row>
    <row r="27">
      <c r="A27" t="inlineStr">
        <is>
          <t>AK2</t>
        </is>
      </c>
      <c r="B27" t="inlineStr">
        <is>
          <t>0.00556558560437493</t>
        </is>
      </c>
      <c r="C27" t="inlineStr">
        <is>
          <t>adenylate kinase 2</t>
        </is>
      </c>
      <c r="D27" t="inlineStr">
        <is>
          <t xml:space="preserve">FUNCTION: Catalyzes the reversible transfer of the terminal phosphate group between ATP and AMP. Plays an important role in cellular energy homeostasis and in adenine nucleotide metabolism. Adenylate kinase activity is critical for regulation of the phosphate utilization and the AMP de novo biosynthesis pathways. Plays a key role in hematopoiesis. {ECO:0000255|HAMAP- Rule:MF_03168, ECO:0000269|PubMed:19043416}.; </t>
        </is>
      </c>
      <c r="E27" t="inlineStr">
        <is>
          <t xml:space="preserve">DISEASE: Reticular dysgenesis (RDYS) [MIM:267500]: Most severe form of inborn severe combined immunodeficiencies (SCID) and is characterized by absence of granulocytes and almost complete deficiency of lymphocytes in peripheral blood, hypoplasia of the thymus and secondary lymphoid organs, and lack of innate and adaptive humoral and cellular immune functions, leading to fatal septicemia within days after birth. In bone marrow of individuals with reticular dysgenesis, myeloid differentiation is blocked at the promyelocytic stage, whereas erythro- and megakaryocytic maturation is generally normal. In addition, affected newborns have bilateral sensorineural deafness. Defects may be due to its absence in leukocytes and inner ear, in which its absence can not be compensated by AK1. {ECO:0000269|PubMed:19043416, ECO:0000269|PubMed:19043417}. Note=The disease is caused by mutations affecting the gene represented in this entry.; </t>
        </is>
      </c>
      <c r="F27" t="inlineStr">
        <is>
          <t xml:space="preserve">TISSUE SPECIFICITY: Present in most tissues. Present at high level in heart, liver and kidney, and at low level in brain, skeletal muscle and skin. Present in thrombocytes but not in erythrocytes, which lack mitochondria. Present in all nucleated cell populations from blood, while AK1 is mostly absent. In spleen and lymph nodes, mononuclear cells lack AK1, whereas AK2 is readily detectable. These results indicate that leukocytes may be susceptible to defects caused by the lack of AK2, as they do not express AK1 in sufficient amounts to compensate for the AK2 functional deficits (at protein level). {ECO:0000269|PubMed:19043417}.; </t>
        </is>
      </c>
      <c r="G27" t="inlineStr">
        <is>
          <t>medulla oblongata;ovary;salivary gland;intestine;colon;parathyroid;choroid;skin;retina;bone marrow;uterus;prostate;whole body;frontal lobe;thyroid;testis;germinal center;brain;bladder;gall bladder;unclassifiable (Anatomical System);lymph node;heart;islets of Langerhans;muscle;pharynx;blood;skeletal muscle;breast;pancreas;lung;placenta;visual apparatus;hippocampus;duodenum;liver;cervix;spleen;head and neck;kidney;mammary gland;stomach;</t>
        </is>
      </c>
      <c r="H27" t="inlineStr">
        <is>
          <t>dorsal root ganglion;superior cervical ganglion;ciliary ganglion;atrioventricular node;trigeminal ganglion;skeletal muscle;bone marrow;</t>
        </is>
      </c>
      <c r="I27">
        <f>HYPERLINK("https://omim.org/entry/267500", "267500")</f>
        <v/>
      </c>
      <c r="J27" t="inlineStr">
        <is>
          <t>.</t>
        </is>
      </c>
      <c r="K27" t="inlineStr">
        <is>
          <t>.</t>
        </is>
      </c>
      <c r="L27" t="inlineStr">
        <is>
          <t>.</t>
        </is>
      </c>
      <c r="M27" t="inlineStr">
        <is>
          <t>.</t>
        </is>
      </c>
      <c r="N27" t="inlineStr">
        <is>
          <t>.</t>
        </is>
      </c>
      <c r="O27" t="inlineStr">
        <is>
          <t>.</t>
        </is>
      </c>
    </row>
    <row r="28">
      <c r="A28" t="inlineStr">
        <is>
          <t>AKAP1</t>
        </is>
      </c>
      <c r="B28" t="inlineStr">
        <is>
          <t>0.561768712699788</t>
        </is>
      </c>
      <c r="C28" t="inlineStr">
        <is>
          <t>A-kinase anchoring protein 1</t>
        </is>
      </c>
      <c r="D28" t="inlineStr">
        <is>
          <t xml:space="preserve">FUNCTION: Binds to type I and II regulatory subunits of protein kinase A and anchors them to the cytoplasmic face of the mitochondrial outer membrane.; </t>
        </is>
      </c>
      <c r="E28" t="inlineStr">
        <is>
          <t>.</t>
        </is>
      </c>
      <c r="F28" t="inlineStr">
        <is>
          <t xml:space="preserve">TISSUE SPECIFICITY: Isoform 1 is detected in thymus, prostate, testis, ovary, colon and small intestine (PubMed:8769136). Isoform 2 is highly expressed in testis and detected at much lower levels in kidney, pancreas, liver, lung and brain (PubMed:7499250). {ECO:0000269|PubMed:7499250, ECO:0000269|PubMed:8769136}.; </t>
        </is>
      </c>
      <c r="G28" t="inlineStr">
        <is>
          <t>myocardium;smooth muscle;ovary;salivary gland;intestine;colon;fovea centralis;choroid;skin;retina;bone marrow;uterus;prostate;whole body;frontal lobe;cerebral cortex;endometrium;bone;thyroid;testis;germinal center;brain;unclassifiable (Anatomical System);cartilage;heart;tongue;islets of Langerhans;adrenal cortex;pharynx;blood;skeletal muscle;breast;pancreas;lung;cornea;epididymis;placenta;macula lutea;visual apparatus;hypopharynx;duodenum;liver;spleen;head and neck;kidney;mammary gland;stomach;peripheral nerve;</t>
        </is>
      </c>
      <c r="H28" t="inlineStr">
        <is>
          <t>amygdala;testis - interstitial;superior cervical ganglion;pons;atrioventricular node;fetal thyroid;skeletal muscle;testis - seminiferous tubule;thyroid;liver;prefrontal cortex;testis;trigeminal ganglion;</t>
        </is>
      </c>
      <c r="I28" t="inlineStr">
        <is>
          <t>.</t>
        </is>
      </c>
      <c r="J28" t="inlineStr">
        <is>
          <t>.</t>
        </is>
      </c>
      <c r="K28" t="inlineStr">
        <is>
          <t>.</t>
        </is>
      </c>
      <c r="L28" t="inlineStr">
        <is>
          <t>.</t>
        </is>
      </c>
      <c r="M28" t="inlineStr">
        <is>
          <t>.</t>
        </is>
      </c>
      <c r="N28" t="inlineStr">
        <is>
          <t>.</t>
        </is>
      </c>
      <c r="O28" t="inlineStr">
        <is>
          <t>.</t>
        </is>
      </c>
    </row>
    <row r="29">
      <c r="A29" t="inlineStr">
        <is>
          <t>AKAP7</t>
        </is>
      </c>
      <c r="B29" t="inlineStr">
        <is>
          <t>0.00159877310631196</t>
        </is>
      </c>
      <c r="C29" t="inlineStr">
        <is>
          <t>A-kinase anchoring protein 7</t>
        </is>
      </c>
      <c r="D29" t="inlineStr">
        <is>
          <t xml:space="preserve">FUNCTION: Targets the cAMP-dependent protein kinase (PKA) to the plasma membrane, and permits functional coupling to the L-type calcium channel. The membrane-associated form reduces epithelial sodium channel (ENaC) activity, whereas the free cytoplasmic form may negatively regulate ENaC channel feedback inhibition by intracellular sodium. {ECO:0000269|PubMed:10613906, ECO:0000269|PubMed:17244820, ECO:0000269|PubMed:9545239}.; </t>
        </is>
      </c>
      <c r="E29" t="inlineStr">
        <is>
          <t>.</t>
        </is>
      </c>
      <c r="F29" t="inlineStr">
        <is>
          <t xml:space="preserve">TISSUE SPECIFICITY: Expressed in brain, heart, lung, pancreas and skeletal muscle. {ECO:0000269|PubMed:9545239}.; </t>
        </is>
      </c>
      <c r="G29" t="inlineStr">
        <is>
          <t>unclassifiable (Anatomical System);heart;islets of Langerhans;colon;skin;skeletal muscle;uterus;prostate;lung;nasopharynx;placenta;trabecular meshwork;bone;hippocampus;liver;testis;spleen;kidney;brain;thymus;</t>
        </is>
      </c>
      <c r="H29" t="inlineStr">
        <is>
          <t>dorsal root ganglion;superior cervical ganglion;fetal brain;ciliary ganglion;atrioventricular node;trigeminal ganglion;skeletal muscle;</t>
        </is>
      </c>
      <c r="I29" t="inlineStr">
        <is>
          <t>.</t>
        </is>
      </c>
      <c r="J29" t="inlineStr">
        <is>
          <t>.</t>
        </is>
      </c>
      <c r="K29" t="inlineStr">
        <is>
          <t>.</t>
        </is>
      </c>
      <c r="L29" t="inlineStr">
        <is>
          <t>.</t>
        </is>
      </c>
      <c r="M29" t="inlineStr">
        <is>
          <t>.</t>
        </is>
      </c>
      <c r="N29" t="inlineStr">
        <is>
          <t>.</t>
        </is>
      </c>
      <c r="O29" t="inlineStr">
        <is>
          <t>.</t>
        </is>
      </c>
    </row>
    <row r="30">
      <c r="A30" t="inlineStr">
        <is>
          <t>AKT3</t>
        </is>
      </c>
      <c r="B30" t="inlineStr">
        <is>
          <t>0.99958539864029</t>
        </is>
      </c>
      <c r="C30" t="inlineStr">
        <is>
          <t>v-akt murine thymoma viral oncogene homolog 3</t>
        </is>
      </c>
      <c r="D30" t="inlineStr">
        <is>
          <t xml:space="preserve">FUNCTION: AKT3 is one of 3 closely related serine/threonine- protein kinases (AKT1, AKT2 and AKT3) called the AKT kinase, and which regulate many processes including metabolism, proliferation, cell survival, growth and angiogenesis. This is mediated through serine and/or threonine phosphorylation of a range of downstream substrates. Over 100 substrate candidates have been reported so far, but for most of them, no isoform specificity has been reported. AKT3 is the least studied AKT isoform. It plays an important role in brain development and is crucial for the viability of malignant glioma cells. AKT3 isoform may also be the key molecule in up-regulation and down-regulation of MMP13 via IL13. Required for the coordination of mitochondrial biogenesis with growth factor-induced increases in cellular energy demands. Down-regulation by RNA interference reduces the expression of the phosphorylated form of BAD, resulting in the induction of caspase- dependent apoptosis. {ECO:0000269|PubMed:18524868, ECO:0000269|PubMed:21191416}.; </t>
        </is>
      </c>
      <c r="E30" t="inlineStr">
        <is>
          <t xml:space="preserve">DISEASE: Note=AKT3 is a key modulator of several tumors like melanoma, glioma and ovarian cancer. Active AKT3 increases progressively during melanoma tumor progression with highest levels present in advanced-stage metastatic melanomas. Promotes melanoma tumorigenesis by decreasing apoptosis. Plays a key role in the genesis of ovarian cancers through modulation of G2/M phase transition. With AKT2, plays a pivotal role in the biology of glioblastoma.; DISEASE: Megalencephaly-polymicrogyria-polydactyly-hydrocephalus syndrome 2 (MPPH2) [MIM:615937]: A syndrome characterized by megalencephaly, hydrocephalus, and polymicrogyria; polydactyly may also be seen. There is considerable phenotypic similarity between this disorder and the megalencephaly-capillary malformation syndrome. {ECO:0000269|PubMed:22500628, ECO:0000269|PubMed:22729223, ECO:0000269|PubMed:22729224}. Note=The disease is caused by mutations affecting the gene represented in this entry.; </t>
        </is>
      </c>
      <c r="F30" t="inlineStr">
        <is>
          <t xml:space="preserve">TISSUE SPECIFICITY: In adult tissues, it is highly expressed in brain, lung and kidney, but weakly in heart, testis and liver. In fetal tissues, it is highly expressed in heart, liver and brain and not at all in kidney.; </t>
        </is>
      </c>
      <c r="G30" t="inlineStr">
        <is>
          <t>ovary;colon;parathyroid;skin;retina;uterus;prostate;optic nerve;whole body;frontal lobe;cochlea;bone;testis;germinal center;spinal ganglion;brain;unclassifiable (Anatomical System);heart;cartilage;islets of Langerhans;hypothalamus;lens;skeletal muscle;breast;lung;adrenal gland;placenta;hippocampus;visual apparatus;liver;spleen;kidney;mammary gland;stomach;</t>
        </is>
      </c>
      <c r="H30" t="inlineStr">
        <is>
          <t>amygdala;dorsal root ganglion;occipital lobe;superior cervical ganglion;medulla oblongata;pons;atrioventricular node;subthalamic nucleus;fetal brain;prefrontal cortex;globus pallidus;appendix;ciliary ganglion;trigeminal ganglion;parietal lobe;cingulate cortex;</t>
        </is>
      </c>
      <c r="I30">
        <f>HYPERLINK("https://omim.org/entry/615937", "615937")</f>
        <v/>
      </c>
      <c r="J30" t="inlineStr">
        <is>
          <t>.</t>
        </is>
      </c>
      <c r="K30" t="inlineStr">
        <is>
          <t>.</t>
        </is>
      </c>
      <c r="L30" t="inlineStr">
        <is>
          <t>.</t>
        </is>
      </c>
      <c r="M30" t="inlineStr">
        <is>
          <t>.</t>
        </is>
      </c>
      <c r="N30" t="inlineStr">
        <is>
          <t>.</t>
        </is>
      </c>
      <c r="O30" t="inlineStr">
        <is>
          <t>.</t>
        </is>
      </c>
    </row>
    <row r="31">
      <c r="A31" t="inlineStr">
        <is>
          <t>ALDH1A2</t>
        </is>
      </c>
      <c r="B31" t="inlineStr">
        <is>
          <t>0.516630055977224</t>
        </is>
      </c>
      <c r="C31" t="inlineStr">
        <is>
          <t>aldehyde dehydrogenase 1 family member A2</t>
        </is>
      </c>
      <c r="D31" t="inlineStr">
        <is>
          <t xml:space="preserve">FUNCTION: Recognizes as substrates free retinal and cellular retinol-binding protein-bound retinal. Does metabolize octanal and decanal but does not metabolize citral, benzaldehyde, acetaldehyde and propanal efficiently (By similarity). {ECO:0000250}.; </t>
        </is>
      </c>
      <c r="E31" t="inlineStr">
        <is>
          <t>.</t>
        </is>
      </c>
      <c r="F31" t="inlineStr">
        <is>
          <t>.</t>
        </is>
      </c>
      <c r="G31" t="inlineStr">
        <is>
          <t>colon;fovea centralis;choroid;skin;retina;uterus;prostate;optic nerve;whole body;frontal lobe;endometrium;bone;pituitary gland;testis;brain;unclassifiable (Anatomical System);heart;cartilage;islets of Langerhans;blood;lens;skeletal muscle;breast;lung;placenta;macula lutea;visual apparatus;kidney;peripheral nerve;</t>
        </is>
      </c>
      <c r="H31" t="inlineStr">
        <is>
          <t>testis - interstitial;testis - seminiferous tubule;testis;globus pallidus;skeletal muscle;</t>
        </is>
      </c>
      <c r="I31" t="inlineStr">
        <is>
          <t>.</t>
        </is>
      </c>
      <c r="J31" t="inlineStr">
        <is>
          <t>.</t>
        </is>
      </c>
      <c r="K31" t="inlineStr">
        <is>
          <t>.</t>
        </is>
      </c>
      <c r="L31" t="inlineStr">
        <is>
          <t>.</t>
        </is>
      </c>
      <c r="M31" t="inlineStr">
        <is>
          <t>.</t>
        </is>
      </c>
      <c r="N31" t="inlineStr">
        <is>
          <t>.</t>
        </is>
      </c>
      <c r="O31" t="inlineStr">
        <is>
          <t>.</t>
        </is>
      </c>
    </row>
    <row r="32">
      <c r="A32" t="inlineStr">
        <is>
          <t>AMOTL1</t>
        </is>
      </c>
      <c r="B32" t="inlineStr">
        <is>
          <t>0.31122818605871</t>
        </is>
      </c>
      <c r="C32" t="inlineStr">
        <is>
          <t>angiomotin like 1</t>
        </is>
      </c>
      <c r="D32" t="inlineStr">
        <is>
          <t xml:space="preserve">FUNCTION: Inhibits the Wnt/beta-catenin signaling pathway, probably by recruiting CTNNB1 to recycling endosomes and hence preventing its translocation to the nucleus. {ECO:0000269|PubMed:22362771}.; </t>
        </is>
      </c>
      <c r="E32" t="inlineStr">
        <is>
          <t>.</t>
        </is>
      </c>
      <c r="F32" t="inlineStr">
        <is>
          <t>.</t>
        </is>
      </c>
      <c r="G32" t="inlineStr">
        <is>
          <t>unclassifiable (Anatomical System);cartilage;heart;muscle;skin;breast;uterus;pancreas;prostate;lung;endometrium;larynx;placenta;hypopharynx;testis;head and neck;brain;bladder;aorta;thymus;</t>
        </is>
      </c>
      <c r="H32" t="inlineStr">
        <is>
          <t>.</t>
        </is>
      </c>
      <c r="I32" t="inlineStr">
        <is>
          <t>.</t>
        </is>
      </c>
      <c r="J32" t="inlineStr">
        <is>
          <t>.</t>
        </is>
      </c>
      <c r="K32" t="inlineStr">
        <is>
          <t>.</t>
        </is>
      </c>
      <c r="L32" t="inlineStr">
        <is>
          <t>.</t>
        </is>
      </c>
      <c r="M32" t="inlineStr">
        <is>
          <t>.</t>
        </is>
      </c>
      <c r="N32" t="inlineStr">
        <is>
          <t>.</t>
        </is>
      </c>
      <c r="O32" t="inlineStr">
        <is>
          <t>.</t>
        </is>
      </c>
    </row>
    <row r="33">
      <c r="A33" t="inlineStr">
        <is>
          <t>AMPD3</t>
        </is>
      </c>
      <c r="B33" t="inlineStr">
        <is>
          <t>1.3313454680315e-08</t>
        </is>
      </c>
      <c r="C33" t="inlineStr">
        <is>
          <t>adenosine monophosphate deaminase 3</t>
        </is>
      </c>
      <c r="D33" t="inlineStr">
        <is>
          <t xml:space="preserve">FUNCTION: AMP deaminase plays a critical role in energy metabolism.; </t>
        </is>
      </c>
      <c r="E33" t="inlineStr">
        <is>
          <t>.</t>
        </is>
      </c>
      <c r="F33" t="inlineStr">
        <is>
          <t xml:space="preserve">TISSUE SPECIFICITY: Isoform 1 is the predominant form in skeletal muscle; Isoform 2 predominates in smooth muscle, non-muscle tissue, embryonic muscle and undifferentiated myoblasts; Isoform 3 is found in erythrocytes.; </t>
        </is>
      </c>
      <c r="G33" t="inlineStr">
        <is>
          <t>medulla oblongata;ovary;salivary gland;intestine;colon;parathyroid;fovea centralis;choroid;skin;retina;bone marrow;uterus;prostate;optic nerve;whole body;frontal lobe;endometrium;thyroid;testis;spinal ganglion;brain;pineal gland;bladder;unclassifiable (Anatomical System);heart;hypothalamus;muscle;adrenal cortex;pharynx;blood;lens;skeletal muscle;breast;pancreas;lung;adrenal gland;mesenchyma;nasopharynx;placenta;macula lutea;visual apparatus;liver;head and neck;cervix;kidney;mammary gland;stomach;peripheral nerve;cerebellum;</t>
        </is>
      </c>
      <c r="H33" t="inlineStr">
        <is>
          <t>superior cervical ganglion;testis - seminiferous tubule;trigeminal ganglion;</t>
        </is>
      </c>
      <c r="I33" t="inlineStr">
        <is>
          <t>.</t>
        </is>
      </c>
      <c r="J33" t="inlineStr">
        <is>
          <t>.</t>
        </is>
      </c>
      <c r="K33" t="inlineStr">
        <is>
          <t>.</t>
        </is>
      </c>
      <c r="L33" t="inlineStr">
        <is>
          <t>.</t>
        </is>
      </c>
      <c r="M33" t="inlineStr">
        <is>
          <t>.</t>
        </is>
      </c>
      <c r="N33" t="inlineStr">
        <is>
          <t>.</t>
        </is>
      </c>
      <c r="O33" t="inlineStr">
        <is>
          <t>.</t>
        </is>
      </c>
    </row>
    <row r="34">
      <c r="A34" t="inlineStr">
        <is>
          <t>ANAPC10</t>
        </is>
      </c>
      <c r="B34" t="inlineStr">
        <is>
          <t>0.0575682391681918</t>
        </is>
      </c>
      <c r="C34" t="inlineStr">
        <is>
          <t>anaphase promoting complex subunit 10</t>
        </is>
      </c>
      <c r="D34" t="inlineStr">
        <is>
          <t xml:space="preserve">FUNCTION: Component of the anaphase promoting complex/cyclosome (APC/C), a cell cycle-regulated E3 ubiquitin ligase that controls progression through mitosis and the G1 phase of the cell cycle. The APC/C complex acts by mediating ubiquitination and subsequent degradation of target proteins: it mainly mediates the formation of 'Lys-11'-linked polyubiquitin chains and, to a lower extent, the formation of 'Lys-48'- and 'Lys-63'-linked polyubiquitin chains. {ECO:0000269|PubMed:18485873}.; </t>
        </is>
      </c>
      <c r="E34" t="inlineStr">
        <is>
          <t>.</t>
        </is>
      </c>
      <c r="F34" t="inlineStr">
        <is>
          <t>.</t>
        </is>
      </c>
      <c r="G34" t="inlineStr">
        <is>
          <t>ovary;salivary gland;colon;skin;bone marrow;uterus;prostate;endometrium;thyroid;pituitary gland;testis;germinal center;brain;bladder;unclassifiable (Anatomical System);heart;islets of Langerhans;hypothalamus;pharynx;blood;breast;pancreas;lung;placenta;visual apparatus;liver;kidney;aorta;</t>
        </is>
      </c>
      <c r="H34" t="inlineStr">
        <is>
          <t>testis - interstitial;testis;appendix;ciliary ganglion;</t>
        </is>
      </c>
      <c r="I34" t="inlineStr">
        <is>
          <t>.</t>
        </is>
      </c>
      <c r="J34" t="inlineStr">
        <is>
          <t>.</t>
        </is>
      </c>
      <c r="K34" t="inlineStr">
        <is>
          <t>.</t>
        </is>
      </c>
      <c r="L34" t="inlineStr">
        <is>
          <t>.</t>
        </is>
      </c>
      <c r="M34" t="inlineStr">
        <is>
          <t>.</t>
        </is>
      </c>
      <c r="N34" t="inlineStr">
        <is>
          <t>.</t>
        </is>
      </c>
      <c r="O34" t="inlineStr">
        <is>
          <t>.</t>
        </is>
      </c>
    </row>
    <row r="35">
      <c r="A35" t="inlineStr">
        <is>
          <t>ANHX</t>
        </is>
      </c>
      <c r="B35" t="inlineStr">
        <is>
          <t>.</t>
        </is>
      </c>
      <c r="C35" t="inlineStr">
        <is>
          <t>anomalous homeobox</t>
        </is>
      </c>
      <c r="D35" t="inlineStr">
        <is>
          <t>.</t>
        </is>
      </c>
      <c r="E35" t="inlineStr">
        <is>
          <t>.</t>
        </is>
      </c>
      <c r="F35" t="inlineStr">
        <is>
          <t>.</t>
        </is>
      </c>
      <c r="G35" t="inlineStr">
        <is>
          <t>.</t>
        </is>
      </c>
      <c r="H35" t="inlineStr">
        <is>
          <t>.</t>
        </is>
      </c>
      <c r="I35" t="inlineStr">
        <is>
          <t>.</t>
        </is>
      </c>
      <c r="J35" t="inlineStr">
        <is>
          <t>.</t>
        </is>
      </c>
      <c r="K35" t="inlineStr">
        <is>
          <t>.</t>
        </is>
      </c>
      <c r="L35" t="inlineStr">
        <is>
          <t>.</t>
        </is>
      </c>
      <c r="M35" t="inlineStr">
        <is>
          <t>.</t>
        </is>
      </c>
      <c r="N35" t="inlineStr">
        <is>
          <t>.</t>
        </is>
      </c>
      <c r="O35" t="inlineStr">
        <is>
          <t>.</t>
        </is>
      </c>
    </row>
    <row r="36">
      <c r="A36" t="inlineStr">
        <is>
          <t>ANK1</t>
        </is>
      </c>
      <c r="B36" t="inlineStr">
        <is>
          <t>0.999999999957629</t>
        </is>
      </c>
      <c r="C36" t="inlineStr">
        <is>
          <t>ankyrin 1</t>
        </is>
      </c>
      <c r="D36" t="inlineStr">
        <is>
          <t xml:space="preserve">FUNCTION: Attaches integral membrane proteins to cytoskeletal elements; binds to the erythrocyte membrane protein band 4.2, to Na-K ATPase, to the lymphocyte membrane protein GP85, and to the cytoskeletal proteins fodrin, tubulin, vimentin and desmin. Erythrocyte ankyrins also link spectrin (beta chain) to the cytoplasmic domain of the erythrocytes anion exchange protein; they retain most or all of these binding functions. {ECO:0000269|PubMed:12456646}.; </t>
        </is>
      </c>
      <c r="E36" t="inlineStr">
        <is>
          <t xml:space="preserve">DISEASE: Spherocytosis 1 (SPH1) [MIM:182900]: Spherocytosis is a hematologic disorder leading to chronic hemolytic anemia and characterized by numerous abnormally shaped erythrocytes which are generally spheroidal. SPH1 is characterized by severe hemolytic anemia. Inheritance is autosomal recessive. {ECO:0000269|PubMed:11102985, ECO:0000269|PubMed:8640229}. Note=The disease is caused by mutations affecting the gene represented in this entry.; </t>
        </is>
      </c>
      <c r="F36" t="inlineStr">
        <is>
          <t xml:space="preserve">TISSUE SPECIFICITY: Isoform Mu17, isoform Mu18, isoform Mu19 and isoform Mu20 are expressed in skeletal muscle. Isoform Br21 is expressed in brain. {ECO:0000269|PubMed:9430667}.; </t>
        </is>
      </c>
      <c r="G36" t="inlineStr">
        <is>
          <t>ovary;parathyroid;fovea centralis;choroid;skin;retina;uterus;prostate;optic nerve;thyroid;bone;testis;germinal center;brain;unclassifiable (Anatomical System);heart;islets of Langerhans;muscle;blood;lens;skeletal muscle;breast;pancreas;lung;placenta;macula lutea;visual apparatus;liver;hypopharynx;spleen;head and neck;thymus;cerebellum;</t>
        </is>
      </c>
      <c r="H36" t="inlineStr">
        <is>
          <t>medulla oblongata;superior cervical ganglion;fetal liver;tongue;cerebellum peduncles;ciliary ganglion;pons;trigeminal ganglion;skeletal muscle;bone marrow;cerebellum;</t>
        </is>
      </c>
      <c r="I36">
        <f>HYPERLINK("https://omim.org/entry/182900", "182900")</f>
        <v/>
      </c>
      <c r="J36" t="inlineStr">
        <is>
          <t>.</t>
        </is>
      </c>
      <c r="K36" t="inlineStr">
        <is>
          <t>.</t>
        </is>
      </c>
      <c r="L36" t="inlineStr">
        <is>
          <t>.</t>
        </is>
      </c>
      <c r="M36" t="inlineStr">
        <is>
          <t>.</t>
        </is>
      </c>
      <c r="N36" t="inlineStr">
        <is>
          <t>.</t>
        </is>
      </c>
      <c r="O36" t="inlineStr">
        <is>
          <t>.</t>
        </is>
      </c>
    </row>
    <row r="37">
      <c r="A37" t="inlineStr">
        <is>
          <t>ANKAR</t>
        </is>
      </c>
      <c r="B37" t="inlineStr">
        <is>
          <t>6.6124241759396e-24</t>
        </is>
      </c>
      <c r="C37" t="inlineStr">
        <is>
          <t>ankyrin and armadillo repeat containing</t>
        </is>
      </c>
      <c r="D37" t="inlineStr">
        <is>
          <t>.</t>
        </is>
      </c>
      <c r="E37" t="inlineStr">
        <is>
          <t>.</t>
        </is>
      </c>
      <c r="F37" t="inlineStr">
        <is>
          <t xml:space="preserve">TISSUE SPECIFICITY: Ubiquitously expressed with highest level in pancreas and lowest in skeletal muscle. {ECO:0000269|PubMed:15110750}.; </t>
        </is>
      </c>
      <c r="G37" t="inlineStr">
        <is>
          <t>unclassifiable (Anatomical System);testis;bone marrow;</t>
        </is>
      </c>
      <c r="H37" t="inlineStr">
        <is>
          <t>testis - interstitial;superior cervical ganglion;testis;ciliary ganglion;atrioventricular node;pons;trigeminal ganglion;</t>
        </is>
      </c>
      <c r="I37" t="inlineStr">
        <is>
          <t>.</t>
        </is>
      </c>
      <c r="J37" t="inlineStr">
        <is>
          <t>.</t>
        </is>
      </c>
      <c r="K37" t="inlineStr">
        <is>
          <t>.</t>
        </is>
      </c>
      <c r="L37" t="inlineStr">
        <is>
          <t>.</t>
        </is>
      </c>
      <c r="M37" t="inlineStr">
        <is>
          <t>.</t>
        </is>
      </c>
      <c r="N37" t="inlineStr">
        <is>
          <t>.</t>
        </is>
      </c>
      <c r="O37" t="inlineStr">
        <is>
          <t>.</t>
        </is>
      </c>
    </row>
    <row r="38">
      <c r="A38" t="inlineStr">
        <is>
          <t>ANKRD11</t>
        </is>
      </c>
      <c r="B38" t="inlineStr">
        <is>
          <t>0.999999821632236</t>
        </is>
      </c>
      <c r="C38" t="inlineStr">
        <is>
          <t>ankyrin repeat domain 11</t>
        </is>
      </c>
      <c r="D38" t="inlineStr">
        <is>
          <t xml:space="preserve">FUNCTION: May recruit HDACs to the p160 coactivators/nuclear receptor complex to inhibit ligand-dependent transactivation.; </t>
        </is>
      </c>
      <c r="E38" t="inlineStr">
        <is>
          <t xml:space="preserve">DISEASE: KBG syndrome (KBGS) [MIM:148050]: A syndrome characterized by macrodontia of the upper central incisors, distinctive craniofacial findings, short stature, skeletal anomalies, and neurologic involvement that includes global developmental delay, seizures, and intellectual disability. {ECO:0000269|PubMed:21782149}. Note=The disease is caused by mutations affecting the gene represented in this entry.; </t>
        </is>
      </c>
      <c r="F38" t="inlineStr">
        <is>
          <t>.</t>
        </is>
      </c>
      <c r="G38" t="inlineStr">
        <is>
          <t>lymphoreticular;ovary;colon;fovea centralis;choroid;skin;retina;bone marrow;uterus;prostate;optic nerve;endometrium;larynx;bone;thyroid;testis;germinal center;spinal ganglion;brain;unclassifiable (Anatomical System);lymph node;cartilage;heart;tongue;islets of Langerhans;muscle;urinary;blood;lens;breast;pancreas;lung;placenta;macula lutea;alveolus;liver;spleen;head and neck;cervix;kidney;mammary gland;stomach;</t>
        </is>
      </c>
      <c r="H38" t="inlineStr">
        <is>
          <t>amygdala;ciliary ganglion;atrioventricular node;cingulate cortex;parietal lobe;</t>
        </is>
      </c>
      <c r="I38">
        <f>HYPERLINK("https://omim.org/entry/148050", "148050")</f>
        <v/>
      </c>
      <c r="J38" t="inlineStr">
        <is>
          <t>.</t>
        </is>
      </c>
      <c r="K38" t="inlineStr">
        <is>
          <t>.</t>
        </is>
      </c>
      <c r="L38" t="inlineStr">
        <is>
          <t>.</t>
        </is>
      </c>
      <c r="M38" t="inlineStr">
        <is>
          <t>.</t>
        </is>
      </c>
      <c r="N38" t="inlineStr">
        <is>
          <t>.</t>
        </is>
      </c>
      <c r="O38" t="inlineStr">
        <is>
          <t>.</t>
        </is>
      </c>
    </row>
    <row r="39">
      <c r="A39" t="inlineStr">
        <is>
          <t>ANKRD12</t>
        </is>
      </c>
      <c r="B39" t="inlineStr">
        <is>
          <t>0.999985243734791</t>
        </is>
      </c>
      <c r="C39" t="inlineStr">
        <is>
          <t>ankyrin repeat domain 12</t>
        </is>
      </c>
      <c r="D39" t="inlineStr">
        <is>
          <t xml:space="preserve">FUNCTION: May recruit HDACs to the p160 coactivators/nuclear receptor complex to inhibit ligand-dependent transactivation.; </t>
        </is>
      </c>
      <c r="E39" t="inlineStr">
        <is>
          <t>.</t>
        </is>
      </c>
      <c r="F39" t="inlineStr">
        <is>
          <t>.</t>
        </is>
      </c>
      <c r="G39" t="inlineStr">
        <is>
          <t>medulla oblongata;smooth muscle;ovary;skin;bone marrow;retina;prostate;optic nerve;frontal lobe;cochlea;thyroid;germinal center;bladder;brain;heart;cartilage;urinary;pharynx;blood;lens;skeletal muscle;breast;visual apparatus;macula lutea;liver;spleen;cervix;mammary gland;peripheral nerve;salivary gland;colon;parathyroid;choroid;fovea centralis;uterus;larynx;bone;pituitary gland;testis;unclassifiable (Anatomical System);lymph node;islets of Langerhans;bile duct;pancreas;lung;nasopharynx;placenta;head and neck;kidney;stomach;aorta;thymus;</t>
        </is>
      </c>
      <c r="H39" t="inlineStr">
        <is>
          <t>dorsal root ganglion;superior cervical ganglion;occipital lobe;white blood cells;ciliary ganglion;atrioventricular node;trigeminal ganglion;</t>
        </is>
      </c>
      <c r="I39" t="inlineStr">
        <is>
          <t>.</t>
        </is>
      </c>
      <c r="J39" t="inlineStr">
        <is>
          <t>.</t>
        </is>
      </c>
      <c r="K39" t="inlineStr">
        <is>
          <t>.</t>
        </is>
      </c>
      <c r="L39" t="inlineStr">
        <is>
          <t>.</t>
        </is>
      </c>
      <c r="M39" t="inlineStr">
        <is>
          <t>.</t>
        </is>
      </c>
      <c r="N39" t="inlineStr">
        <is>
          <t>.</t>
        </is>
      </c>
      <c r="O39" t="inlineStr">
        <is>
          <t>.</t>
        </is>
      </c>
    </row>
    <row r="40">
      <c r="A40" t="inlineStr">
        <is>
          <t>ANKRD24</t>
        </is>
      </c>
      <c r="B40" t="inlineStr">
        <is>
          <t>1.87439154445724e-06</t>
        </is>
      </c>
      <c r="C40" t="inlineStr">
        <is>
          <t>ankyrin repeat domain 24</t>
        </is>
      </c>
      <c r="D40" t="inlineStr">
        <is>
          <t>.</t>
        </is>
      </c>
      <c r="E40" t="inlineStr">
        <is>
          <t>.</t>
        </is>
      </c>
      <c r="F40" t="inlineStr">
        <is>
          <t>.</t>
        </is>
      </c>
      <c r="G40" t="inlineStr">
        <is>
          <t>frontal lobe;placenta;stomach;</t>
        </is>
      </c>
      <c r="H40" t="inlineStr">
        <is>
          <t>subthalamic nucleus;superior cervical ganglion;medulla oblongata;globus pallidus;ciliary ganglion;pons;atrioventricular node;trigeminal ganglion;skeletal muscle;</t>
        </is>
      </c>
      <c r="I40" t="inlineStr">
        <is>
          <t>.</t>
        </is>
      </c>
      <c r="J40" t="inlineStr">
        <is>
          <t>.</t>
        </is>
      </c>
      <c r="K40" t="inlineStr">
        <is>
          <t>.</t>
        </is>
      </c>
      <c r="L40" t="inlineStr">
        <is>
          <t>.</t>
        </is>
      </c>
      <c r="M40" t="inlineStr">
        <is>
          <t>.</t>
        </is>
      </c>
      <c r="N40" t="inlineStr">
        <is>
          <t>.</t>
        </is>
      </c>
      <c r="O40" t="inlineStr">
        <is>
          <t>.</t>
        </is>
      </c>
    </row>
    <row r="41">
      <c r="A41" t="inlineStr">
        <is>
          <t>ANKRD31</t>
        </is>
      </c>
      <c r="B41" t="inlineStr">
        <is>
          <t>.</t>
        </is>
      </c>
      <c r="C41" t="inlineStr">
        <is>
          <t>ankyrin repeat domain 31</t>
        </is>
      </c>
      <c r="D41" t="inlineStr">
        <is>
          <t>.</t>
        </is>
      </c>
      <c r="E41" t="inlineStr">
        <is>
          <t>.</t>
        </is>
      </c>
      <c r="F41" t="inlineStr">
        <is>
          <t>.</t>
        </is>
      </c>
      <c r="G41" t="inlineStr">
        <is>
          <t>.</t>
        </is>
      </c>
      <c r="H41" t="inlineStr">
        <is>
          <t>.</t>
        </is>
      </c>
      <c r="I41" t="inlineStr">
        <is>
          <t>.</t>
        </is>
      </c>
      <c r="J41" t="inlineStr">
        <is>
          <t>.</t>
        </is>
      </c>
      <c r="K41" t="inlineStr">
        <is>
          <t>.</t>
        </is>
      </c>
      <c r="L41" t="inlineStr">
        <is>
          <t>.</t>
        </is>
      </c>
      <c r="M41" t="inlineStr">
        <is>
          <t>.</t>
        </is>
      </c>
      <c r="N41" t="inlineStr">
        <is>
          <t>.</t>
        </is>
      </c>
      <c r="O41" t="inlineStr">
        <is>
          <t>.</t>
        </is>
      </c>
    </row>
    <row r="42">
      <c r="A42" t="inlineStr">
        <is>
          <t>ANKRD36BP2</t>
        </is>
      </c>
      <c r="B42" t="inlineStr">
        <is>
          <t>.</t>
        </is>
      </c>
      <c r="C42" t="inlineStr">
        <is>
          <t>ankyrin repeat domain 36B pseudogene 2</t>
        </is>
      </c>
      <c r="D42" t="inlineStr">
        <is>
          <t>.</t>
        </is>
      </c>
      <c r="E42" t="inlineStr">
        <is>
          <t>.</t>
        </is>
      </c>
      <c r="F42" t="inlineStr">
        <is>
          <t>.</t>
        </is>
      </c>
      <c r="G42" t="inlineStr">
        <is>
          <t>.</t>
        </is>
      </c>
      <c r="H42" t="inlineStr">
        <is>
          <t>.</t>
        </is>
      </c>
      <c r="I42" t="inlineStr">
        <is>
          <t>.</t>
        </is>
      </c>
      <c r="J42" t="inlineStr">
        <is>
          <t>.</t>
        </is>
      </c>
      <c r="K42" t="inlineStr">
        <is>
          <t>.</t>
        </is>
      </c>
      <c r="L42" t="inlineStr">
        <is>
          <t>.</t>
        </is>
      </c>
      <c r="M42" t="inlineStr">
        <is>
          <t>.</t>
        </is>
      </c>
      <c r="N42" t="inlineStr">
        <is>
          <t>.</t>
        </is>
      </c>
      <c r="O42" t="inlineStr">
        <is>
          <t>.</t>
        </is>
      </c>
    </row>
    <row r="43">
      <c r="A43" t="inlineStr">
        <is>
          <t>ANKRD36C</t>
        </is>
      </c>
      <c r="B43" t="inlineStr">
        <is>
          <t>.</t>
        </is>
      </c>
      <c r="C43" t="inlineStr">
        <is>
          <t>ankyrin repeat domain 36C</t>
        </is>
      </c>
      <c r="D43" t="inlineStr">
        <is>
          <t>.</t>
        </is>
      </c>
      <c r="E43" t="inlineStr">
        <is>
          <t>.</t>
        </is>
      </c>
      <c r="F43" t="inlineStr">
        <is>
          <t>.</t>
        </is>
      </c>
      <c r="G43" t="inlineStr">
        <is>
          <t>unclassifiable (Anatomical System);lymph node;colon;skeletal muscle;retina;breast;uterus;prostate;whole body;lung;cornea;endometrium;larynx;nasopharynx;liver;testis;head and neck;germinal center;kidney;pineal gland;mammary gland;stomach;</t>
        </is>
      </c>
      <c r="H43" t="inlineStr">
        <is>
          <t>.</t>
        </is>
      </c>
      <c r="I43" t="inlineStr">
        <is>
          <t>.</t>
        </is>
      </c>
      <c r="J43" t="inlineStr">
        <is>
          <t>.</t>
        </is>
      </c>
      <c r="K43" t="inlineStr">
        <is>
          <t>.</t>
        </is>
      </c>
      <c r="L43" t="inlineStr">
        <is>
          <t>.</t>
        </is>
      </c>
      <c r="M43" t="inlineStr">
        <is>
          <t>.</t>
        </is>
      </c>
      <c r="N43" t="inlineStr">
        <is>
          <t>.</t>
        </is>
      </c>
      <c r="O43" t="inlineStr">
        <is>
          <t>.</t>
        </is>
      </c>
    </row>
    <row r="44">
      <c r="A44" t="inlineStr">
        <is>
          <t>ANKRD46</t>
        </is>
      </c>
      <c r="B44" t="inlineStr">
        <is>
          <t>0.918715846360714</t>
        </is>
      </c>
      <c r="C44" t="inlineStr">
        <is>
          <t>ankyrin repeat domain 46</t>
        </is>
      </c>
      <c r="D44" t="inlineStr">
        <is>
          <t>.</t>
        </is>
      </c>
      <c r="E44" t="inlineStr">
        <is>
          <t>.</t>
        </is>
      </c>
      <c r="F44" t="inlineStr">
        <is>
          <t>.</t>
        </is>
      </c>
      <c r="G44" t="inlineStr">
        <is>
          <t>ovary;colon;parathyroid;fovea centralis;choroid;skin;retina;bone marrow;uterus;prostate;optic nerve;whole body;endometrium;testis;germinal center;brain;unclassifiable (Anatomical System);heart;cartilage;islets of Langerhans;hypothalamus;urinary;blood;lens;bile duct;pancreas;lung;placenta;macula lutea;visual apparatus;hippocampus;liver;head and neck;kidney;stomach;aorta;peripheral nerve;</t>
        </is>
      </c>
      <c r="H44" t="inlineStr">
        <is>
          <t>dorsal root ganglion;amygdala;superior cervical ganglion;medulla oblongata;thalamus;occipital lobe;hypothalamus;pons;caudate nucleus;subthalamic nucleus;fetal brain;prefrontal cortex;globus pallidus;</t>
        </is>
      </c>
      <c r="I44" t="inlineStr">
        <is>
          <t>.</t>
        </is>
      </c>
      <c r="J44" t="inlineStr">
        <is>
          <t>.</t>
        </is>
      </c>
      <c r="K44" t="inlineStr">
        <is>
          <t>.</t>
        </is>
      </c>
      <c r="L44" t="inlineStr">
        <is>
          <t>.</t>
        </is>
      </c>
      <c r="M44" t="inlineStr">
        <is>
          <t>.</t>
        </is>
      </c>
      <c r="N44" t="inlineStr">
        <is>
          <t>.</t>
        </is>
      </c>
      <c r="O44" t="inlineStr">
        <is>
          <t>.</t>
        </is>
      </c>
    </row>
    <row r="45">
      <c r="A45" t="inlineStr">
        <is>
          <t>ANKRD6</t>
        </is>
      </c>
      <c r="B45" t="inlineStr">
        <is>
          <t>3.48769137996221e-07</t>
        </is>
      </c>
      <c r="C45" t="inlineStr">
        <is>
          <t>ankyrin repeat domain 6</t>
        </is>
      </c>
      <c r="D45" t="inlineStr">
        <is>
          <t xml:space="preserve">FUNCTION: Recruits CKI-epsilon to the beta-catenin degradation complex that consists of AXN1 or AXN2 and GSK3-beta and allows efficient phosphorylation of beta-catenin, thereby inhibiting beta-catenin/Tcf signals. {ECO:0000250}.; </t>
        </is>
      </c>
      <c r="E45" t="inlineStr">
        <is>
          <t>.</t>
        </is>
      </c>
      <c r="F45" t="inlineStr">
        <is>
          <t>.</t>
        </is>
      </c>
      <c r="G45" t="inlineStr">
        <is>
          <t>unclassifiable (Anatomical System);ovary;islets of Langerhans;salivary gland;intestine;pharynx;colon;blood;skin;bone marrow;whole body;lung;cornea;larynx;visual apparatus;liver;testis;head and neck;kidney;spinal ganglion;brain;mammary gland;</t>
        </is>
      </c>
      <c r="H45" t="inlineStr">
        <is>
          <t>amygdala;dorsal root ganglion;superior cervical ganglion;</t>
        </is>
      </c>
      <c r="I45" t="inlineStr">
        <is>
          <t>.</t>
        </is>
      </c>
      <c r="J45" t="inlineStr">
        <is>
          <t>.</t>
        </is>
      </c>
      <c r="K45" t="inlineStr">
        <is>
          <t>.</t>
        </is>
      </c>
      <c r="L45" t="inlineStr">
        <is>
          <t>.</t>
        </is>
      </c>
      <c r="M45" t="inlineStr">
        <is>
          <t>.</t>
        </is>
      </c>
      <c r="N45" t="inlineStr">
        <is>
          <t>.</t>
        </is>
      </c>
      <c r="O45" t="inlineStr">
        <is>
          <t>.</t>
        </is>
      </c>
    </row>
    <row r="46">
      <c r="A46" t="inlineStr">
        <is>
          <t>ANO7</t>
        </is>
      </c>
      <c r="B46" t="inlineStr">
        <is>
          <t>1.87089456161351e-30</t>
        </is>
      </c>
      <c r="C46" t="inlineStr">
        <is>
          <t>anoctamin 7</t>
        </is>
      </c>
      <c r="D46" t="inlineStr">
        <is>
          <t xml:space="preserve">FUNCTION: Has calcium-dependent phospholipid scramblase activity; scrambles phosphatidylserine, phosphatidylcholine and galactosylceramide (By similarity). Does not exhibit calcium- activated chloride channel (CaCC) activity. May play a role in cell-cell interactions. {ECO:0000250|UniProtKB:Q14AT5, ECO:0000269|PubMed:17308099}.; </t>
        </is>
      </c>
      <c r="E46" t="inlineStr">
        <is>
          <t>.</t>
        </is>
      </c>
      <c r="F46" t="inlineStr">
        <is>
          <t xml:space="preserve">TISSUE SPECIFICITY: Specifically expressed in epithelial cells of the prostate (at protein level). {ECO:0000269|PubMed:14981236, ECO:0000269|PubMed:15761874, ECO:0000269|PubMed:17308099}.; </t>
        </is>
      </c>
      <c r="G46" t="inlineStr">
        <is>
          <t>unclassifiable (Anatomical System);medulla oblongata;prostate;lung;bone;placenta;liver;colon;spleen;kidney;mammary gland;stomach;cerebellum;</t>
        </is>
      </c>
      <c r="H46" t="inlineStr">
        <is>
          <t>dorsal root ganglion;occipital lobe;subthalamic nucleus;superior cervical ganglion;prostate;fetal liver;globus pallidus;ciliary ganglion;atrioventricular node;trigeminal ganglion;skeletal muscle;</t>
        </is>
      </c>
      <c r="I46" t="inlineStr">
        <is>
          <t>.</t>
        </is>
      </c>
      <c r="J46" t="inlineStr">
        <is>
          <t>.</t>
        </is>
      </c>
      <c r="K46" t="inlineStr">
        <is>
          <t>.</t>
        </is>
      </c>
      <c r="L46" t="inlineStr">
        <is>
          <t>.</t>
        </is>
      </c>
      <c r="M46" t="inlineStr">
        <is>
          <t>.</t>
        </is>
      </c>
      <c r="N46" t="inlineStr">
        <is>
          <t>.</t>
        </is>
      </c>
      <c r="O46" t="inlineStr">
        <is>
          <t>.</t>
        </is>
      </c>
    </row>
    <row r="47">
      <c r="A47" t="inlineStr">
        <is>
          <t>AP2B1</t>
        </is>
      </c>
      <c r="B47" t="inlineStr">
        <is>
          <t>0.999667233317167</t>
        </is>
      </c>
      <c r="C47" t="inlineStr">
        <is>
          <t>adaptor related protein complex 2 beta 1 subunit</t>
        </is>
      </c>
      <c r="D47" t="inlineStr">
        <is>
          <t xml:space="preserve">FUNCTION: Component of the adaptor protein complex 2 (AP-2). Adaptor protein complexes function in protein transport via transport vesicles in different membrane traffic pathways. Adaptor protein complexes are vesicle coat components and appear to be involved in cargo selection and vesicle formation. AP-2 is involved in clathrin-dependent endocytosis in which cargo proteins are incorporated into vesicles surrounded by clathrin (clathrin- coated vesicles, CCVs) which are destined for fusion with the early endosome. The clathrin lattice serves as a mechanical scaffold but is itself unable to bind directly to membrane components. Clathrin-associated adaptor protein (AP) complexes which can bind directly to both the clathrin lattice and to the lipid and protein components of membranes are considered to be the major clathrin adaptors contributing the CCV formation. AP-2 also serves as a cargo receptor to selectively sort the membrane proteins involved in receptor-mediated endocytosis. AP-2 seems to play a role in the recycling of synaptic vesicle membranes from the presynaptic surface. AP-2 recognizes Y-X-X-[FILMV] (Y-X-X-Phi) and [ED]-X-X-X-L-[LI] endocytosis signal motifs within the cytosolic tails of transmembrane cargo molecules. AP-2 may also play a role in maintaining normal post-endocytic trafficking through the ARF6-regulated, non-clathrin pathway. The AP-2 beta subunit acts via its C-terminal appendage domain as a scaffolding platform for endocytic accessory proteins; at least some clathrin- associated sorting proteins (CLASPs) are recognized by their [DE]- X(1,2)-F-X-X-[FL]-X-X-X-R motif. The AP-2 beta subunit binds to clathrin heavy chain, promoting clathrin lattice assembly; clathrin displaces at least some CLASPs from AP2B1 which probably then can be positioned for further coat assembly. {ECO:0000269|PubMed:14745134, ECO:0000269|PubMed:14985334, ECO:0000269|PubMed:15473838, ECO:0000269|PubMed:19033387}.; </t>
        </is>
      </c>
      <c r="E47" t="inlineStr">
        <is>
          <t>.</t>
        </is>
      </c>
      <c r="F47" t="inlineStr">
        <is>
          <t>.</t>
        </is>
      </c>
      <c r="G47" t="inlineStr">
        <is>
          <t>myocardium;lymphoreticular;medulla oblongata;ovary;sympathetic chain;skin;retina;bone marrow;prostate;frontal lobe;endometrium;thyroid;amniotic fluid;germinal center;bladder;brain;heart;pineal body;adrenal cortex;blood;lens;skeletal muscle;breast;epididymis;visual apparatus;liver;spleen;cervix;mammary gland;peripheral nerve;developmental;colon;parathyroid;uterus;whole body;larynx;pituitary gland;testis;pineal gland;unclassifiable (Anatomical System);lymph node;lacrimal gland;islets of Langerhans;muscle;bile duct;pancreas;lung;cornea;mesenchyma;adrenal gland;nasopharynx;placenta;hippocampus;head and neck;kidney;stomach;cerebellum;</t>
        </is>
      </c>
      <c r="H47" t="inlineStr">
        <is>
          <t>amygdala;subthalamic nucleus;testis - interstitial;medulla oblongata;testis - seminiferous tubule;temporal lobe;globus pallidus;testis;kidney;skeletal muscle;cingulate cortex;parietal lobe;cerebellum;</t>
        </is>
      </c>
      <c r="I47" t="inlineStr">
        <is>
          <t>.</t>
        </is>
      </c>
      <c r="J47" t="inlineStr">
        <is>
          <t>.</t>
        </is>
      </c>
      <c r="K47" t="inlineStr">
        <is>
          <t>.</t>
        </is>
      </c>
      <c r="L47" t="inlineStr">
        <is>
          <t>.</t>
        </is>
      </c>
      <c r="M47" t="inlineStr">
        <is>
          <t>.</t>
        </is>
      </c>
      <c r="N47" t="inlineStr">
        <is>
          <t>.</t>
        </is>
      </c>
      <c r="O47" t="inlineStr">
        <is>
          <t>.</t>
        </is>
      </c>
    </row>
    <row r="48">
      <c r="A48" t="inlineStr">
        <is>
          <t>AP4B1-AS1</t>
        </is>
      </c>
      <c r="B48" t="inlineStr">
        <is>
          <t>.</t>
        </is>
      </c>
      <c r="C48" t="inlineStr">
        <is>
          <t>AP4B1 antisense RNA 1</t>
        </is>
      </c>
      <c r="D48" t="inlineStr">
        <is>
          <t>.</t>
        </is>
      </c>
      <c r="E48" t="inlineStr">
        <is>
          <t>.</t>
        </is>
      </c>
      <c r="F48" t="inlineStr">
        <is>
          <t>.</t>
        </is>
      </c>
      <c r="G48" t="inlineStr">
        <is>
          <t>.</t>
        </is>
      </c>
      <c r="H48" t="inlineStr">
        <is>
          <t>.</t>
        </is>
      </c>
      <c r="I48" t="inlineStr">
        <is>
          <t>.</t>
        </is>
      </c>
      <c r="J48" t="inlineStr">
        <is>
          <t>.</t>
        </is>
      </c>
      <c r="K48" t="inlineStr">
        <is>
          <t>.</t>
        </is>
      </c>
      <c r="L48" t="inlineStr">
        <is>
          <t>.</t>
        </is>
      </c>
      <c r="M48" t="inlineStr">
        <is>
          <t>.</t>
        </is>
      </c>
      <c r="N48" t="inlineStr">
        <is>
          <t>.</t>
        </is>
      </c>
      <c r="O48" t="inlineStr">
        <is>
          <t>.</t>
        </is>
      </c>
    </row>
    <row r="49">
      <c r="A49" t="inlineStr">
        <is>
          <t>AP4M1</t>
        </is>
      </c>
      <c r="B49" t="inlineStr">
        <is>
          <t>2.36166196366206e-11</t>
        </is>
      </c>
      <c r="C49" t="inlineStr">
        <is>
          <t>adaptor related protein complex 4 mu 1 subunit</t>
        </is>
      </c>
      <c r="D49" t="inlineStr">
        <is>
          <t xml:space="preserve">FUNCTION: Component of the AP-4 complex, a novel type of clathrin- or non-clathrin-associated protein coat involved in targeting proteins from the trans-Golgi network (TGN) to the endosomal- lysosomal system. Plays a role in the intracellular trafficking of APP from the trans-Golgi network (TGN) to endosomes, and thereby inhibits amyloidogenic processing of APP. {ECO:0000269|PubMed:11139587, ECO:0000269|PubMed:20230749}.; </t>
        </is>
      </c>
      <c r="E49" t="inlineStr">
        <is>
          <t>.</t>
        </is>
      </c>
      <c r="F49" t="inlineStr">
        <is>
          <t xml:space="preserve">TISSUE SPECIFICITY: Ubiquitous. Highly expressed in testis and lowly expressed in brain and lung. {ECO:0000269|PubMed:10436028, ECO:0000269|PubMed:9013859}.; </t>
        </is>
      </c>
      <c r="G49" t="inlineStr">
        <is>
          <t>ovary;salivary gland;colon;parathyroid;skin;uterus;prostate;optic nerve;larynx;bone;testis;brain;artery;tonsil;unclassifiable (Anatomical System);heart;cartilage;islets of Langerhans;bile duct;breast;lung;placenta;visual apparatus;liver;spleen;head and neck;kidney;mammary gland;aorta;</t>
        </is>
      </c>
      <c r="H49" t="inlineStr">
        <is>
          <t>subthalamic nucleus;cingulate cortex;parietal lobe;</t>
        </is>
      </c>
      <c r="I49" t="inlineStr">
        <is>
          <t>.</t>
        </is>
      </c>
      <c r="J49" t="inlineStr">
        <is>
          <t>.</t>
        </is>
      </c>
      <c r="K49" t="inlineStr">
        <is>
          <t>.</t>
        </is>
      </c>
      <c r="L49" t="inlineStr">
        <is>
          <t>.</t>
        </is>
      </c>
      <c r="M49" t="inlineStr">
        <is>
          <t>.</t>
        </is>
      </c>
      <c r="N49" t="inlineStr">
        <is>
          <t>.</t>
        </is>
      </c>
      <c r="O49" t="inlineStr">
        <is>
          <t>.</t>
        </is>
      </c>
    </row>
    <row r="50">
      <c r="A50" t="inlineStr">
        <is>
          <t>APC</t>
        </is>
      </c>
      <c r="B50" t="inlineStr">
        <is>
          <t>0.999999927739402</t>
        </is>
      </c>
      <c r="C50" t="inlineStr">
        <is>
          <t>adenomatous polyposis coli</t>
        </is>
      </c>
      <c r="D50" t="inlineStr">
        <is>
          <t xml:space="preserve">FUNCTION: Tumor suppressor. Promotes rapid degradation of CTNNB1 and participates in Wnt signaling as a negative regulator. APC activity is correlated with its phosphorylation state. Activates the GEF activity of SPATA13 and ARHGEF4. Plays a role in hepatocyte growth factor (HGF)-induced cell migration. Required for MMP9 up-regulation via the JNK signaling pathway in colorectal tumor cells. Acts as a mediator of ERBB2-dependent stabilization of microtubules at the cell cortex. It is required for the localization of MACF1 to the cell membrane and this localization of MACF1 is critical for its function in microtubule stabilization. {ECO:0000269|PubMed:10947987, ECO:0000269|PubMed:17599059, ECO:0000269|PubMed:19151759, ECO:0000269|PubMed:19893577, ECO:0000269|PubMed:20937854}.; </t>
        </is>
      </c>
      <c r="E50" t="inlineStr">
        <is>
          <t xml:space="preserve">DISEASE: Familial adenomatous polyposis (FAP) [MIM:175100]: A cancer predisposition syndrome characterized by adenomatous polyps of the colon and rectum, but also of upper gastrointestinal tract (ampullary, duodenal and gastric adenomas). This is a viciously premalignant disease with one or more polyps progressing through dysplasia to malignancy in untreated gene carriers with a median age at diagnosis of 40 years. {ECO:0000269|PubMed:10470088, ECO:0000269|PubMed:1338691, ECO:0000269|PubMed:1338764, ECO:0000269|PubMed:1338904, ECO:0000269|PubMed:1651563, ECO:0000269|PubMed:7833149, ECO:0000269|PubMed:7833931, ECO:0000269|PubMed:8990002}. Note=The disease is caused by mutations affecting the gene represented in this entry.; DISEASE: Hereditary desmoid disease (HDD) [MIM:135290]: Autosomal dominant trait with 100% penetrance and possible variable expression among affected relatives. HDD patients show multifocal fibromatosis of the paraspinal muscles, breast, occiput, arms, lower ribs, abdominal wall, and mesentery. Desmoid tumors appears also as a complication of familial adenomatous polyposis. {ECO:0000269|PubMed:10782927, ECO:0000269|PubMed:8940264}. Note=The disease is caused by mutations affecting the gene represented in this entry.; DISEASE: Medulloblastoma (MDB) [MIM:155255]: Malignant, invasive embryonal tumor of the cerebellum with a preferential manifestation in children. {ECO:0000269|PubMed:10666372}. Note=The gene represented in this entry may be involved in disease pathogenesis.; DISEASE: Mismatch repair cancer syndrome (MMRCS) [MIM:276300]: An autosomal recessive, rare, childhood cancer predisposition syndrome encompassing a broad tumor spectrum. This includes hematological malignancies, central nervous system tumors, Lynch syndrome-associated malignancies such as colorectal tumors as well as multiple intestinal polyps, embryonic tumors and rhabdomyosarcoma. Multiple cafe-au-lait macules, a feature reminiscent of neurofibromatosis type 1, are often found as first manifestation of the underlying cancer. Areas of skin hypopigmentation have also been reported in MMRCS patients. {ECO:0000269|PubMed:7661930}. Note=The gene represented in this entry may be involved in disease pathogenesis.; DISEASE: Gastric cancer (GASC) [MIM:613659]: A malignant disease which starts in the stomach, can spread to the esophagus or the small intestine, and can extend through the stomach wall to nearby lymph nodes and organs. It also can metastasize to other parts of the body. The term gastric cancer or gastric carcinoma refers to adenocarcinoma of the stomach that accounts for most of all gastric malignant tumors. Two main histologic types are recognized, diffuse type and intestinal type carcinomas. Diffuse tumors are poorly differentiated infiltrating lesions, resulting in thickening of the stomach. In contrast, intestinal tumors are usually exophytic, often ulcerating, and associated with intestinal metaplasia of the stomach, most often observed in sporadic disease. Note=The gene represented in this entry may be involved in disease pathogenesis.; DISEASE: Hepatocellular carcinoma (HCC) [MIM:114550]: A primary malignant neoplasm of epithelial liver cells. The major risk factors for HCC are chronic hepatitis B virus (HBV) infection, chronic hepatitis C virus (HCV) infection, prolonged dietary aflatoxin exposure, alcoholic cirrhosis, and cirrhosis due to other causes. Note=The gene represented in this entry may be involved in disease pathogenesis.; </t>
        </is>
      </c>
      <c r="F50" t="inlineStr">
        <is>
          <t xml:space="preserve">TISSUE SPECIFICITY: Expressed in a variety of tissues.; </t>
        </is>
      </c>
      <c r="G50" t="inlineStr">
        <is>
          <t>myocardium;smooth muscle;ovary;sympathetic chain;colon;parathyroid;fovea centralis;choroid;skin;retina;uterus;prostate;optic nerve;whole body;frontal lobe;cochlea;endometrium;larynx;bone;thyroid;pituitary gland;testis;germinal center;brain;pineal gland;artery;bladder;unclassifiable (Anatomical System);lymph node;cartilage;heart;small intestine;islets of Langerhans;hypothalamus;blood;lens;skeletal muscle;breast;lung;placenta;macula lutea;hippocampus;liver;spleen;head and neck;kidney;mammary gland;aorta;</t>
        </is>
      </c>
      <c r="H50" t="inlineStr">
        <is>
          <t>amygdala;medulla oblongata;superior cervical ganglion;occipital lobe;thalamus;temporal lobe;atrioventricular node;skeletal muscle;subthalamic nucleus;fetal brain;prefrontal cortex;globus pallidus;ciliary ganglion;trigeminal ganglion;parietal lobe;cingulate cortex;</t>
        </is>
      </c>
      <c r="I50">
        <f>HYPERLINK("https://omim.org/entry/175100", "175100")</f>
        <v/>
      </c>
      <c r="J50">
        <f>HYPERLINK("https://omim.org/entry/135290", "135290")</f>
        <v/>
      </c>
      <c r="K50">
        <f>HYPERLINK("https://omim.org/entry/155255", "155255")</f>
        <v/>
      </c>
      <c r="L50">
        <f>HYPERLINK("https://omim.org/entry/276300", "276300")</f>
        <v/>
      </c>
      <c r="M50">
        <f>HYPERLINK("https://omim.org/entry/613659", "613659")</f>
        <v/>
      </c>
      <c r="N50">
        <f>HYPERLINK("https://omim.org/entry/114550", "114550")</f>
        <v/>
      </c>
      <c r="O50" t="inlineStr">
        <is>
          <t>.</t>
        </is>
      </c>
    </row>
    <row r="51">
      <c r="A51" t="inlineStr">
        <is>
          <t>APMAP</t>
        </is>
      </c>
      <c r="B51" t="inlineStr">
        <is>
          <t>2.35566376172495e-07</t>
        </is>
      </c>
      <c r="C51" t="inlineStr">
        <is>
          <t>adipocyte plasma membrane associated protein</t>
        </is>
      </c>
      <c r="D51" t="inlineStr">
        <is>
          <t xml:space="preserve">FUNCTION: Exhibits strong arylesterase activity with beta-naphthyl acetate and phenyl acetate. May play a role in adipocyte differentiation. {ECO:0000269|PubMed:18513186}.; </t>
        </is>
      </c>
      <c r="E51" t="inlineStr">
        <is>
          <t>.</t>
        </is>
      </c>
      <c r="F51" t="inlineStr">
        <is>
          <t xml:space="preserve">TISSUE SPECIFICITY: Liver, glomerular and tubular structures of the kidney, endothelial cells, arterial wall and pancreatic islets of Langerhans (at protein level). Found ubiquitously in adult as well as in embryonic tissues. In adult tissue, the highest expression is found in the liver, placenta and heart. Found on the cell surface of monocytes. In embryonic tissue, the highest expression levels is found in the liver and the kidney. {ECO:0000269|PubMed:18513186}.; </t>
        </is>
      </c>
      <c r="G51" t="inlineStr">
        <is>
          <t>.</t>
        </is>
      </c>
      <c r="H51" t="inlineStr">
        <is>
          <t>.</t>
        </is>
      </c>
      <c r="I51" t="inlineStr">
        <is>
          <t>.</t>
        </is>
      </c>
      <c r="J51" t="inlineStr">
        <is>
          <t>.</t>
        </is>
      </c>
      <c r="K51" t="inlineStr">
        <is>
          <t>.</t>
        </is>
      </c>
      <c r="L51" t="inlineStr">
        <is>
          <t>.</t>
        </is>
      </c>
      <c r="M51" t="inlineStr">
        <is>
          <t>.</t>
        </is>
      </c>
      <c r="N51" t="inlineStr">
        <is>
          <t>.</t>
        </is>
      </c>
      <c r="O51" t="inlineStr">
        <is>
          <t>.</t>
        </is>
      </c>
    </row>
    <row r="52">
      <c r="A52" t="inlineStr">
        <is>
          <t>APOO</t>
        </is>
      </c>
      <c r="B52" t="inlineStr">
        <is>
          <t>0.754113198235746</t>
        </is>
      </c>
      <c r="C52" t="inlineStr">
        <is>
          <t>apolipoprotein O</t>
        </is>
      </c>
      <c r="D52" t="inlineStr">
        <is>
          <t xml:space="preserve">FUNCTION: Component of the MICOS complex, a large protein complex of the mitochondrial inner membrane that plays crucial roles in the maintenance of crista junctions, inner membrane architecture, and formation of contact sites to the outer membrane. Plays a crucial role in crista junction formation and mitochondrial function (PubMed:25764979). Can promote cardiac lipotoxicity by enhancing mitochondrial respiration and fatty acid metabolism in cardiac myoblasts (PubMed:24743151). Promotes cholesterol efflux from macrophage cells. Detected in HDL, LDL and VLDL. Secreted by a microsomal triglyceride transfer protein (MTTP)-dependent mechanism, probably as a VLDL-associated protein that is subsequently transferred to HDL (PubMed:16956892). {ECO:0000269|PubMed:16956892, ECO:0000269|PubMed:24743151, ECO:0000269|PubMed:25764979}.; </t>
        </is>
      </c>
      <c r="E52" t="inlineStr">
        <is>
          <t>.</t>
        </is>
      </c>
      <c r="F52" t="inlineStr">
        <is>
          <t xml:space="preserve">TISSUE SPECIFICITY: Expressed in all tissues examined. Up- regulated in diabetic heart. {ECO:0000269|PubMed:16956892}.; </t>
        </is>
      </c>
      <c r="G52" t="inlineStr">
        <is>
          <t>.</t>
        </is>
      </c>
      <c r="H52" t="inlineStr">
        <is>
          <t>.</t>
        </is>
      </c>
      <c r="I52" t="inlineStr">
        <is>
          <t>.</t>
        </is>
      </c>
      <c r="J52" t="inlineStr">
        <is>
          <t>.</t>
        </is>
      </c>
      <c r="K52" t="inlineStr">
        <is>
          <t>.</t>
        </is>
      </c>
      <c r="L52" t="inlineStr">
        <is>
          <t>.</t>
        </is>
      </c>
      <c r="M52" t="inlineStr">
        <is>
          <t>.</t>
        </is>
      </c>
      <c r="N52" t="inlineStr">
        <is>
          <t>.</t>
        </is>
      </c>
      <c r="O52" t="inlineStr">
        <is>
          <t>.</t>
        </is>
      </c>
    </row>
    <row r="53">
      <c r="A53" t="inlineStr">
        <is>
          <t>AQP2</t>
        </is>
      </c>
      <c r="B53" t="inlineStr">
        <is>
          <t>4.17696058293906e-06</t>
        </is>
      </c>
      <c r="C53" t="inlineStr">
        <is>
          <t>aquaporin 2</t>
        </is>
      </c>
      <c r="D53" t="inlineStr">
        <is>
          <t xml:space="preserve">FUNCTION: Forms a water-specific channel that provides the plasma membranes of renal collecting duct with high permeability to water, thereby permitting water to move in the direction of an osmotic gradient.; </t>
        </is>
      </c>
      <c r="E53" t="inlineStr">
        <is>
          <t xml:space="preserve">DISEASE: Diabetes insipidus, nephrogenic, autosomal (ANDI) [MIM:125800]: A disorder caused by the inability of the renal collecting ducts to absorb water in response to arginine vasopressin. Characterized by excessive water drinking (polydipsia), excessive urine excretion (polyuria), persistent hypotonic urine, and hypokalemia. Inheritance can be autosomal dominant or recessive. {ECO:0000269|PubMed:12050236, ECO:0000269|PubMed:12191971, ECO:0000269|PubMed:15509592, ECO:0000269|PubMed:16120822, ECO:0000269|PubMed:16361827, ECO:0000269|PubMed:16845277, ECO:0000269|PubMed:19585583, ECO:0000269|PubMed:24944815, ECO:0000269|PubMed:7524315, ECO:0000269|PubMed:8882880, ECO:0000269|PubMed:9048343, ECO:0000269|PubMed:9302264, ECO:0000269|PubMed:9402087, ECO:0000269|PubMed:9550615, ECO:0000269|PubMed:9649557, ECO:0000269|PubMed:9745427}. Note=The disease is caused by mutations affecting the gene represented in this entry.; </t>
        </is>
      </c>
      <c r="F53" t="inlineStr">
        <is>
          <t xml:space="preserve">TISSUE SPECIFICITY: Expressed in renal collecting tubules.; </t>
        </is>
      </c>
      <c r="G53" t="inlineStr">
        <is>
          <t>unclassifiable (Anatomical System);colon;choroid;fovea centralis;lens;retina;prostate;optic nerve;lung;macula lutea;cervix;kidney;brain;stomach;</t>
        </is>
      </c>
      <c r="H53" t="inlineStr">
        <is>
          <t>dorsal root ganglion;ciliary ganglion;kidney;</t>
        </is>
      </c>
      <c r="I53">
        <f>HYPERLINK("https://omim.org/entry/125800", "125800")</f>
        <v/>
      </c>
      <c r="J53" t="inlineStr">
        <is>
          <t>.</t>
        </is>
      </c>
      <c r="K53" t="inlineStr">
        <is>
          <t>.</t>
        </is>
      </c>
      <c r="L53" t="inlineStr">
        <is>
          <t>.</t>
        </is>
      </c>
      <c r="M53" t="inlineStr">
        <is>
          <t>.</t>
        </is>
      </c>
      <c r="N53" t="inlineStr">
        <is>
          <t>.</t>
        </is>
      </c>
      <c r="O53" t="inlineStr">
        <is>
          <t>.</t>
        </is>
      </c>
    </row>
    <row r="54">
      <c r="A54" t="inlineStr">
        <is>
          <t>ARFGEF2</t>
        </is>
      </c>
      <c r="B54" t="inlineStr">
        <is>
          <t>0.999999938266667</t>
        </is>
      </c>
      <c r="C54" t="inlineStr">
        <is>
          <t>ADP ribosylation factor guanine nucleotide exchange factor 2</t>
        </is>
      </c>
      <c r="D54" t="inlineStr">
        <is>
          <t xml:space="preserve">FUNCTION: Promotes guanine-nucleotide exchange on ARF1 and ARF3 and to a lower extend on ARF5 and ARF6. Promotes the activation of ARF1/ARF5/ARF6 through replacement of GDP with GTP. Involved in the regulation of Golgi vesicular transport. Required for the integrity of the endosomal compartment. Involved in trafficking from the trans-Golgi network (TGN) to endosomes and is required for membrane association of the AP-1 complex and GGA1. Seems to be involved in recycling of the transferrin receptor from recycling endosomes to the plasma membrane. Probably is involved in the exit of GABA(A) receptors from the endoplasmic reticulum. Involved in constitutive release of tumor necrosis factor receptor 1 via exosome-like vesicles; the function seems to involve PKA and specifically PRKAR2B. Proposed to act as A kinase-anchoring protein (AKAP) and may mediate crosstalk between Arf and PKA pathways. {ECO:0000269|PubMed:12051703, ECO:0000269|PubMed:12571360, ECO:0000269|PubMed:15385626, ECO:0000269|PubMed:16477018, ECO:0000269|PubMed:17276987, ECO:0000269|PubMed:18625701, ECO:0000269|PubMed:20360857}.; </t>
        </is>
      </c>
      <c r="E54" t="inlineStr">
        <is>
          <t xml:space="preserve">DISEASE: Periventricular nodular heterotopia 2 (PVNH2) [MIM:608097]: A developmental disorder characterized by the presence of periventricular nodules of cerebral gray matter, resulting from a failure of neurons to migrate normally from the lateral ventricular proliferative zone, where they are formed, to the cerebral cortex. PVNH2 is an autosomal recessive form characterized by microcephaly (small brain), severe developmental delay and recurrent infections. No anomalies extrinsic to the central nervous system, such as dysmorphic features or grossly abnormal endocrine or other conditions, are associated with PVNH2. {ECO:0000269|PubMed:14647276}. Note=The disease is caused by mutations affecting the gene represented in this entry.; </t>
        </is>
      </c>
      <c r="F54" t="inlineStr">
        <is>
          <t xml:space="preserve">TISSUE SPECIFICITY: Expressed in placenta, lung, heart, brain, kidney and pancreas.; </t>
        </is>
      </c>
      <c r="G54" t="inlineStr">
        <is>
          <t>.</t>
        </is>
      </c>
      <c r="H54" t="inlineStr">
        <is>
          <t>.</t>
        </is>
      </c>
      <c r="I54">
        <f>HYPERLINK("https://omim.org/entry/608097", "608097")</f>
        <v/>
      </c>
      <c r="J54" t="inlineStr">
        <is>
          <t>.</t>
        </is>
      </c>
      <c r="K54" t="inlineStr">
        <is>
          <t>.</t>
        </is>
      </c>
      <c r="L54" t="inlineStr">
        <is>
          <t>.</t>
        </is>
      </c>
      <c r="M54" t="inlineStr">
        <is>
          <t>.</t>
        </is>
      </c>
      <c r="N54" t="inlineStr">
        <is>
          <t>.</t>
        </is>
      </c>
      <c r="O54" t="inlineStr">
        <is>
          <t>.</t>
        </is>
      </c>
    </row>
    <row r="55">
      <c r="A55" t="inlineStr">
        <is>
          <t>ARHGAP18</t>
        </is>
      </c>
      <c r="B55" t="inlineStr">
        <is>
          <t>2.45958437535249e-06</t>
        </is>
      </c>
      <c r="C55" t="inlineStr">
        <is>
          <t>Rho GTPase activating protein 18</t>
        </is>
      </c>
      <c r="D55" t="inlineStr">
        <is>
          <t xml:space="preserve">FUNCTION: Rho GTPase activating protein that suppresses F-actin polymerization by inhibiting Rho. Rho GTPase activating proteins act by converting Rho-type GTPases to an inactive GDP-bound state (PubMed:21865595). Plays a key role in tissue tension and 3D tissue shape by regulating cortical actomyosin network formation. Acts downstream of YAP1 and inhibits actin polymerization, which in turn reduces nuclear localization of YAP1 (PubMed:25778702). Regulates cell shape, spreading, and migration (PubMed:21865595). {ECO:0000269|PubMed:21865595, ECO:0000269|PubMed:25778702}.; </t>
        </is>
      </c>
      <c r="E55" t="inlineStr">
        <is>
          <t>.</t>
        </is>
      </c>
      <c r="F55" t="inlineStr">
        <is>
          <t>.</t>
        </is>
      </c>
      <c r="G55" t="inlineStr">
        <is>
          <t>lymphoreticular;ovary;colon;parathyroid;skin;bone marrow;uterus;prostate;whole body;frontal lobe;cochlea;endometrium;larynx;bone;thyroid;testis;unclassifiable (Anatomical System);cartilage;islets of Langerhans;hypothalamus;blood;skeletal muscle;pancreas;lung;epididymis;nasopharynx;placenta;visual apparatus;hippocampus;liver;head and neck;kidney;stomach;thymus;</t>
        </is>
      </c>
      <c r="H55" t="inlineStr">
        <is>
          <t>ciliary ganglion;atrioventricular node;trigeminal ganglion;</t>
        </is>
      </c>
      <c r="I55" t="inlineStr">
        <is>
          <t>.</t>
        </is>
      </c>
      <c r="J55" t="inlineStr">
        <is>
          <t>.</t>
        </is>
      </c>
      <c r="K55" t="inlineStr">
        <is>
          <t>.</t>
        </is>
      </c>
      <c r="L55" t="inlineStr">
        <is>
          <t>.</t>
        </is>
      </c>
      <c r="M55" t="inlineStr">
        <is>
          <t>.</t>
        </is>
      </c>
      <c r="N55" t="inlineStr">
        <is>
          <t>.</t>
        </is>
      </c>
      <c r="O55" t="inlineStr">
        <is>
          <t>.</t>
        </is>
      </c>
    </row>
    <row r="56">
      <c r="A56" t="inlineStr">
        <is>
          <t>ARHGAP21</t>
        </is>
      </c>
      <c r="B56" t="inlineStr">
        <is>
          <t>0.999946673207153</t>
        </is>
      </c>
      <c r="C56" t="inlineStr">
        <is>
          <t>Rho GTPase activating protein 21</t>
        </is>
      </c>
      <c r="D56" t="inlineStr">
        <is>
          <t xml:space="preserve">FUNCTION: Functions as a GTPase-activating protein (GAP) for RHOA and CDC42. Downstream partner of ARF1 which may control Golgi apparatus structure and function. Also required for CTNNA1 recruitment to adherens junctions. {ECO:0000269|PubMed:15793564, ECO:0000269|PubMed:16184169}.; </t>
        </is>
      </c>
      <c r="E56" t="inlineStr">
        <is>
          <t>.</t>
        </is>
      </c>
      <c r="F56" t="inlineStr">
        <is>
          <t xml:space="preserve">TISSUE SPECIFICITY: Widely expressed with higher expression in brain, heart, skeletal muscle and placenta. {ECO:0000269|PubMed:12056806}.; </t>
        </is>
      </c>
      <c r="G56" t="inlineStr">
        <is>
          <t>.</t>
        </is>
      </c>
      <c r="H56" t="inlineStr">
        <is>
          <t>.</t>
        </is>
      </c>
      <c r="I56" t="inlineStr">
        <is>
          <t>.</t>
        </is>
      </c>
      <c r="J56" t="inlineStr">
        <is>
          <t>.</t>
        </is>
      </c>
      <c r="K56" t="inlineStr">
        <is>
          <t>.</t>
        </is>
      </c>
      <c r="L56" t="inlineStr">
        <is>
          <t>.</t>
        </is>
      </c>
      <c r="M56" t="inlineStr">
        <is>
          <t>.</t>
        </is>
      </c>
      <c r="N56" t="inlineStr">
        <is>
          <t>.</t>
        </is>
      </c>
      <c r="O56" t="inlineStr">
        <is>
          <t>.</t>
        </is>
      </c>
    </row>
    <row r="57">
      <c r="A57" t="inlineStr">
        <is>
          <t>ARHGAP31</t>
        </is>
      </c>
      <c r="B57" t="inlineStr">
        <is>
          <t>0.999634465686628</t>
        </is>
      </c>
      <c r="C57" t="inlineStr">
        <is>
          <t>Rho GTPase activating protein 31</t>
        </is>
      </c>
      <c r="D57" t="inlineStr">
        <is>
          <t xml:space="preserve">FUNCTION: Functions as a GTPase-activating protein (GAP) for RAC1 and CDC42. Required for cell spreading, polarized lamellipodia formation and cell migration. {ECO:0000269|PubMed:12192056, ECO:0000269|PubMed:16519628}.; </t>
        </is>
      </c>
      <c r="E57" t="inlineStr">
        <is>
          <t xml:space="preserve">DISEASE: Adams-Oliver syndrome 1 (AOS1) [MIM:100300]: A disorder characterized by the congenital absence of skin (aplasia cutis congenita) in combination with transverse limb defects. Aplasia cutis congenita can be located anywhere on the body, but in the vast majority of the cases, it is present on the posterior parietal region where it is often associated with an underlying defect of the parietal bones. Limb abnormalities are typically limb truncation defects affecting the distal phalanges or entire digits (true ectrodactyly). Only rarely, metatarsals/metacarpals or more proximal limb structures are also affected. Apart from transverse limb defects, syndactyly, most commonly of second and third toes, can also be observed. The clinical features are highly variable and can also include cardiovascular malformations, brain abnormalities and vascular defects such as cutis marmorata and dilated scalp veins. {ECO:0000269|PubMed:21565291}. Note=The disease is caused by mutations affecting the gene represented in this entry.; </t>
        </is>
      </c>
      <c r="F57" t="inlineStr">
        <is>
          <t>.</t>
        </is>
      </c>
      <c r="G57" t="inlineStr">
        <is>
          <t>smooth muscle;sympathetic chain;developmental;fovea centralis;choroid;skin;retina;uterus;optic nerve;whole body;testis;amniotic fluid;germinal center;spinal ganglion;brain;unclassifiable (Anatomical System);heart;cartilage;tongue;islets of Langerhans;hypothalamus;pharynx;lens;skeletal muscle;lung;placenta;macula lutea;visual apparatus;liver;kidney;mammary gland;</t>
        </is>
      </c>
      <c r="H57" t="inlineStr">
        <is>
          <t>superior cervical ganglion;ciliary ganglion;atrioventricular node;trigeminal ganglion;</t>
        </is>
      </c>
      <c r="I57">
        <f>HYPERLINK("https://omim.org/entry/100300", "100300")</f>
        <v/>
      </c>
      <c r="J57" t="inlineStr">
        <is>
          <t>.</t>
        </is>
      </c>
      <c r="K57" t="inlineStr">
        <is>
          <t>.</t>
        </is>
      </c>
      <c r="L57" t="inlineStr">
        <is>
          <t>.</t>
        </is>
      </c>
      <c r="M57" t="inlineStr">
        <is>
          <t>.</t>
        </is>
      </c>
      <c r="N57" t="inlineStr">
        <is>
          <t>.</t>
        </is>
      </c>
      <c r="O57" t="inlineStr">
        <is>
          <t>.</t>
        </is>
      </c>
    </row>
    <row r="58">
      <c r="A58" t="inlineStr">
        <is>
          <t>ARHGEF25</t>
        </is>
      </c>
      <c r="B58" t="inlineStr">
        <is>
          <t>5.17606707704438e-06</t>
        </is>
      </c>
      <c r="C58" t="inlineStr">
        <is>
          <t>Rho guanine nucleotide exchange factor 25</t>
        </is>
      </c>
      <c r="D58" t="inlineStr">
        <is>
          <t xml:space="preserve">FUNCTION: May play a role in actin cytoskeleton reorganization in different tissues since its activation induces formation of actin stress fibers. It works as a guanine nucleotide exchange factor for Rho family of small GTPases. Links specifically G alpha q/11- coupled receptors to RHOA activation. May be an important regulator of processes involved in axon and dendrite formation. In neurons seems to be an exchange factor primarily for RAC1. Involved in skeletal myogenesis (By similarity). {ECO:0000250, ECO:0000269|PubMed:11861769, ECO:0000269|PubMed:12547822, ECO:0000269|PubMed:15069594, ECO:0000269|PubMed:15632174, ECO:0000269|PubMed:16314529, ECO:0000269|PubMed:17606614}.; </t>
        </is>
      </c>
      <c r="E58" t="inlineStr">
        <is>
          <t>.</t>
        </is>
      </c>
      <c r="F58" t="inlineStr">
        <is>
          <t xml:space="preserve">TISSUE SPECIFICITY: Isoform 1 and isoform 2 are highly expressed in excitable tissues, such as brain, heart and muscle. Also detected in kidney and liver. {ECO:0000269|PubMed:11861769, ECO:0000269|PubMed:12547822, ECO:0000269|PubMed:15069594}.; </t>
        </is>
      </c>
      <c r="G58" t="inlineStr">
        <is>
          <t>colon;choroid;fovea centralis;skin;retina;uterus;prostate;optic nerve;whole body;frontal lobe;bone;pituitary gland;testis;brain;spinal ganglion;unclassifiable (Anatomical System);heart;lacrimal gland;islets of Langerhans;lens;lung;placenta;macula lutea;stomach;cerebellum;</t>
        </is>
      </c>
      <c r="H58" t="inlineStr">
        <is>
          <t>.</t>
        </is>
      </c>
      <c r="I58" t="inlineStr">
        <is>
          <t>.</t>
        </is>
      </c>
      <c r="J58" t="inlineStr">
        <is>
          <t>.</t>
        </is>
      </c>
      <c r="K58" t="inlineStr">
        <is>
          <t>.</t>
        </is>
      </c>
      <c r="L58" t="inlineStr">
        <is>
          <t>.</t>
        </is>
      </c>
      <c r="M58" t="inlineStr">
        <is>
          <t>.</t>
        </is>
      </c>
      <c r="N58" t="inlineStr">
        <is>
          <t>.</t>
        </is>
      </c>
      <c r="O58" t="inlineStr">
        <is>
          <t>.</t>
        </is>
      </c>
    </row>
    <row r="59">
      <c r="A59" t="inlineStr">
        <is>
          <t>ARHGEF28</t>
        </is>
      </c>
      <c r="B59" t="inlineStr">
        <is>
          <t>1.82695073178584e-10</t>
        </is>
      </c>
      <c r="C59" t="inlineStr">
        <is>
          <t>Rho guanine nucleotide exchange factor 28</t>
        </is>
      </c>
      <c r="D59" t="inlineStr">
        <is>
          <t xml:space="preserve">FUNCTION: Functions as a RHOA-specific guanine nucleotide exchange factor regulating signaling pathways downstream of integrins and growth factor receptors. Functions in axonal branching, synapse formation and dendritic morphogenesis. Functions also in focal adhesion formation, cell motility and B-lymphocytes activation. May regulate NEFL expression and aggregation and play a role in apoptosis (By similarity). {ECO:0000250}.; </t>
        </is>
      </c>
      <c r="E59" t="inlineStr">
        <is>
          <t>.</t>
        </is>
      </c>
      <c r="F59" t="inlineStr">
        <is>
          <t>.</t>
        </is>
      </c>
      <c r="G59" t="inlineStr">
        <is>
          <t>.</t>
        </is>
      </c>
      <c r="H59" t="inlineStr">
        <is>
          <t>.</t>
        </is>
      </c>
      <c r="I59" t="inlineStr">
        <is>
          <t>.</t>
        </is>
      </c>
      <c r="J59" t="inlineStr">
        <is>
          <t>.</t>
        </is>
      </c>
      <c r="K59" t="inlineStr">
        <is>
          <t>.</t>
        </is>
      </c>
      <c r="L59" t="inlineStr">
        <is>
          <t>.</t>
        </is>
      </c>
      <c r="M59" t="inlineStr">
        <is>
          <t>.</t>
        </is>
      </c>
      <c r="N59" t="inlineStr">
        <is>
          <t>.</t>
        </is>
      </c>
      <c r="O59" t="inlineStr">
        <is>
          <t>.</t>
        </is>
      </c>
    </row>
    <row r="60">
      <c r="A60" t="inlineStr">
        <is>
          <t>ARHGEF40</t>
        </is>
      </c>
      <c r="B60" t="inlineStr">
        <is>
          <t>7.1856790203222e-05</t>
        </is>
      </c>
      <c r="C60" t="inlineStr">
        <is>
          <t>Rho guanine nucleotide exchange factor 40</t>
        </is>
      </c>
      <c r="D60" t="inlineStr">
        <is>
          <t xml:space="preserve">FUNCTION: May act as a guanine nucleotide exchange factor (GEF). {ECO:0000250}.; </t>
        </is>
      </c>
      <c r="E60" t="inlineStr">
        <is>
          <t>.</t>
        </is>
      </c>
      <c r="F60" t="inlineStr">
        <is>
          <t xml:space="preserve">TISSUE SPECIFICITY: Expressed at higher level in the central nervous system and skeletal muscle and greater abundance in fetal than adult brain (at protein level). {ECO:0000269|PubMed:16143467}.; </t>
        </is>
      </c>
      <c r="G60" t="inlineStr">
        <is>
          <t>ovary;colon;parathyroid;fovea centralis;choroid;skin;retina;uterus;prostate;optic nerve;whole body;frontal lobe;endometrium;thyroid;bone;testis;brain;gall bladder;unclassifiable (Anatomical System);heart;cartilage;lacrimal gland;islets of Langerhans;muscle;lens;bile duct;pancreas;lung;placenta;macula lutea;visual apparatus;liver;spleen;kidney;mammary gland;</t>
        </is>
      </c>
      <c r="H60" t="inlineStr">
        <is>
          <t>superior cervical ganglion;trigeminal ganglion;</t>
        </is>
      </c>
      <c r="I60" t="inlineStr">
        <is>
          <t>.</t>
        </is>
      </c>
      <c r="J60" t="inlineStr">
        <is>
          <t>.</t>
        </is>
      </c>
      <c r="K60" t="inlineStr">
        <is>
          <t>.</t>
        </is>
      </c>
      <c r="L60" t="inlineStr">
        <is>
          <t>.</t>
        </is>
      </c>
      <c r="M60" t="inlineStr">
        <is>
          <t>.</t>
        </is>
      </c>
      <c r="N60" t="inlineStr">
        <is>
          <t>.</t>
        </is>
      </c>
      <c r="O60" t="inlineStr">
        <is>
          <t>.</t>
        </is>
      </c>
    </row>
    <row r="61">
      <c r="A61" t="inlineStr">
        <is>
          <t>ARL10</t>
        </is>
      </c>
      <c r="B61" t="inlineStr">
        <is>
          <t>4.90395449664771e-05</t>
        </is>
      </c>
      <c r="C61" t="inlineStr">
        <is>
          <t>ADP ribosylation factor like GTPase 10</t>
        </is>
      </c>
      <c r="D61" t="inlineStr">
        <is>
          <t>.</t>
        </is>
      </c>
      <c r="E61" t="inlineStr">
        <is>
          <t>.</t>
        </is>
      </c>
      <c r="F61" t="inlineStr">
        <is>
          <t>.</t>
        </is>
      </c>
      <c r="G61" t="inlineStr">
        <is>
          <t>lung;whole body;ovary;placenta;visual apparatus;testis;parathyroid;</t>
        </is>
      </c>
      <c r="H61" t="inlineStr">
        <is>
          <t>.</t>
        </is>
      </c>
      <c r="I61" t="inlineStr">
        <is>
          <t>.</t>
        </is>
      </c>
      <c r="J61" t="inlineStr">
        <is>
          <t>.</t>
        </is>
      </c>
      <c r="K61" t="inlineStr">
        <is>
          <t>.</t>
        </is>
      </c>
      <c r="L61" t="inlineStr">
        <is>
          <t>.</t>
        </is>
      </c>
      <c r="M61" t="inlineStr">
        <is>
          <t>.</t>
        </is>
      </c>
      <c r="N61" t="inlineStr">
        <is>
          <t>.</t>
        </is>
      </c>
      <c r="O61" t="inlineStr">
        <is>
          <t>.</t>
        </is>
      </c>
    </row>
    <row r="62">
      <c r="A62" t="inlineStr">
        <is>
          <t>ARL8A</t>
        </is>
      </c>
      <c r="B62" t="inlineStr">
        <is>
          <t>0.630040288339089</t>
        </is>
      </c>
      <c r="C62" t="inlineStr">
        <is>
          <t>ADP ribosylation factor like GTPase 8A</t>
        </is>
      </c>
      <c r="D62" t="inlineStr">
        <is>
          <t xml:space="preserve">FUNCTION: May play a role in lysosomes motility. Alternatively, may play a role in chromosome segregation (By similarity). {ECO:0000250}.; </t>
        </is>
      </c>
      <c r="E62" t="inlineStr">
        <is>
          <t>.</t>
        </is>
      </c>
      <c r="F62" t="inlineStr">
        <is>
          <t xml:space="preserve">TISSUE SPECIFICITY: Ubiquitously expressed. {ECO:0000269|PubMed:15331635}.; </t>
        </is>
      </c>
      <c r="G62" t="inlineStr">
        <is>
          <t>ovary;salivary gland;colon;skin;uterus;prostate;optic nerve;whole body;frontal lobe;oesophagus;endometrium;testis;germinal center;brain;unclassifiable (Anatomical System);heart;cartilage;islets of Langerhans;hypothalamus;blood;lens;breast;pancreas;lung;placenta;visual apparatus;hippocampus;liver;cervix;kidney;mammary gland;stomach;</t>
        </is>
      </c>
      <c r="H62" t="inlineStr">
        <is>
          <t>whole brain;amygdala;</t>
        </is>
      </c>
      <c r="I62" t="inlineStr">
        <is>
          <t>.</t>
        </is>
      </c>
      <c r="J62" t="inlineStr">
        <is>
          <t>.</t>
        </is>
      </c>
      <c r="K62" t="inlineStr">
        <is>
          <t>.</t>
        </is>
      </c>
      <c r="L62" t="inlineStr">
        <is>
          <t>.</t>
        </is>
      </c>
      <c r="M62" t="inlineStr">
        <is>
          <t>.</t>
        </is>
      </c>
      <c r="N62" t="inlineStr">
        <is>
          <t>.</t>
        </is>
      </c>
      <c r="O62" t="inlineStr">
        <is>
          <t>.</t>
        </is>
      </c>
    </row>
    <row r="63">
      <c r="A63" t="inlineStr">
        <is>
          <t>ARMC2</t>
        </is>
      </c>
      <c r="B63" t="inlineStr">
        <is>
          <t>2.20161046716889e-08</t>
        </is>
      </c>
      <c r="C63" t="inlineStr">
        <is>
          <t>armadillo repeat containing 2</t>
        </is>
      </c>
      <c r="D63" t="inlineStr">
        <is>
          <t>.</t>
        </is>
      </c>
      <c r="E63" t="inlineStr">
        <is>
          <t>.</t>
        </is>
      </c>
      <c r="F63" t="inlineStr">
        <is>
          <t>.</t>
        </is>
      </c>
      <c r="G63" t="inlineStr">
        <is>
          <t>unclassifiable (Anatomical System);medulla oblongata;lung;frontal lobe;endometrium;hypothalamus;testis;kidney;brain;</t>
        </is>
      </c>
      <c r="H63" t="inlineStr">
        <is>
          <t>superior cervical ganglion;subthalamic nucleus;testis - interstitial;testis - seminiferous tubule;globus pallidus;testis;ciliary ganglion;trigeminal ganglion;</t>
        </is>
      </c>
      <c r="I63" t="inlineStr">
        <is>
          <t>.</t>
        </is>
      </c>
      <c r="J63" t="inlineStr">
        <is>
          <t>.</t>
        </is>
      </c>
      <c r="K63" t="inlineStr">
        <is>
          <t>.</t>
        </is>
      </c>
      <c r="L63" t="inlineStr">
        <is>
          <t>.</t>
        </is>
      </c>
      <c r="M63" t="inlineStr">
        <is>
          <t>.</t>
        </is>
      </c>
      <c r="N63" t="inlineStr">
        <is>
          <t>.</t>
        </is>
      </c>
      <c r="O63" t="inlineStr">
        <is>
          <t>.</t>
        </is>
      </c>
    </row>
    <row r="64">
      <c r="A64" t="inlineStr">
        <is>
          <t>ARPC4-TTLL3</t>
        </is>
      </c>
      <c r="B64" t="inlineStr">
        <is>
          <t>1.37468731036407e-12</t>
        </is>
      </c>
      <c r="C64" t="inlineStr">
        <is>
          <t>ARPC4-TTLL3 readthrough</t>
        </is>
      </c>
      <c r="D64" t="inlineStr">
        <is>
          <t>.</t>
        </is>
      </c>
      <c r="E64" t="inlineStr">
        <is>
          <t>.</t>
        </is>
      </c>
      <c r="F64" t="inlineStr">
        <is>
          <t>.</t>
        </is>
      </c>
      <c r="G64" t="inlineStr">
        <is>
          <t>.</t>
        </is>
      </c>
      <c r="H64" t="inlineStr">
        <is>
          <t>.</t>
        </is>
      </c>
      <c r="I64" t="inlineStr">
        <is>
          <t>.</t>
        </is>
      </c>
      <c r="J64" t="inlineStr">
        <is>
          <t>.</t>
        </is>
      </c>
      <c r="K64" t="inlineStr">
        <is>
          <t>.</t>
        </is>
      </c>
      <c r="L64" t="inlineStr">
        <is>
          <t>.</t>
        </is>
      </c>
      <c r="M64" t="inlineStr">
        <is>
          <t>.</t>
        </is>
      </c>
      <c r="N64" t="inlineStr">
        <is>
          <t>.</t>
        </is>
      </c>
      <c r="O64" t="inlineStr">
        <is>
          <t>.</t>
        </is>
      </c>
    </row>
    <row r="65">
      <c r="A65" t="inlineStr">
        <is>
          <t>ASB18</t>
        </is>
      </c>
      <c r="B65" t="inlineStr">
        <is>
          <t>0.00457337421001374</t>
        </is>
      </c>
      <c r="C65" t="inlineStr">
        <is>
          <t>ankyrin repeat and SOCS box containing 18</t>
        </is>
      </c>
      <c r="D65" t="inlineStr">
        <is>
          <t xml:space="preserve">FUNCTION: May be a substrate-recognition component of a SCF-like ECS (Elongin-Cullin-SOCS-box protein) E3 ubiquitin-protein ligase complex which mediates the ubiquitination and subsequent proteasomal degradation of target proteins. {ECO:0000250}.; </t>
        </is>
      </c>
      <c r="E65" t="inlineStr">
        <is>
          <t>.</t>
        </is>
      </c>
      <c r="F65" t="inlineStr">
        <is>
          <t>.</t>
        </is>
      </c>
      <c r="G65" t="inlineStr">
        <is>
          <t>.</t>
        </is>
      </c>
      <c r="H65" t="inlineStr">
        <is>
          <t>.</t>
        </is>
      </c>
      <c r="I65" t="inlineStr">
        <is>
          <t>.</t>
        </is>
      </c>
      <c r="J65" t="inlineStr">
        <is>
          <t>.</t>
        </is>
      </c>
      <c r="K65" t="inlineStr">
        <is>
          <t>.</t>
        </is>
      </c>
      <c r="L65" t="inlineStr">
        <is>
          <t>.</t>
        </is>
      </c>
      <c r="M65" t="inlineStr">
        <is>
          <t>.</t>
        </is>
      </c>
      <c r="N65" t="inlineStr">
        <is>
          <t>.</t>
        </is>
      </c>
      <c r="O65" t="inlineStr">
        <is>
          <t>.</t>
        </is>
      </c>
    </row>
    <row r="66">
      <c r="A66" t="inlineStr">
        <is>
          <t>ASL</t>
        </is>
      </c>
      <c r="B66" t="inlineStr">
        <is>
          <t>3.8494991468686e-08</t>
        </is>
      </c>
      <c r="C66" t="inlineStr">
        <is>
          <t>argininosuccinate lyase</t>
        </is>
      </c>
      <c r="D66" t="inlineStr">
        <is>
          <t>.</t>
        </is>
      </c>
      <c r="E66" t="inlineStr">
        <is>
          <t xml:space="preserve">DISEASE: Argininosuccinic aciduria (ARGINSA) [MIM:207900]: An autosomal recessive disorder of the urea cycle. The disease is characterized by mental and physical retardation, liver enlargement, skin lesions, dry and brittle hair showing trichorrhexis nodosa microscopically and fluorescing red, convulsions, and episodic unconsciousness. {ECO:0000269|PubMed:12408190, ECO:0000269|PubMed:1705937, ECO:0000269|PubMed:17326097, ECO:0000269|PubMed:2263616, ECO:0000269|PubMed:24166829}. Note=The disease is caused by mutations affecting the gene represented in this entry.; </t>
        </is>
      </c>
      <c r="F66" t="inlineStr">
        <is>
          <t>.</t>
        </is>
      </c>
      <c r="G66" t="inlineStr">
        <is>
          <t>ovary;salivary gland;colon;skin;retina;bone marrow;prostate;frontal lobe;bone;iris;testis;brain;unclassifiable (Anatomical System);lymph node;heart;islets of Langerhans;adrenal cortex;blood;lens;skeletal muscle;breast;pancreas;lung;placenta;liver;spleen;cervix;kidney;stomach;</t>
        </is>
      </c>
      <c r="H66" t="inlineStr">
        <is>
          <t>liver;kidney;</t>
        </is>
      </c>
      <c r="I66">
        <f>HYPERLINK("https://omim.org/entry/207900", "207900")</f>
        <v/>
      </c>
      <c r="J66" t="inlineStr">
        <is>
          <t>.</t>
        </is>
      </c>
      <c r="K66" t="inlineStr">
        <is>
          <t>.</t>
        </is>
      </c>
      <c r="L66" t="inlineStr">
        <is>
          <t>.</t>
        </is>
      </c>
      <c r="M66" t="inlineStr">
        <is>
          <t>.</t>
        </is>
      </c>
      <c r="N66" t="inlineStr">
        <is>
          <t>.</t>
        </is>
      </c>
      <c r="O66" t="inlineStr">
        <is>
          <t>.</t>
        </is>
      </c>
    </row>
    <row r="67">
      <c r="A67" t="inlineStr">
        <is>
          <t>ASPM</t>
        </is>
      </c>
      <c r="B67" t="inlineStr">
        <is>
          <t>6.16438991946625e-26</t>
        </is>
      </c>
      <c r="C67" t="inlineStr">
        <is>
          <t>abnormal spindle microtubule assembly</t>
        </is>
      </c>
      <c r="D67" t="inlineStr">
        <is>
          <t xml:space="preserve">FUNCTION: Probable role in mitotic spindle regulation and coordination of mitotic processes. May have a preferential role in regulating neurogenesis. {ECO:0000269|PubMed:12355089, ECO:0000269|PubMed:15972725}.; </t>
        </is>
      </c>
      <c r="E67" t="inlineStr">
        <is>
          <t xml:space="preserve">DISEASE: Microcephaly 5, primary, autosomal recessive (MCPH5) [MIM:608716]: A disease defined as a head circumference more than 3 standard deviations below the age-related mean. Brain weight is markedly reduced and the cerebral cortex is disproportionately small. Despite this marked reduction in size, the gyral pattern is relatively well preserved, with no major abnormality in cortical architecture. Affected individuals are mentally retarded. Primary microcephaly is further defined by the absence of other syndromic features or significant neurological deficits due to degenerative brain disorder. {ECO:0000269|PubMed:12355089, ECO:0000269|PubMed:14574646, ECO:0000269|PubMed:16673149, ECO:0000269|PubMed:22989186}. Note=The disease is caused by mutations affecting the gene represented in this entry.; </t>
        </is>
      </c>
      <c r="F67" t="inlineStr">
        <is>
          <t>.</t>
        </is>
      </c>
      <c r="G67" t="inlineStr">
        <is>
          <t>unclassifiable (Anatomical System);lymph node;cartilage;heart;colon;skin;skeletal muscle;uterus;prostate;whole body;lung;endometrium;bone;placenta;visual apparatus;duodenum;liver;testis;germinal center;kidney;brain;thymus;</t>
        </is>
      </c>
      <c r="H67" t="inlineStr">
        <is>
          <t>testis - interstitial;superior cervical ganglion;fetal liver;testis - seminiferous tubule;tumor;atrioventricular node;</t>
        </is>
      </c>
      <c r="I67">
        <f>HYPERLINK("https://omim.org/entry/608716", "608716")</f>
        <v/>
      </c>
      <c r="J67" t="inlineStr">
        <is>
          <t>.</t>
        </is>
      </c>
      <c r="K67" t="inlineStr">
        <is>
          <t>.</t>
        </is>
      </c>
      <c r="L67" t="inlineStr">
        <is>
          <t>.</t>
        </is>
      </c>
      <c r="M67" t="inlineStr">
        <is>
          <t>.</t>
        </is>
      </c>
      <c r="N67" t="inlineStr">
        <is>
          <t>.</t>
        </is>
      </c>
      <c r="O67" t="inlineStr">
        <is>
          <t>.</t>
        </is>
      </c>
    </row>
    <row r="68">
      <c r="A68" t="inlineStr">
        <is>
          <t>ASXL1</t>
        </is>
      </c>
      <c r="B68" t="inlineStr">
        <is>
          <t>1.37370457058834e-18</t>
        </is>
      </c>
      <c r="C68" t="inlineStr">
        <is>
          <t>additional sex combs like 1, transcriptional regulator</t>
        </is>
      </c>
      <c r="D68" t="inlineStr">
        <is>
          <t xml:space="preserve">FUNCTION: Probable Polycomb group (PcG) protein involved in transcriptional regulation mediated by ligand-bound nuclear hormone receptors, such as retinoic acid receptors (RARs) and peroxisome proliferator-activated receptor gamma (PPARG). Acts as coactivator of RARA and RXRA through association with NCOA1. Acts as corepressor through recruitment of KDM1A and CBX5 to target genes in a cell-type specific manner; the function seems to involve differential recruitment of methylated histone H3 to respective promoters. Acts as corepressor for PPARG and suppresses its adipocyte differentiation-inducing activity (By similarity). Non-catalytic component of the PR-DUB complex, a complex that specifically mediates deubiquitination of histone H2A monoubiquitinated at 'Lys-119' (H2AK119ub1). {ECO:0000250, ECO:0000269|PubMed:16606617, ECO:0000269|PubMed:20436459}.; </t>
        </is>
      </c>
      <c r="E68" t="inlineStr">
        <is>
          <t xml:space="preserve">DISEASE: Bohring-Opitz syndrome (BOPS) [MIM:605039]: A syndrome characterized by severe intrauterine growth retardation, poor feeding, profound mental retardation, trigonocephaly, prominent metopic suture, exophthalmos, nevus flammeus of the face, upslanting palpebral fissures, hirsutism, and flexion of the elbows and wrists with deviation of the wrists and metacarpophalangeal joints. {ECO:0000269|PubMed:21706002}. Note=The disease is caused by mutations affecting the gene represented in this entry.; DISEASE: Myelodysplastic syndrome (MDS) [MIM:614286]: A heterogeneous group of closely related clonal hematopoietic disorders. All are characterized by a hypercellular or hypocellular bone marrow with impaired morphology and maturation, dysplasia of the myeloid, megakaryocytic and/or erythroid lineages, and peripheral blood cytopenias resulting from ineffective blood cell production. Included diseases are: refractory anemia (RA), refractory anemia with ringed sideroblasts (RARS), refractory anemia with excess blasts (RAEB), refractory cytopenia with multilineage dysplasia and ringed sideroblasts (RCMD-RS); chronic myelomonocytic leukemia (CMML) is a myelodysplastic/myeloproliferative disease. MDS is considered a premalignant condition in a subgroup of patients that often progresses to acute myeloid leukemia (AML). {ECO:0000269|PubMed:19388938, ECO:0000269|PubMed:20182461}. Note=The disease is caused by mutations affecting the gene represented in this entry.; </t>
        </is>
      </c>
      <c r="F68" t="inlineStr">
        <is>
          <t xml:space="preserve">TISSUE SPECIFICITY: Widely expressed at low level. Expressed in heart, brain, skeletal muscle, placenta, pancreas, spleen, prostate, small intestine, colon, peripheral blood, leukocytes, bone marrow and fetal liver. Highly expressed in testes. {ECO:0000269|PubMed:10231032, ECO:0000269|PubMed:12657473}.; </t>
        </is>
      </c>
      <c r="G68" t="inlineStr">
        <is>
          <t>ovary;skin;bone marrow;retina;prostate;optic nerve;frontal lobe;endometrium;thyroid;germinal center;brain;heart;cartilage;urinary;pharynx;blood;lens;skeletal muscle;breast;macula lutea;visual apparatus;liver;alveolus;spleen;cervix;mammary gland;peripheral nerve;salivary gland;intestine;colon;parathyroid;fovea centralis;choroid;uterus;whole body;larynx;bone;testis;unclassifiable (Anatomical System);lymph node;small intestine;islets of Langerhans;muscle;bile duct;pancreas;lung;cornea;placenta;duodenum;hypopharynx;head and neck;kidney;stomach;</t>
        </is>
      </c>
      <c r="H68" t="inlineStr">
        <is>
          <t>dorsal root ganglion;superior cervical ganglion;testis - interstitial;testis - seminiferous tubule;testis;ciliary ganglion;atrioventricular node;pons;trigeminal ganglion;parietal lobe;skeletal muscle;</t>
        </is>
      </c>
      <c r="I68">
        <f>HYPERLINK("https://omim.org/entry/605039", "605039")</f>
        <v/>
      </c>
      <c r="J68">
        <f>HYPERLINK("https://omim.org/entry/614286", "614286")</f>
        <v/>
      </c>
      <c r="K68" t="inlineStr">
        <is>
          <t>.</t>
        </is>
      </c>
      <c r="L68" t="inlineStr">
        <is>
          <t>.</t>
        </is>
      </c>
      <c r="M68" t="inlineStr">
        <is>
          <t>.</t>
        </is>
      </c>
      <c r="N68" t="inlineStr">
        <is>
          <t>.</t>
        </is>
      </c>
      <c r="O68" t="inlineStr">
        <is>
          <t>.</t>
        </is>
      </c>
    </row>
    <row r="69">
      <c r="A69" t="inlineStr">
        <is>
          <t>ASXL3</t>
        </is>
      </c>
      <c r="B69" t="inlineStr">
        <is>
          <t>0.999977048473461</t>
        </is>
      </c>
      <c r="C69" t="inlineStr">
        <is>
          <t>additional sex combs like 3, transcriptional regulator</t>
        </is>
      </c>
      <c r="D69" t="inlineStr">
        <is>
          <t xml:space="preserve">FUNCTION: Putative Polycomb group (PcG) protein. PcG proteins act by forming multiprotein complexes, which are required to maintain the transcriptionally repressive state of homeotic genes throughout development. PcG proteins are not required to initiate repression, but to maintain it during later stages of development. They probably act via methylation of histones, rendering chromatin heritably changed in its expressibility (By similarity). {ECO:0000250}.; </t>
        </is>
      </c>
      <c r="E69" t="inlineStr">
        <is>
          <t>.</t>
        </is>
      </c>
      <c r="F69" t="inlineStr">
        <is>
          <t xml:space="preserve">TISSUE SPECIFICITY: Expressed in pancreatic islets, testis, neuroblastoma, head and neck tumor. {ECO:0000269|PubMed:15138607}.; </t>
        </is>
      </c>
      <c r="G69" t="inlineStr">
        <is>
          <t>unclassifiable (Anatomical System);prostate;pancreas;lung;islets of Langerhans;testis;cervix;</t>
        </is>
      </c>
      <c r="H69" t="inlineStr">
        <is>
          <t>occipital lobe;temporal lobe;skeletal muscle;cingulate cortex;</t>
        </is>
      </c>
      <c r="I69" t="inlineStr">
        <is>
          <t>.</t>
        </is>
      </c>
      <c r="J69" t="inlineStr">
        <is>
          <t>.</t>
        </is>
      </c>
      <c r="K69" t="inlineStr">
        <is>
          <t>.</t>
        </is>
      </c>
      <c r="L69" t="inlineStr">
        <is>
          <t>.</t>
        </is>
      </c>
      <c r="M69" t="inlineStr">
        <is>
          <t>.</t>
        </is>
      </c>
      <c r="N69" t="inlineStr">
        <is>
          <t>.</t>
        </is>
      </c>
      <c r="O69" t="inlineStr">
        <is>
          <t>.</t>
        </is>
      </c>
    </row>
    <row r="70">
      <c r="A70" t="inlineStr">
        <is>
          <t>ATCAY</t>
        </is>
      </c>
      <c r="B70" t="inlineStr">
        <is>
          <t>0.0874733261874534</t>
        </is>
      </c>
      <c r="C70" t="inlineStr">
        <is>
          <t>ataxia, cerebellar, Cayman type</t>
        </is>
      </c>
      <c r="D70" t="inlineStr">
        <is>
          <t xml:space="preserve">FUNCTION: Functions in the development of neural tissues, particularly the postnatal maturation of the cerebellar cortex. May play a role in neurotransmission through regulation of glutaminase/GLS, an enzyme responsible for the production in neurons of the glutamate neurotransmitter. Alternatively, may regulate the localization of mitochondria within axons and dendrites. {ECO:0000269|PubMed:16899818}.; </t>
        </is>
      </c>
      <c r="E70" t="inlineStr">
        <is>
          <t xml:space="preserve">DISEASE: Cerebellar ataxia, cayman type (ATCAY) [MIM:601238]: Found in a population isolate on Grand Cayman Island and causes a marked psychomotor retardation and prominent nonprogressive cerebellar dysfunction including nystagmus, intention tremor, dysarthria, and wide-based ataxic gait. Hypotonia is present from early childhood. {ECO:0000269|PubMed:14556008}. Note=The disease is caused by mutations affecting the gene represented in this entry.; </t>
        </is>
      </c>
      <c r="F70" t="inlineStr">
        <is>
          <t>.</t>
        </is>
      </c>
      <c r="G70" t="inlineStr">
        <is>
          <t>unclassifiable (Anatomical System);frontal lobe;colon;brain;mammary gland;skeletal muscle;</t>
        </is>
      </c>
      <c r="H70" t="inlineStr">
        <is>
          <t>dorsal root ganglion;whole brain;superior cervical ganglion;globus pallidus;pons;parietal lobe;skeletal muscle;cerebellum;</t>
        </is>
      </c>
      <c r="I70">
        <f>HYPERLINK("https://omim.org/entry/601238", "601238")</f>
        <v/>
      </c>
      <c r="J70" t="inlineStr">
        <is>
          <t>.</t>
        </is>
      </c>
      <c r="K70" t="inlineStr">
        <is>
          <t>.</t>
        </is>
      </c>
      <c r="L70" t="inlineStr">
        <is>
          <t>.</t>
        </is>
      </c>
      <c r="M70" t="inlineStr">
        <is>
          <t>.</t>
        </is>
      </c>
      <c r="N70" t="inlineStr">
        <is>
          <t>.</t>
        </is>
      </c>
      <c r="O70" t="inlineStr">
        <is>
          <t>.</t>
        </is>
      </c>
    </row>
    <row r="71">
      <c r="A71" t="inlineStr">
        <is>
          <t>ATF3</t>
        </is>
      </c>
      <c r="B71" t="inlineStr">
        <is>
          <t>0.276113481429884</t>
        </is>
      </c>
      <c r="C71" t="inlineStr">
        <is>
          <t>activating transcription factor 3</t>
        </is>
      </c>
      <c r="D71" t="inlineStr">
        <is>
          <t xml:space="preserve">FUNCTION: This protein binds the cAMP response element (CRE) (consensus: 5'-GTGACGT[AC][AG]-3'), a sequence present in many viral and cellular promoters. Represses transcription from promoters with ATF sites. It may repress transcription by stabilizing the binding of inhibitory cofactors at the promoter. Isoform 2 activates transcription presumably by sequestering inhibitory cofactors away from the promoters.; </t>
        </is>
      </c>
      <c r="E71" t="inlineStr">
        <is>
          <t>.</t>
        </is>
      </c>
      <c r="F71" t="inlineStr">
        <is>
          <t>.</t>
        </is>
      </c>
      <c r="G71" t="inlineStr">
        <is>
          <t>smooth muscle;ovary;sympathetic chain;colon;parathyroid;fovea centralis;skin;retina;bone marrow;uterus;prostate;whole body;frontal lobe;endometrium;bone;thyroid;testis;spinal ganglion;brain;unclassifiable (Anatomical System);lymph node;cartilage;heart;tongue;islets of Langerhans;muscle;blood;breast;pancreas;lung;placenta;macula lutea;visual apparatus;hypopharynx;alveolus;liver;spleen;head and neck;cervix;kidney;mammary gland;aorta;stomach;</t>
        </is>
      </c>
      <c r="H71" t="inlineStr">
        <is>
          <t>superior cervical ganglion;placenta;</t>
        </is>
      </c>
      <c r="I71" t="inlineStr">
        <is>
          <t>.</t>
        </is>
      </c>
      <c r="J71" t="inlineStr">
        <is>
          <t>.</t>
        </is>
      </c>
      <c r="K71" t="inlineStr">
        <is>
          <t>.</t>
        </is>
      </c>
      <c r="L71" t="inlineStr">
        <is>
          <t>.</t>
        </is>
      </c>
      <c r="M71" t="inlineStr">
        <is>
          <t>.</t>
        </is>
      </c>
      <c r="N71" t="inlineStr">
        <is>
          <t>.</t>
        </is>
      </c>
      <c r="O71" t="inlineStr">
        <is>
          <t>.</t>
        </is>
      </c>
    </row>
    <row r="72">
      <c r="A72" t="inlineStr">
        <is>
          <t>ATP13A4</t>
        </is>
      </c>
      <c r="B72" t="inlineStr">
        <is>
          <t>6.07648654021509e-10</t>
        </is>
      </c>
      <c r="C72" t="inlineStr">
        <is>
          <t>ATPase 13A4</t>
        </is>
      </c>
      <c r="D72" t="inlineStr">
        <is>
          <t>.</t>
        </is>
      </c>
      <c r="E72" t="inlineStr">
        <is>
          <t xml:space="preserve">DISEASE: Note=A chromosomal aberration involving ATP13A4 is found in 2 patients with specific language impairment (SLI) disorders. Paracentric inversion inv(3)(q25;q29). The inversion produces a disruption of the protein. {ECO:0000269|PubMed:15925480}.; </t>
        </is>
      </c>
      <c r="F72" t="inlineStr">
        <is>
          <t xml:space="preserve">TISSUE SPECIFICITY: Expressed in heart, placenta, liver, skeletal muscles, and pancreas. Lower levels of expression are also detected in brain, lung and kidney. Weakly expressed in the adult brain. Expression in fetal brain is higher than in adult brain, with levels similar to several other fetal tissues including spleen and skeletal muscle. In adult brain expressed at low levels in all tissues examined, including the temporal lobe and putamen. {ECO:0000269|PubMed:15925480}.; </t>
        </is>
      </c>
      <c r="G72" t="inlineStr">
        <is>
          <t>unclassifiable (Anatomical System);frontal lobe;larynx;thyroid;oral cavity;pituitary gland;head and neck;brain;skeletal muscle;stomach;tonsil;</t>
        </is>
      </c>
      <c r="H72" t="inlineStr">
        <is>
          <t>dorsal root ganglion;superior cervical ganglion;ciliary ganglion;pons;atrioventricular node;trigeminal ganglion;</t>
        </is>
      </c>
      <c r="I72" t="inlineStr">
        <is>
          <t>.</t>
        </is>
      </c>
      <c r="J72" t="inlineStr">
        <is>
          <t>.</t>
        </is>
      </c>
      <c r="K72" t="inlineStr">
        <is>
          <t>.</t>
        </is>
      </c>
      <c r="L72" t="inlineStr">
        <is>
          <t>.</t>
        </is>
      </c>
      <c r="M72" t="inlineStr">
        <is>
          <t>.</t>
        </is>
      </c>
      <c r="N72" t="inlineStr">
        <is>
          <t>.</t>
        </is>
      </c>
      <c r="O72" t="inlineStr">
        <is>
          <t>.</t>
        </is>
      </c>
    </row>
    <row r="73">
      <c r="A73" t="inlineStr">
        <is>
          <t>ATP13A4-AS1</t>
        </is>
      </c>
      <c r="B73" t="inlineStr">
        <is>
          <t>.</t>
        </is>
      </c>
      <c r="C73" t="inlineStr">
        <is>
          <t>ATP13A4 antisense RNA 1</t>
        </is>
      </c>
      <c r="D73" t="inlineStr">
        <is>
          <t>.</t>
        </is>
      </c>
      <c r="E73" t="inlineStr">
        <is>
          <t>.</t>
        </is>
      </c>
      <c r="F73" t="inlineStr">
        <is>
          <t>.</t>
        </is>
      </c>
      <c r="G73" t="inlineStr">
        <is>
          <t>.</t>
        </is>
      </c>
      <c r="H73" t="inlineStr">
        <is>
          <t>.</t>
        </is>
      </c>
      <c r="I73" t="inlineStr">
        <is>
          <t>.</t>
        </is>
      </c>
      <c r="J73" t="inlineStr">
        <is>
          <t>.</t>
        </is>
      </c>
      <c r="K73" t="inlineStr">
        <is>
          <t>.</t>
        </is>
      </c>
      <c r="L73" t="inlineStr">
        <is>
          <t>.</t>
        </is>
      </c>
      <c r="M73" t="inlineStr">
        <is>
          <t>.</t>
        </is>
      </c>
      <c r="N73" t="inlineStr">
        <is>
          <t>.</t>
        </is>
      </c>
      <c r="O73" t="inlineStr">
        <is>
          <t>.</t>
        </is>
      </c>
    </row>
    <row r="74">
      <c r="A74" t="inlineStr">
        <is>
          <t>ATP6V1G2-DDX39B</t>
        </is>
      </c>
      <c r="B74" t="inlineStr">
        <is>
          <t>.</t>
        </is>
      </c>
      <c r="C74" t="inlineStr">
        <is>
          <t>ATP6V1G2-DDX39B readthrough (NMD candidate)</t>
        </is>
      </c>
      <c r="D74" t="inlineStr">
        <is>
          <t>.</t>
        </is>
      </c>
      <c r="E74" t="inlineStr">
        <is>
          <t>.</t>
        </is>
      </c>
      <c r="F74" t="inlineStr">
        <is>
          <t>.</t>
        </is>
      </c>
      <c r="G74" t="inlineStr">
        <is>
          <t>.</t>
        </is>
      </c>
      <c r="H74" t="inlineStr">
        <is>
          <t>.</t>
        </is>
      </c>
      <c r="I74" t="inlineStr">
        <is>
          <t>.</t>
        </is>
      </c>
      <c r="J74" t="inlineStr">
        <is>
          <t>.</t>
        </is>
      </c>
      <c r="K74" t="inlineStr">
        <is>
          <t>.</t>
        </is>
      </c>
      <c r="L74" t="inlineStr">
        <is>
          <t>.</t>
        </is>
      </c>
      <c r="M74" t="inlineStr">
        <is>
          <t>.</t>
        </is>
      </c>
      <c r="N74" t="inlineStr">
        <is>
          <t>.</t>
        </is>
      </c>
      <c r="O74" t="inlineStr">
        <is>
          <t>.</t>
        </is>
      </c>
    </row>
    <row r="75">
      <c r="A75" t="inlineStr">
        <is>
          <t>ATP8A2</t>
        </is>
      </c>
      <c r="B75" t="inlineStr">
        <is>
          <t>0.418077899724509</t>
        </is>
      </c>
      <c r="C75" t="inlineStr">
        <is>
          <t>ATPase phospholipid transporting 8A2</t>
        </is>
      </c>
      <c r="D75" t="inlineStr">
        <is>
          <t xml:space="preserve">FUNCTION: Catalytic component of a P4-ATPase flippase complex which catalyzes the hydrolysis of ATP coupled to the transport of aminophospholipids from the outer to the inner leaflet of various membranes and ensures the maintenance of asymmetric distribution of phospholipids. Phospholipid translocation seems also to be implicated in vesicle formation and in uptake of lipid signaling molecules. Reconstituted to liposomes, the ATP8A2:TMEM30A flippase complex predomiminantly transports phosphatidylserine (PS) and to a lesser extent phosphatidylethanolamine (PE). Proposed to function in the generation and maintenance of phospholipid asymmetry in photoreceptor disk membranes and neuronal axon membranes. May be involved in vesicle trafficking in neuronal cells. Involved in regulation of neurite outgrowth; acting in synergy with TMEM30A. Required for normal visual and auditory function; involved in photoreceptor and inner ear spiral ganglion cell survival.; </t>
        </is>
      </c>
      <c r="E75" t="inlineStr">
        <is>
          <t xml:space="preserve">DISEASE: Note=A chromosomal aberration disrupting ATP8A2 has been found in a patient with severe mental retardation and major hypotonia. Translocation t(10;13)(p12.1;q12.13) (PubMed:20683487). {ECO:0000269|PubMed:20683487}.; </t>
        </is>
      </c>
      <c r="F75" t="inlineStr">
        <is>
          <t xml:space="preserve">TISSUE SPECIFICITY: Strongly expressed in the brain, cerebellum, retina and testis. {ECO:0000269|PubMed:20683487, ECO:0000269|PubMed:22892528}.; </t>
        </is>
      </c>
      <c r="G75" t="inlineStr">
        <is>
          <t>unclassifiable (Anatomical System);optic nerve;lung;macula lutea;pituitary gland;testis;fovea centralis;choroid;lens;brain;retina;</t>
        </is>
      </c>
      <c r="H75" t="inlineStr">
        <is>
          <t>whole brain;amygdala;superior cervical ganglion;medulla oblongata;thalamus;testis - interstitial;occipital lobe;cerebellum peduncles;hypothalamus;temporal lobe;pons;atrioventricular node;skin;subthalamic nucleus;fetal brain;prefrontal cortex;testis;globus pallidus;ciliary ganglion;trigeminal ganglion;parietal lobe;pituitary;cingulate cortex;</t>
        </is>
      </c>
      <c r="I75" t="inlineStr">
        <is>
          <t>.</t>
        </is>
      </c>
      <c r="J75" t="inlineStr">
        <is>
          <t>.</t>
        </is>
      </c>
      <c r="K75" t="inlineStr">
        <is>
          <t>.</t>
        </is>
      </c>
      <c r="L75" t="inlineStr">
        <is>
          <t>.</t>
        </is>
      </c>
      <c r="M75" t="inlineStr">
        <is>
          <t>.</t>
        </is>
      </c>
      <c r="N75" t="inlineStr">
        <is>
          <t>.</t>
        </is>
      </c>
      <c r="O75" t="inlineStr">
        <is>
          <t>.</t>
        </is>
      </c>
    </row>
    <row r="76">
      <c r="A76" t="inlineStr">
        <is>
          <t>ATP8B1</t>
        </is>
      </c>
      <c r="B76" t="inlineStr">
        <is>
          <t>3.6650370597666e-07</t>
        </is>
      </c>
      <c r="C76" t="inlineStr">
        <is>
          <t>ATPase phospholipid transporting 8B1</t>
        </is>
      </c>
      <c r="D76" t="inlineStr">
        <is>
          <t xml:space="preserve">FUNCTION: Catalytic component of a P4-ATPase flippase complex which catalyzes the hydrolysis of ATP coupled to the transport of aminophospholipids from the outer to the inner leaflet of various membranes and ensures the maintenance of asymmetric distribution of phospholipids. Phospholipid translocation seems also to be implicated in vesicle formation and in uptake of lipid signaling molecules. May play a role in asymmetric distribution of phospholipids in the canicular membrane. May have a role in transport of bile acids into the canaliculus, uptake of bile acids from intestinal contents into intestinal mucosa or both. In cooperation with ABCB4 may be involved in establishing integrity of the canalicular membrane thus protecting hepatocytes from bile salts. Together with TMEM30A is involved in uptake of the synthetic drug alkylphospholipid perifosine. Involved in the microvillus formation in polarized epithelial cells; the function seems to be independent from its flippase activity. Required for the preservation of cochlear hair cells in the inner ear. May act as cardiolipin transporter during inflammatory injury. {ECO:0000269|PubMed:17948906, ECO:0000269|PubMed:20510206, ECO:0000269|PubMed:20512993}.; </t>
        </is>
      </c>
      <c r="E76" t="inlineStr">
        <is>
          <t xml:space="preserve">DISEASE: Cholestasis, benign recurrent intrahepatic, 1 (BRIC1) [MIM:243300]: A disorder characterized by intermittent episodes of cholestasis without progression to liver failure. There is initial elevation of serum bile acids, followed by cholestatic jaundice which generally spontaneously resolves after periods of weeks to months. The cholestatic attacks vary in severity and duration. Patients are asymptomatic between episodes, both clinically and biochemically. {ECO:0000269|PubMed:15239083, ECO:0000269|PubMed:9500542, ECO:0000269|PubMed:9918928}. Note=The disease is caused by mutations affecting the gene represented in this entry.; DISEASE: Cholestasis of pregnancy, intrahepatic 1 (ICP1) [MIM:147480]: A liver disorder of pregnancy. It presents during the second or, more commonly, the third trimester of pregnancy with intense pruritus which becomes more severe with advancing gestation and cholestasis. Cholestasis results from abnormal biliary transport from the liver into the small intestine. ICP1 causes fetal distress, spontaneous premature delivery and intrauterine death. ICP1 patients have spontaneous and progressive disappearance of cholestasis after delivery. {ECO:0000269|PubMed:15657619, ECO:0000269|PubMed:15888793}. Note=The disease may be caused by mutations affecting the gene represented in this entry.; </t>
        </is>
      </c>
      <c r="F76" t="inlineStr">
        <is>
          <t xml:space="preserve">TISSUE SPECIFICITY: Found in most tissues except brain and skeletal muscle. Most abundant in pancreas and small intestine.; </t>
        </is>
      </c>
      <c r="G76" t="inlineStr">
        <is>
          <t>unclassifiable (Anatomical System);cartilage;ovary;lacrimal gland;urinary;colon;blood;skeletal muscle;retina;breast;uterus;lung;endometrium;epididymis;bone;thyroid;liver;testis;germinal center;mammary gland;stomach;</t>
        </is>
      </c>
      <c r="H76" t="inlineStr">
        <is>
          <t>superior cervical ganglion;prostate;ciliary ganglion;pons;atrioventricular node;trigeminal ganglion;parietal lobe;</t>
        </is>
      </c>
      <c r="I76">
        <f>HYPERLINK("https://omim.org/entry/243300", "243300")</f>
        <v/>
      </c>
      <c r="J76">
        <f>HYPERLINK("https://omim.org/entry/147480", "147480")</f>
        <v/>
      </c>
      <c r="K76" t="inlineStr">
        <is>
          <t>.</t>
        </is>
      </c>
      <c r="L76" t="inlineStr">
        <is>
          <t>.</t>
        </is>
      </c>
      <c r="M76" t="inlineStr">
        <is>
          <t>.</t>
        </is>
      </c>
      <c r="N76" t="inlineStr">
        <is>
          <t>.</t>
        </is>
      </c>
      <c r="O76" t="inlineStr">
        <is>
          <t>.</t>
        </is>
      </c>
    </row>
    <row r="77">
      <c r="A77" t="inlineStr">
        <is>
          <t>AUTS2</t>
        </is>
      </c>
      <c r="B77" t="inlineStr">
        <is>
          <t>0.996187482008472</t>
        </is>
      </c>
      <c r="C77" t="inlineStr">
        <is>
          <t>autism susceptibility candidate 2</t>
        </is>
      </c>
      <c r="D77" t="inlineStr">
        <is>
          <t>.</t>
        </is>
      </c>
      <c r="E77" t="inlineStr">
        <is>
          <t>.</t>
        </is>
      </c>
      <c r="F77" t="inlineStr">
        <is>
          <t xml:space="preserve">TISSUE SPECIFICITY: Strongly expressed in brain, skeletal muscle and kidney. Also expressed in placenta, lung and leukocytes. {ECO:0000269|PubMed:12160723, ECO:0000269|PubMed:23332918}.; </t>
        </is>
      </c>
      <c r="G77" t="inlineStr">
        <is>
          <t>unclassifiable (Anatomical System);cartilage;islets of Langerhans;colon;skeletal muscle;whole body;nasopharynx;bone;visual apparatus;testis;cervix;amniotic fluid;brain;artery;mammary gland;aorta;</t>
        </is>
      </c>
      <c r="H77" t="inlineStr">
        <is>
          <t>.</t>
        </is>
      </c>
      <c r="I77" t="inlineStr">
        <is>
          <t>.</t>
        </is>
      </c>
      <c r="J77" t="inlineStr">
        <is>
          <t>.</t>
        </is>
      </c>
      <c r="K77" t="inlineStr">
        <is>
          <t>.</t>
        </is>
      </c>
      <c r="L77" t="inlineStr">
        <is>
          <t>.</t>
        </is>
      </c>
      <c r="M77" t="inlineStr">
        <is>
          <t>.</t>
        </is>
      </c>
      <c r="N77" t="inlineStr">
        <is>
          <t>.</t>
        </is>
      </c>
      <c r="O77" t="inlineStr">
        <is>
          <t>.</t>
        </is>
      </c>
    </row>
    <row r="78">
      <c r="A78" t="inlineStr">
        <is>
          <t>BABAM1</t>
        </is>
      </c>
      <c r="B78" t="inlineStr">
        <is>
          <t>0.729375765332217</t>
        </is>
      </c>
      <c r="C78" t="inlineStr">
        <is>
          <t>BRISC and BRCA1 A complex member 1</t>
        </is>
      </c>
      <c r="D78" t="inlineStr">
        <is>
          <t xml:space="preserve">FUNCTION: Component of the BRCA1-A complex, a complex that specifically recognizes 'Lys-63'-linked ubiquitinated histones H2A and H2AX at DNA lesions sites, leading to target the BRCA1-BARD1 heterodimer to sites of DNA damage at double-strand breaks (DSBs). The BRCA1-A complex also possesses deubiquitinase activity that specifically removes 'Lys-63'-linked ubiquitin on histones H2A and H2AX. In the BRCA1-A complex, it is required for the complex integrity and its localization at DSBs. Component of the BRISC complex, a multiprotein complex that specifically cleaves 'Lys- 63'-linked ubiquitin in various substrates (PubMed:24075985, PubMed:26195665). In these 2 complexes, it is probably required to maintain the stability of BRE/BRCC45 and help the 'Lys-63'-linked deubiquitinase activity mediated by BRCC3/BRCC36 component. The BRISC complex is required for normal mitotic spindle assembly and microtubule attachment to kinetochores via its role in deubiquitinating NUMA1 (PubMed:26195665). Plays a role in interferon signaling via its role in the deubiquitination of the interferon receptor IFNAR1; deubiquitination increases IFNAR1 activity by enhancing its stability and cell surface expression (PubMed:24075985). Down-regulates the response to bacterial lipopolysaccharide (LPS) via its role in IFNAR1 deubiquitination (PubMed:24075985). {ECO:0000269|PubMed:19261746, ECO:0000269|PubMed:19261748, ECO:0000269|PubMed:19261749}.; </t>
        </is>
      </c>
      <c r="E78" t="inlineStr">
        <is>
          <t>.</t>
        </is>
      </c>
      <c r="F78" t="inlineStr">
        <is>
          <t>.</t>
        </is>
      </c>
      <c r="G78" t="inlineStr">
        <is>
          <t>ovary;sympathetic chain;colon;parathyroid;fovea centralis;choroid;vein;skin;retina;bone marrow;uterus;prostate;whole body;cerebral cortex;endometrium;oesophagus;larynx;bone;thyroid;testis;germinal center;brain;unclassifiable (Anatomical System);lymph node;cartilage;heart;islets of Langerhans;pineal body;muscle;pharynx;blood;lens;skeletal muscle;bile duct;pancreas;lung;nasopharynx;placenta;macula lutea;visual apparatus;liver;cervix;spleen;head and neck;kidney;mammary gland;aorta;stomach;</t>
        </is>
      </c>
      <c r="H78" t="inlineStr">
        <is>
          <t>whole brain;globus pallidus;</t>
        </is>
      </c>
      <c r="I78" t="inlineStr">
        <is>
          <t>.</t>
        </is>
      </c>
      <c r="J78" t="inlineStr">
        <is>
          <t>.</t>
        </is>
      </c>
      <c r="K78" t="inlineStr">
        <is>
          <t>.</t>
        </is>
      </c>
      <c r="L78" t="inlineStr">
        <is>
          <t>.</t>
        </is>
      </c>
      <c r="M78" t="inlineStr">
        <is>
          <t>.</t>
        </is>
      </c>
      <c r="N78" t="inlineStr">
        <is>
          <t>.</t>
        </is>
      </c>
      <c r="O78" t="inlineStr">
        <is>
          <t>.</t>
        </is>
      </c>
    </row>
    <row r="79">
      <c r="A79" t="inlineStr">
        <is>
          <t>BARX2</t>
        </is>
      </c>
      <c r="B79" t="inlineStr">
        <is>
          <t>0.123464487684471</t>
        </is>
      </c>
      <c r="C79" t="inlineStr">
        <is>
          <t>BARX homeobox 2</t>
        </is>
      </c>
      <c r="D79" t="inlineStr">
        <is>
          <t xml:space="preserve">FUNCTION: Transcription factor. Binds optimally to the DNA consensus sequence 5'-YYTAATGRTTTTY-3'. May control the expression of neural adhesion molecules such as L1 or Ng-CAM during embryonic development of both the central and peripherical nervous system. May be involved in controlling adhesive processes in keratinizing epithelia (By similarity). {ECO:0000250}.; </t>
        </is>
      </c>
      <c r="E79" t="inlineStr">
        <is>
          <t>.</t>
        </is>
      </c>
      <c r="F79" t="inlineStr">
        <is>
          <t xml:space="preserve">TISSUE SPECIFICITY: Highly expressed in adult salivary gland and at much lower levels in mammary gland, kidney and placenta.; </t>
        </is>
      </c>
      <c r="G79" t="inlineStr">
        <is>
          <t>prostate;lacrimal gland;kidney;mammary gland;</t>
        </is>
      </c>
      <c r="H79" t="inlineStr">
        <is>
          <t>superior cervical ganglion;ciliary ganglion;trigeminal ganglion;skeletal muscle;cingulate cortex;skin;</t>
        </is>
      </c>
      <c r="I79" t="inlineStr">
        <is>
          <t>.</t>
        </is>
      </c>
      <c r="J79" t="inlineStr">
        <is>
          <t>.</t>
        </is>
      </c>
      <c r="K79" t="inlineStr">
        <is>
          <t>.</t>
        </is>
      </c>
      <c r="L79" t="inlineStr">
        <is>
          <t>.</t>
        </is>
      </c>
      <c r="M79" t="inlineStr">
        <is>
          <t>.</t>
        </is>
      </c>
      <c r="N79" t="inlineStr">
        <is>
          <t>.</t>
        </is>
      </c>
      <c r="O79" t="inlineStr">
        <is>
          <t>.</t>
        </is>
      </c>
    </row>
    <row r="80">
      <c r="A80" t="inlineStr">
        <is>
          <t>BAZ2B</t>
        </is>
      </c>
      <c r="B80" t="inlineStr">
        <is>
          <t>0.999921440363501</t>
        </is>
      </c>
      <c r="C80" t="inlineStr">
        <is>
          <t>bromodomain adjacent to zinc finger domain 2B</t>
        </is>
      </c>
      <c r="D80" t="inlineStr">
        <is>
          <t xml:space="preserve">FUNCTION: May play a role in transcriptional regulation interacting with ISWI.; </t>
        </is>
      </c>
      <c r="E80" t="inlineStr">
        <is>
          <t>.</t>
        </is>
      </c>
      <c r="F80" t="inlineStr">
        <is>
          <t xml:space="preserve">TISSUE SPECIFICITY: Expressed at varying levels in several tissues, whereas a smaller transcript was expressed specifically in testis.; </t>
        </is>
      </c>
      <c r="G80" t="inlineStr">
        <is>
          <t>lymphoreticular;ovary;colon;parathyroid;fovea centralis;retina;bone marrow;uterus;prostate;whole body;frontal lobe;endometrium;bone;pituitary gland;testis;germinal center;brain;bladder;unclassifiable (Anatomical System);cartilage;heart;lacrimal gland;tongue;islets of Langerhans;hypothalamus;blood;skeletal muscle;breast;lung;nasopharynx;placenta;macula lutea;visual apparatus;hypopharynx;liver;spleen;head and neck;kidney;mammary gland;stomach;</t>
        </is>
      </c>
      <c r="H80" t="inlineStr">
        <is>
          <t>ciliary ganglion;</t>
        </is>
      </c>
      <c r="I80" t="inlineStr">
        <is>
          <t>.</t>
        </is>
      </c>
      <c r="J80" t="inlineStr">
        <is>
          <t>.</t>
        </is>
      </c>
      <c r="K80" t="inlineStr">
        <is>
          <t>.</t>
        </is>
      </c>
      <c r="L80" t="inlineStr">
        <is>
          <t>.</t>
        </is>
      </c>
      <c r="M80" t="inlineStr">
        <is>
          <t>.</t>
        </is>
      </c>
      <c r="N80" t="inlineStr">
        <is>
          <t>.</t>
        </is>
      </c>
      <c r="O80" t="inlineStr">
        <is>
          <t>.</t>
        </is>
      </c>
    </row>
    <row r="81">
      <c r="A81" t="inlineStr">
        <is>
          <t>BCO1</t>
        </is>
      </c>
      <c r="B81" t="inlineStr">
        <is>
          <t>.</t>
        </is>
      </c>
      <c r="C81" t="inlineStr">
        <is>
          <t>beta-carotene oxygenase 1</t>
        </is>
      </c>
      <c r="D81" t="inlineStr">
        <is>
          <t xml:space="preserve">FUNCTION: Symmetrically cleaves beta-carotene into two molecules of retinal using a dioxygenase mechanism. {ECO:0000269|PubMed:24668807}.; </t>
        </is>
      </c>
      <c r="E81" t="inlineStr">
        <is>
          <t xml:space="preserve">DISEASE: Hypercarotenemia and vitamin A deficiency, autosomal dominant (ADHVAD) [MIM:115300]: A disorder characterized by increased serum beta-carotene, decreased conversion of beta- carotene to vitamin A and decreased serum vitamin A. {ECO:0000269|PubMed:17951468}. Note=The disease is caused by mutations affecting the gene represented in this entry.; </t>
        </is>
      </c>
      <c r="F81" t="inlineStr">
        <is>
          <t>.</t>
        </is>
      </c>
      <c r="G81" t="inlineStr">
        <is>
          <t>.</t>
        </is>
      </c>
      <c r="H81" t="inlineStr">
        <is>
          <t>.</t>
        </is>
      </c>
      <c r="I81">
        <f>HYPERLINK("https://omim.org/entry/115300", "115300")</f>
        <v/>
      </c>
      <c r="J81" t="inlineStr">
        <is>
          <t>.</t>
        </is>
      </c>
      <c r="K81" t="inlineStr">
        <is>
          <t>.</t>
        </is>
      </c>
      <c r="L81" t="inlineStr">
        <is>
          <t>.</t>
        </is>
      </c>
      <c r="M81" t="inlineStr">
        <is>
          <t>.</t>
        </is>
      </c>
      <c r="N81" t="inlineStr">
        <is>
          <t>.</t>
        </is>
      </c>
      <c r="O81" t="inlineStr">
        <is>
          <t>.</t>
        </is>
      </c>
    </row>
    <row r="82">
      <c r="A82" t="inlineStr">
        <is>
          <t>BCOR</t>
        </is>
      </c>
      <c r="B82" t="inlineStr">
        <is>
          <t>0.999945621390125</t>
        </is>
      </c>
      <c r="C82" t="inlineStr">
        <is>
          <t>BCL6 corepressor</t>
        </is>
      </c>
      <c r="D82" t="inlineStr">
        <is>
          <t xml:space="preserve">FUNCTION: Transcriptional corepressor. May specifically inhibit gene expression when recruited to promoter regions by sequence- specific DNA-binding proteins such as BCL6 and MLLT3. This repression may be mediated at least in part by histone deacetylase activities which can associate with this corepressor. Involved in the repression of TFAP2A; impairs binding of BCL6 and KDM2B to TFAP2A promoter regions. Via repression of TFAP2A acts as a negative regulator of osteo-dentiogenic capacity in adult stem cells; the function implies inhibition of methylation on histone H3 'Lys-4' (H3K4me3) and 'Lys-36' (H3K36me2). {ECO:0000269|PubMed:10898795, ECO:0000269|PubMed:15004558, ECO:0000269|PubMed:18280243, ECO:0000269|PubMed:19578371, ECO:0000269|PubMed:23911289}.; </t>
        </is>
      </c>
      <c r="E82" t="inlineStr">
        <is>
          <t>.</t>
        </is>
      </c>
      <c r="F82" t="inlineStr">
        <is>
          <t xml:space="preserve">TISSUE SPECIFICITY: Ubiquitously expressed. {ECO:0000269|PubMed:10898795}.; </t>
        </is>
      </c>
      <c r="G82" t="inlineStr">
        <is>
          <t>smooth muscle;colon;retina;bone marrow;uterus;prostate;whole body;cochlea;endometrium;larynx;testis;germinal center;unclassifiable (Anatomical System);lymph node;cartilage;tongue;islets of Langerhans;skeletal muscle;breast;pancreas;lung;placenta;visual apparatus;liver;head and neck;cervix;kidney;mammary gland;stomach;thymus;</t>
        </is>
      </c>
      <c r="H82" t="inlineStr">
        <is>
          <t>dorsal root ganglion;superior cervical ganglion;globus pallidus;atrioventricular node;trigeminal ganglion;skeletal muscle;</t>
        </is>
      </c>
      <c r="I82" t="inlineStr">
        <is>
          <t>.</t>
        </is>
      </c>
      <c r="J82" t="inlineStr">
        <is>
          <t>.</t>
        </is>
      </c>
      <c r="K82" t="inlineStr">
        <is>
          <t>.</t>
        </is>
      </c>
      <c r="L82" t="inlineStr">
        <is>
          <t>.</t>
        </is>
      </c>
      <c r="M82" t="inlineStr">
        <is>
          <t>.</t>
        </is>
      </c>
      <c r="N82" t="inlineStr">
        <is>
          <t>.</t>
        </is>
      </c>
      <c r="O82" t="inlineStr">
        <is>
          <t>.</t>
        </is>
      </c>
    </row>
    <row r="83">
      <c r="A83" t="inlineStr">
        <is>
          <t>BCR</t>
        </is>
      </c>
      <c r="B83" t="inlineStr">
        <is>
          <t>0.999967224797783</t>
        </is>
      </c>
      <c r="C83" t="inlineStr">
        <is>
          <t>breakpoint cluster region</t>
        </is>
      </c>
      <c r="D83" t="inlineStr">
        <is>
          <t xml:space="preserve">FUNCTION: GTPase-activating protein for RAC1 and CDC42. Promotes the exchange of RAC or CDC42-bound GDP by GTP, thereby activating them. Displays serine/threonine kinase activity. {ECO:0000269|PubMed:1657398, ECO:0000269|PubMed:1903516}.; </t>
        </is>
      </c>
      <c r="E83" t="inlineStr">
        <is>
          <t xml:space="preserve">DISEASE: Leukemia, chronic myeloid (CML) [MIM:608232]: A clonal myeloproliferative disorder of a pluripotent stem cell with a specific cytogenetic abnormality, the Philadelphia chromosome (Ph), involving myeloid, erythroid, megakaryocytic, B-lymphoid, and sometimes T-lymphoid cells, but not marrow fibroblasts. {ECO:0000269|PubMed:2407300, ECO:0000269|PubMed:3107980, ECO:0000269|PubMed:3540951}. Note=The gene represented in this entry is involved in disease pathogenesis.; DISEASE: Note=A chromosomal aberration involving BCR has been found in patients with chronic myeloid leukemia. Translocation t(9;22)(q34;q11) with ABL1. The translocation produces a BCR-ABL found also in acute myeloid leukemia (AML) and acute lymphoblastic leukemia (ALL). {ECO:0000269|PubMed:3107980, ECO:0000269|PubMed:7665185}.; </t>
        </is>
      </c>
      <c r="F83" t="inlineStr">
        <is>
          <t>.</t>
        </is>
      </c>
      <c r="G83" t="inlineStr">
        <is>
          <t>ovary;sympathetic chain;skin;bone marrow;retina;prostate;optic nerve;frontal lobe;endometrium;thyroid;iris;germinal center;brain;cartilage;heart;urinary;blood;lens;skeletal muscle;breast;trabecular meshwork;visual apparatus;macula lutea;liver;cervix;spleen;mammary gland;colon;parathyroid;choroid;fovea centralis;uterus;whole body;oesophagus;larynx;bone;pituitary gland;testis;unclassifiable (Anatomical System);lymph node;islets of Langerhans;muscle;pancreas;lung;placenta;head and neck;kidney;stomach;aorta;</t>
        </is>
      </c>
      <c r="H83" t="inlineStr">
        <is>
          <t>amygdala;superior cervical ganglion;medulla oblongata;placenta;globus pallidus;ciliary ganglion;pons;atrioventricular node;caudate nucleus;</t>
        </is>
      </c>
      <c r="I83">
        <f>HYPERLINK("https://omim.org/entry/608232", "608232")</f>
        <v/>
      </c>
      <c r="J83" t="inlineStr">
        <is>
          <t>.</t>
        </is>
      </c>
      <c r="K83" t="inlineStr">
        <is>
          <t>.</t>
        </is>
      </c>
      <c r="L83" t="inlineStr">
        <is>
          <t>.</t>
        </is>
      </c>
      <c r="M83" t="inlineStr">
        <is>
          <t>.</t>
        </is>
      </c>
      <c r="N83" t="inlineStr">
        <is>
          <t>.</t>
        </is>
      </c>
      <c r="O83" t="inlineStr">
        <is>
          <t>.</t>
        </is>
      </c>
    </row>
    <row r="84">
      <c r="A84" t="inlineStr">
        <is>
          <t>BCYRN1</t>
        </is>
      </c>
      <c r="B84" t="inlineStr">
        <is>
          <t>.</t>
        </is>
      </c>
      <c r="C84" t="inlineStr">
        <is>
          <t>brain cytoplasmic RNA 1</t>
        </is>
      </c>
      <c r="D84" t="inlineStr">
        <is>
          <t>.</t>
        </is>
      </c>
      <c r="E84" t="inlineStr">
        <is>
          <t>.</t>
        </is>
      </c>
      <c r="F84" t="inlineStr">
        <is>
          <t>.</t>
        </is>
      </c>
      <c r="G84" t="inlineStr">
        <is>
          <t>.</t>
        </is>
      </c>
      <c r="H84" t="inlineStr">
        <is>
          <t>.</t>
        </is>
      </c>
      <c r="I84" t="inlineStr">
        <is>
          <t>.</t>
        </is>
      </c>
      <c r="J84" t="inlineStr">
        <is>
          <t>.</t>
        </is>
      </c>
      <c r="K84" t="inlineStr">
        <is>
          <t>.</t>
        </is>
      </c>
      <c r="L84" t="inlineStr">
        <is>
          <t>.</t>
        </is>
      </c>
      <c r="M84" t="inlineStr">
        <is>
          <t>.</t>
        </is>
      </c>
      <c r="N84" t="inlineStr">
        <is>
          <t>.</t>
        </is>
      </c>
      <c r="O84" t="inlineStr">
        <is>
          <t>.</t>
        </is>
      </c>
    </row>
    <row r="85">
      <c r="A85" t="inlineStr">
        <is>
          <t>BEAN1</t>
        </is>
      </c>
      <c r="B85" t="inlineStr">
        <is>
          <t>.</t>
        </is>
      </c>
      <c r="C85" t="inlineStr">
        <is>
          <t>brain expressed, associated with NEDD4, 1</t>
        </is>
      </c>
      <c r="D85" t="inlineStr">
        <is>
          <t>.</t>
        </is>
      </c>
      <c r="E85" t="inlineStr">
        <is>
          <t xml:space="preserve">DISEASE: Spinocerebellar ataxia 31 (SCA31) [MIM:117210]: A form of spinocerebellar ataxia, a clinically and genetically heterogeneous group of cerebellar disorders. Patients show progressive incoordination of gait and often poor coordination of hands, speech and eye movements, due to degeneration of the cerebellum with variable involvement of the brainstem and spinal cord. SCA31 belongs to the autosomal dominant cerebellar ataxias type III (ADCA III) which are characterized by pure cerebellar ataxia without additional signs. {ECO:0000269|PubMed:19878914}. Note=The disease is caused by mutations affecting the gene represented in this entry.; </t>
        </is>
      </c>
      <c r="F85" t="inlineStr">
        <is>
          <t>.</t>
        </is>
      </c>
      <c r="G85" t="inlineStr">
        <is>
          <t>unclassifiable (Anatomical System);uterus;lung;tongue;placenta;visual apparatus;liver;testis;spleen;head and neck;brain;thymus;</t>
        </is>
      </c>
      <c r="H85" t="inlineStr">
        <is>
          <t>superior cervical ganglion;globus pallidus;ciliary ganglion;atrioventricular node;trigeminal ganglion;</t>
        </is>
      </c>
      <c r="I85">
        <f>HYPERLINK("https://omim.org/entry/117210", "117210")</f>
        <v/>
      </c>
      <c r="J85" t="inlineStr">
        <is>
          <t>.</t>
        </is>
      </c>
      <c r="K85" t="inlineStr">
        <is>
          <t>.</t>
        </is>
      </c>
      <c r="L85" t="inlineStr">
        <is>
          <t>.</t>
        </is>
      </c>
      <c r="M85" t="inlineStr">
        <is>
          <t>.</t>
        </is>
      </c>
      <c r="N85" t="inlineStr">
        <is>
          <t>.</t>
        </is>
      </c>
      <c r="O85" t="inlineStr">
        <is>
          <t>.</t>
        </is>
      </c>
    </row>
    <row r="86">
      <c r="A86" t="inlineStr">
        <is>
          <t>BEST3</t>
        </is>
      </c>
      <c r="B86" t="inlineStr">
        <is>
          <t>3.69441601591338e-17</t>
        </is>
      </c>
      <c r="C86" t="inlineStr">
        <is>
          <t>bestrophin 3</t>
        </is>
      </c>
      <c r="D86" t="inlineStr">
        <is>
          <t xml:space="preserve">FUNCTION: Forms calcium-sensitive chloride channels. Permeable to bicarbonate. {ECO:0000269|PubMed:12907679}.; </t>
        </is>
      </c>
      <c r="E86" t="inlineStr">
        <is>
          <t>.</t>
        </is>
      </c>
      <c r="F86" t="inlineStr">
        <is>
          <t xml:space="preserve">TISSUE SPECIFICITY: Present in skeletal muscle and weakly in brain, spinal cord, bone marrow and retina. {ECO:0000269|PubMed:12032738}.; </t>
        </is>
      </c>
      <c r="G86" t="inlineStr">
        <is>
          <t>unclassifiable (Anatomical System);lymph node;heart;islets of Langerhans;skin;skeletal muscle;uterus;whole body;lung;larynx;alveolus;liver;head and neck;spleen;brain;peripheral nerve;</t>
        </is>
      </c>
      <c r="H86" t="inlineStr">
        <is>
          <t>dorsal root ganglion;superior cervical ganglion;subthalamic nucleus;testis - seminiferous tubule;ovary;tongue;ciliary ganglion;atrioventricular node;trigeminal ganglion;skin;skeletal muscle;</t>
        </is>
      </c>
      <c r="I86" t="inlineStr">
        <is>
          <t>.</t>
        </is>
      </c>
      <c r="J86" t="inlineStr">
        <is>
          <t>.</t>
        </is>
      </c>
      <c r="K86" t="inlineStr">
        <is>
          <t>.</t>
        </is>
      </c>
      <c r="L86" t="inlineStr">
        <is>
          <t>.</t>
        </is>
      </c>
      <c r="M86" t="inlineStr">
        <is>
          <t>.</t>
        </is>
      </c>
      <c r="N86" t="inlineStr">
        <is>
          <t>.</t>
        </is>
      </c>
      <c r="O86" t="inlineStr">
        <is>
          <t>.</t>
        </is>
      </c>
    </row>
    <row r="87">
      <c r="A87" t="inlineStr">
        <is>
          <t>BHLHE23</t>
        </is>
      </c>
      <c r="B87" t="inlineStr">
        <is>
          <t>0.0601229173842303</t>
        </is>
      </c>
      <c r="C87" t="inlineStr">
        <is>
          <t>basic helix-loop-helix family member e23</t>
        </is>
      </c>
      <c r="D87" t="inlineStr">
        <is>
          <t xml:space="preserve">FUNCTION: May function as transcriptional repressor. May modulate the expression of genes required for the differentiation and/or maintenance of pancreatic and neuronal cell types. May be important for rod bipolar cell maturation (By similarity). {ECO:0000250}.; </t>
        </is>
      </c>
      <c r="E87" t="inlineStr">
        <is>
          <t>.</t>
        </is>
      </c>
      <c r="F87" t="inlineStr">
        <is>
          <t>.</t>
        </is>
      </c>
      <c r="G87" t="inlineStr">
        <is>
          <t>.</t>
        </is>
      </c>
      <c r="H87" t="inlineStr">
        <is>
          <t>.</t>
        </is>
      </c>
      <c r="I87" t="inlineStr">
        <is>
          <t>.</t>
        </is>
      </c>
      <c r="J87" t="inlineStr">
        <is>
          <t>.</t>
        </is>
      </c>
      <c r="K87" t="inlineStr">
        <is>
          <t>.</t>
        </is>
      </c>
      <c r="L87" t="inlineStr">
        <is>
          <t>.</t>
        </is>
      </c>
      <c r="M87" t="inlineStr">
        <is>
          <t>.</t>
        </is>
      </c>
      <c r="N87" t="inlineStr">
        <is>
          <t>.</t>
        </is>
      </c>
      <c r="O87" t="inlineStr">
        <is>
          <t>.</t>
        </is>
      </c>
    </row>
    <row r="88">
      <c r="A88" t="inlineStr">
        <is>
          <t>BIRC6</t>
        </is>
      </c>
      <c r="B88" t="inlineStr">
        <is>
          <t>0.999999999999996</t>
        </is>
      </c>
      <c r="C88" t="inlineStr">
        <is>
          <t>baculoviral IAP repeat containing 6</t>
        </is>
      </c>
      <c r="D88" t="inlineStr">
        <is>
          <t xml:space="preserve">FUNCTION: Anti-apoptotic protein which can regulate cell death by controlling caspases and by acting as an E3 ubiquitin-protein ligase. Has an unusual ubiquitin conjugation system in that it could combine in a single polypeptide, ubiquitin conjugating (E2) with ubiquitin ligase (E3) activity, forming a chimeric E2/E3 ubiquitin ligase. Its tragets include CASP9 and DIABLO/SMAC. Acts as an inhibitor of CASP3, CASP7 and CASP9. Important regulator for the final stages of cytokinesis. Crucial for normal vesicle targeting to the site of abscission, but also for the integrity of the midbody and the midbody ring, and its striking ubiquitin modification. {ECO:0000269|PubMed:14765125, ECO:0000269|PubMed:15200957, ECO:0000269|PubMed:18329369}.; </t>
        </is>
      </c>
      <c r="E88" t="inlineStr">
        <is>
          <t>.</t>
        </is>
      </c>
      <c r="F88" t="inlineStr">
        <is>
          <t xml:space="preserve">TISSUE SPECIFICITY: Expressed in brain cancer cells.; </t>
        </is>
      </c>
      <c r="G88" t="inlineStr">
        <is>
          <t>.</t>
        </is>
      </c>
      <c r="H88" t="inlineStr">
        <is>
          <t>.</t>
        </is>
      </c>
      <c r="I88" t="inlineStr">
        <is>
          <t>.</t>
        </is>
      </c>
      <c r="J88" t="inlineStr">
        <is>
          <t>.</t>
        </is>
      </c>
      <c r="K88" t="inlineStr">
        <is>
          <t>.</t>
        </is>
      </c>
      <c r="L88" t="inlineStr">
        <is>
          <t>.</t>
        </is>
      </c>
      <c r="M88" t="inlineStr">
        <is>
          <t>.</t>
        </is>
      </c>
      <c r="N88" t="inlineStr">
        <is>
          <t>.</t>
        </is>
      </c>
      <c r="O88" t="inlineStr">
        <is>
          <t>.</t>
        </is>
      </c>
    </row>
    <row r="89">
      <c r="A89" t="inlineStr">
        <is>
          <t>BIRC7</t>
        </is>
      </c>
      <c r="B89" t="inlineStr">
        <is>
          <t>0.00380290601773512</t>
        </is>
      </c>
      <c r="C89" t="inlineStr">
        <is>
          <t>baculoviral IAP repeat containing 7</t>
        </is>
      </c>
      <c r="D89" t="inlineStr">
        <is>
          <t xml:space="preserve">FUNCTION: Apoptotic regulator capable of exerting proapoptotic and anti-apoptotic activities and plays crucial roles in apoptosis, cell proliferation, and cell cycle control. Its anti-apoptotic activity is mediated through the inhibition of CASP3, CASP7 and CASP9, as well as by its E3 ubiquitin-protein ligase activity. As it is a weak caspase inhibitor, its anti-apoptotic activity is thought to be due to its ability to ubiquitinate DIABLO/SMAC targeting it for degradation thereby promoting cell survival. May contribute to caspase inhibition, by blocking the ability of DIABLO/SMAC to disrupt XIAP/BIRC4-caspase interactions. Protects against apoptosis induced by TNF or by chemical agents such as adriamycin, etoposide or staurosporine. Suppression of apoptosis is mediated by activation of MAPK8/JNK1, and possibly also of MAPK9/JNK2. This activation depends on TAB1 and NR2C2/TAK1. In vitro, inhibits CASP3 and proteolytic activation of pro-CASP9. Isoform 1 blocks staurosporine-induced apoptosis. Isoform 2 blocks etoposide-induced apoptosis. Isoform 2 protects against natural killer (NK) cell killing whereas isoform 1 augments killing. {ECO:0000269|PubMed:11084335, ECO:0000269|PubMed:16729033, ECO:0000269|PubMed:17294084, ECO:0000269|PubMed:18034418}.; </t>
        </is>
      </c>
      <c r="E89" t="inlineStr">
        <is>
          <t>.</t>
        </is>
      </c>
      <c r="F89" t="inlineStr">
        <is>
          <t xml:space="preserve">TISSUE SPECIFICITY: Isoform 1 and isoform 2 are expressed at very low levels or not detectable in most adult tissues. Detected in adult heart, placenta, lung, lymph node, spleen and ovary, and in several carcinoma cell lines. Isoform 2 is detected in fetal kidney, heart and spleen, and at lower levels in adult brain, skeletal muscle and peripheral blood leukocytes.; </t>
        </is>
      </c>
      <c r="G89" t="inlineStr">
        <is>
          <t>unclassifiable (Anatomical System);lung;optic nerve;trophoblast;macula lutea;liver;fovea centralis;choroid;lens;skin;retina;</t>
        </is>
      </c>
      <c r="H89" t="inlineStr">
        <is>
          <t>dorsal root ganglion;superior cervical ganglion;ciliary ganglion;atrioventricular node;trigeminal ganglion;</t>
        </is>
      </c>
      <c r="I89" t="inlineStr">
        <is>
          <t>.</t>
        </is>
      </c>
      <c r="J89" t="inlineStr">
        <is>
          <t>.</t>
        </is>
      </c>
      <c r="K89" t="inlineStr">
        <is>
          <t>.</t>
        </is>
      </c>
      <c r="L89" t="inlineStr">
        <is>
          <t>.</t>
        </is>
      </c>
      <c r="M89" t="inlineStr">
        <is>
          <t>.</t>
        </is>
      </c>
      <c r="N89" t="inlineStr">
        <is>
          <t>.</t>
        </is>
      </c>
      <c r="O89" t="inlineStr">
        <is>
          <t>.</t>
        </is>
      </c>
    </row>
    <row r="90">
      <c r="A90" t="inlineStr">
        <is>
          <t>BLM</t>
        </is>
      </c>
      <c r="B90" t="inlineStr">
        <is>
          <t>4.13859674040892e-11</t>
        </is>
      </c>
      <c r="C90" t="inlineStr">
        <is>
          <t>Bloom syndrome RecQ like helicase</t>
        </is>
      </c>
      <c r="D90" t="inlineStr">
        <is>
          <t xml:space="preserve">FUNCTION: Participates in DNA replication and repair. Exhibits a magnesium-dependent ATP-dependent DNA-helicase activity that unwinds single- and double-stranded DNA in a 3'-5' direction. Involved in 5'-end resection of DNA during double-strand break (DSB) repair: unwinds DNA and recruits DNA2 which mediates the cleavage of 5'-ssDNA. Negatively regulates sister chromatid exchange (SCE). {ECO:0000269|PubMed:12019152, ECO:0000269|PubMed:21325134, ECO:0000269|PubMed:23509288, ECO:0000269|PubMed:9388193}.; </t>
        </is>
      </c>
      <c r="E90" t="inlineStr">
        <is>
          <t xml:space="preserve">DISEASE: Bloom syndrome (BLM) [MIM:210900]: An autosomal recessive disorder. It is characterized by proportionate pre- and postnatal growth deficiency, sun-sensitive telangiectatic hypo- and hyperpigmented skin, predisposition to malignancy, and chromosomal instability. {ECO:0000269|PubMed:10862105, ECO:0000269|PubMed:7585968, ECO:0000269|PubMed:9285778}. Note=The disease is caused by mutations affecting the gene represented in this entry.; </t>
        </is>
      </c>
      <c r="F90" t="inlineStr">
        <is>
          <t>.</t>
        </is>
      </c>
      <c r="G90" t="inlineStr">
        <is>
          <t>ovary;salivary gland;intestine;colon;skin;uterus;larynx;testis;germinal center;brain;unclassifiable (Anatomical System);lymph node;heart;hypothalamus;pharynx;blood;skeletal muscle;lung;cornea;nasopharynx;placenta;visual apparatus;liver;spleen;head and neck;cervix;kidney;mammary gland;</t>
        </is>
      </c>
      <c r="H90" t="inlineStr">
        <is>
          <t>dorsal root ganglion;superior cervical ganglion;globus pallidus;ciliary ganglion;atrioventricular node;trigeminal ganglion;skeletal muscle;</t>
        </is>
      </c>
      <c r="I90">
        <f>HYPERLINK("https://omim.org/entry/210900", "210900")</f>
        <v/>
      </c>
      <c r="J90" t="inlineStr">
        <is>
          <t>.</t>
        </is>
      </c>
      <c r="K90" t="inlineStr">
        <is>
          <t>.</t>
        </is>
      </c>
      <c r="L90" t="inlineStr">
        <is>
          <t>.</t>
        </is>
      </c>
      <c r="M90" t="inlineStr">
        <is>
          <t>.</t>
        </is>
      </c>
      <c r="N90" t="inlineStr">
        <is>
          <t>.</t>
        </is>
      </c>
      <c r="O90" t="inlineStr">
        <is>
          <t>.</t>
        </is>
      </c>
    </row>
    <row r="91">
      <c r="A91" t="inlineStr">
        <is>
          <t>BRDT</t>
        </is>
      </c>
      <c r="B91" t="inlineStr">
        <is>
          <t>2.47163040334459e-06</t>
        </is>
      </c>
      <c r="C91" t="inlineStr">
        <is>
          <t>bromodomain testis associated</t>
        </is>
      </c>
      <c r="D91" t="inlineStr">
        <is>
          <t xml:space="preserve">FUNCTION: Testis-specific chromatin protein that specifically binds histone H4 acetylated at 'Lys-5' and 'Lys-8' (H4K5ac and H4K8ac, respectively) and plays a key role in spermatogenesis. Required in late pachytene spermatocytes: plays a role in meiotic and post-meiotic cells by binding to acetylated histones at the promoter of specific meiotic and post-meiotic genes, facilitating their activation at the appropriate time. In the post-meiotic phase of spermatogenesis, binds to hyperacetylated histones and participates in their general removal from DNA. Also acts as a component of the splicing machinery in pachytene spermatocytes and round spermatids and participates in 3'-UTR truncation of specific mRNAs in post-meiotic spermatids. Required for chromocenter organization, a structure comprised of peri-centromeric heterochromatin. {ECO:0000269|PubMed:15647849, ECO:0000269|PubMed:22901802, ECO:0000269|PubMed:9367677}.; </t>
        </is>
      </c>
      <c r="E91" t="inlineStr">
        <is>
          <t>.</t>
        </is>
      </c>
      <c r="F91" t="inlineStr">
        <is>
          <t xml:space="preserve">TISSUE SPECIFICITY: Testis-specific. A 3-fold higher expression is seen in adult testis than in embryo testis. Expression seems to be correlated with histone H4 hyperacetylation during the haploid phase of spermatogenesis (spermiogenesis). No expression, or very low expression is seen in patients' testes with abnormal spermatogenesis. Expressed in cancers such as non-small cell lung cancer and squamous cell carcinomas of the head and neck as well as of esophagus, but not in melanoma or in cancers of the colon, breast, kidney and bladder. {ECO:0000269|PubMed:10704737, ECO:0000269|PubMed:15647849, ECO:0000269|PubMed:9367677}.; </t>
        </is>
      </c>
      <c r="G91" t="inlineStr">
        <is>
          <t>unclassifiable (Anatomical System);medulla oblongata;lung;adrenal gland;thyroid;adrenal cortex;testis;parathyroid;pineal gland;</t>
        </is>
      </c>
      <c r="H91" t="inlineStr">
        <is>
          <t>superior cervical ganglion;testis - interstitial;testis - seminiferous tubule;testis;</t>
        </is>
      </c>
      <c r="I91" t="inlineStr">
        <is>
          <t>.</t>
        </is>
      </c>
      <c r="J91" t="inlineStr">
        <is>
          <t>.</t>
        </is>
      </c>
      <c r="K91" t="inlineStr">
        <is>
          <t>.</t>
        </is>
      </c>
      <c r="L91" t="inlineStr">
        <is>
          <t>.</t>
        </is>
      </c>
      <c r="M91" t="inlineStr">
        <is>
          <t>.</t>
        </is>
      </c>
      <c r="N91" t="inlineStr">
        <is>
          <t>.</t>
        </is>
      </c>
      <c r="O91" t="inlineStr">
        <is>
          <t>.</t>
        </is>
      </c>
    </row>
    <row r="92">
      <c r="A92" t="inlineStr">
        <is>
          <t>BRSK2</t>
        </is>
      </c>
      <c r="B92" t="inlineStr">
        <is>
          <t>0.779570081093511</t>
        </is>
      </c>
      <c r="C92" t="inlineStr">
        <is>
          <t>BR serine/threonine kinase 2</t>
        </is>
      </c>
      <c r="D92" t="inlineStr">
        <is>
          <t xml:space="preserve">FUNCTION: Serine/threonine-protein kinase that plays a key role in polarization of neurons and axonogenesis, cell cycle progress and insulin secretion. Phosphorylates CDK16, CDC25C, MAPT/TAU, PAK1 and WEE1. Following phosphorylation and activation by STK11/LKB1, acts as a key regulator of polarization of cortical neurons, probably by mediating phosphorylation of microtubule-associated proteins such as MAPT/TAU at 'Thr-529' and 'Ser-579'. Also regulates neuron polarization by mediating phosphorylation of WEE1 at 'Ser-642' in postmitotic neurons, leading to down-regulate WEE1 activity in polarized neurons. Plays a role in the regulation of the mitotic cell cycle progress and the onset of mitosis. Plays a role in the regulation of insulin secretion in response to elevated glucose levels, probably via phosphorylation of CDK16 and PAK1. While BRSK2 phosphorylated at Thr-174 can inhibit insulin secretion (PubMed:22798068), BRSK2 phosphorylated at Thr-260 can promote insulin secretion (PubMed:22669945). Regulates reorganization of the actin cytoskeleton. May play a role in the apoptotic response triggered by endoplasmatic reticulum (ER) stress. {ECO:0000269|PubMed:14976552, ECO:0000269|PubMed:20026642, ECO:0000269|PubMed:21985311, ECO:0000269|PubMed:22669945, ECO:0000269|PubMed:22798068, ECO:0000269|PubMed:23029325}.; </t>
        </is>
      </c>
      <c r="E92" t="inlineStr">
        <is>
          <t>.</t>
        </is>
      </c>
      <c r="F92" t="inlineStr">
        <is>
          <t xml:space="preserve">TISSUE SPECIFICITY: Detected in pancreas islets (at protein level). {ECO:0000269|PubMed:22798068}.; </t>
        </is>
      </c>
      <c r="G92" t="inlineStr">
        <is>
          <t>unclassifiable (Anatomical System);medulla oblongata;optic nerve;ovary;epididymis;macula lutea;visual apparatus;liver;fovea centralis;choroid;lens;brain;retina;</t>
        </is>
      </c>
      <c r="H92" t="inlineStr">
        <is>
          <t>whole brain;amygdala;cerebellum peduncles;prefrontal cortex;parietal lobe;cerebellum;</t>
        </is>
      </c>
      <c r="I92" t="inlineStr">
        <is>
          <t>.</t>
        </is>
      </c>
      <c r="J92" t="inlineStr">
        <is>
          <t>.</t>
        </is>
      </c>
      <c r="K92" t="inlineStr">
        <is>
          <t>.</t>
        </is>
      </c>
      <c r="L92" t="inlineStr">
        <is>
          <t>.</t>
        </is>
      </c>
      <c r="M92" t="inlineStr">
        <is>
          <t>.</t>
        </is>
      </c>
      <c r="N92" t="inlineStr">
        <is>
          <t>.</t>
        </is>
      </c>
      <c r="O92" t="inlineStr">
        <is>
          <t>.</t>
        </is>
      </c>
    </row>
    <row r="93">
      <c r="A93" t="inlineStr">
        <is>
          <t>BZRAP1</t>
        </is>
      </c>
      <c r="B93" t="inlineStr">
        <is>
          <t>0.0566264084919234</t>
        </is>
      </c>
      <c r="C93" t="inlineStr">
        <is>
          <t>benzodiazepine receptor (peripheral) associated protein 1</t>
        </is>
      </c>
      <c r="D93" t="inlineStr">
        <is>
          <t>.</t>
        </is>
      </c>
      <c r="E93" t="inlineStr">
        <is>
          <t>.</t>
        </is>
      </c>
      <c r="F93" t="inlineStr">
        <is>
          <t xml:space="preserve">TISSUE SPECIFICITY: Predominantly expressed in brain, pituitary gland and thymus in adults. In adult brain, highest expression found in temporal lobe and the putamen, followed by amygdala, caudate nucleus, cerebral cortex, occipital and frontal lobe. A high expression level is also observed in fetal tissues like brain, heart, kidney and thymus. {ECO:0000269|PubMed:9915832}.; </t>
        </is>
      </c>
      <c r="G93" t="inlineStr">
        <is>
          <t>unclassifiable (Anatomical System);lymph node;ovary;islets of Langerhans;parathyroid;fovea centralis;retina;breast;lung;frontal lobe;endometrium;placenta;macula lutea;visual apparatus;brain;gall bladder;</t>
        </is>
      </c>
      <c r="H93" t="inlineStr">
        <is>
          <t>superior cervical ganglion;</t>
        </is>
      </c>
      <c r="I93" t="inlineStr">
        <is>
          <t>.</t>
        </is>
      </c>
      <c r="J93" t="inlineStr">
        <is>
          <t>.</t>
        </is>
      </c>
      <c r="K93" t="inlineStr">
        <is>
          <t>.</t>
        </is>
      </c>
      <c r="L93" t="inlineStr">
        <is>
          <t>.</t>
        </is>
      </c>
      <c r="M93" t="inlineStr">
        <is>
          <t>.</t>
        </is>
      </c>
      <c r="N93" t="inlineStr">
        <is>
          <t>.</t>
        </is>
      </c>
      <c r="O93" t="inlineStr">
        <is>
          <t>.</t>
        </is>
      </c>
    </row>
    <row r="94">
      <c r="A94" t="inlineStr">
        <is>
          <t>C10orf53</t>
        </is>
      </c>
      <c r="B94" t="inlineStr">
        <is>
          <t>0.00106876991334412</t>
        </is>
      </c>
      <c r="C94" t="inlineStr">
        <is>
          <t>chromosome 10 open reading frame 53</t>
        </is>
      </c>
      <c r="D94" t="inlineStr">
        <is>
          <t>.</t>
        </is>
      </c>
      <c r="E94" t="inlineStr">
        <is>
          <t>.</t>
        </is>
      </c>
      <c r="F94" t="inlineStr">
        <is>
          <t>.</t>
        </is>
      </c>
      <c r="G94" t="inlineStr">
        <is>
          <t>.</t>
        </is>
      </c>
      <c r="H94" t="inlineStr">
        <is>
          <t>.</t>
        </is>
      </c>
      <c r="I94" t="inlineStr">
        <is>
          <t>.</t>
        </is>
      </c>
      <c r="J94" t="inlineStr">
        <is>
          <t>.</t>
        </is>
      </c>
      <c r="K94" t="inlineStr">
        <is>
          <t>.</t>
        </is>
      </c>
      <c r="L94" t="inlineStr">
        <is>
          <t>.</t>
        </is>
      </c>
      <c r="M94" t="inlineStr">
        <is>
          <t>.</t>
        </is>
      </c>
      <c r="N94" t="inlineStr">
        <is>
          <t>.</t>
        </is>
      </c>
      <c r="O94" t="inlineStr">
        <is>
          <t>.</t>
        </is>
      </c>
    </row>
    <row r="95">
      <c r="A95" t="inlineStr">
        <is>
          <t>C10orf55</t>
        </is>
      </c>
      <c r="B95" t="inlineStr">
        <is>
          <t>0.00506563580969443</t>
        </is>
      </c>
      <c r="C95" t="inlineStr">
        <is>
          <t>chromosome 10 open reading frame 55</t>
        </is>
      </c>
      <c r="D95" t="inlineStr">
        <is>
          <t>.</t>
        </is>
      </c>
      <c r="E95" t="inlineStr">
        <is>
          <t>.</t>
        </is>
      </c>
      <c r="F95" t="inlineStr">
        <is>
          <t>.</t>
        </is>
      </c>
      <c r="G95" t="inlineStr">
        <is>
          <t>.</t>
        </is>
      </c>
      <c r="H95" t="inlineStr">
        <is>
          <t>.</t>
        </is>
      </c>
      <c r="I95" t="inlineStr">
        <is>
          <t>.</t>
        </is>
      </c>
      <c r="J95" t="inlineStr">
        <is>
          <t>.</t>
        </is>
      </c>
      <c r="K95" t="inlineStr">
        <is>
          <t>.</t>
        </is>
      </c>
      <c r="L95" t="inlineStr">
        <is>
          <t>.</t>
        </is>
      </c>
      <c r="M95" t="inlineStr">
        <is>
          <t>.</t>
        </is>
      </c>
      <c r="N95" t="inlineStr">
        <is>
          <t>.</t>
        </is>
      </c>
      <c r="O95" t="inlineStr">
        <is>
          <t>.</t>
        </is>
      </c>
    </row>
    <row r="96">
      <c r="A96" t="inlineStr">
        <is>
          <t>C11orf53</t>
        </is>
      </c>
      <c r="B96" t="inlineStr">
        <is>
          <t>7.52888554833811e-05</t>
        </is>
      </c>
      <c r="C96" t="inlineStr">
        <is>
          <t>chromosome 11 open reading frame 53</t>
        </is>
      </c>
      <c r="D96" t="inlineStr">
        <is>
          <t>.</t>
        </is>
      </c>
      <c r="E96" t="inlineStr">
        <is>
          <t>.</t>
        </is>
      </c>
      <c r="F96" t="inlineStr">
        <is>
          <t>.</t>
        </is>
      </c>
      <c r="G96" t="inlineStr">
        <is>
          <t>unclassifiable (Anatomical System);prostate;lung;testis;</t>
        </is>
      </c>
      <c r="H96" t="inlineStr">
        <is>
          <t>.</t>
        </is>
      </c>
      <c r="I96" t="inlineStr">
        <is>
          <t>.</t>
        </is>
      </c>
      <c r="J96" t="inlineStr">
        <is>
          <t>.</t>
        </is>
      </c>
      <c r="K96" t="inlineStr">
        <is>
          <t>.</t>
        </is>
      </c>
      <c r="L96" t="inlineStr">
        <is>
          <t>.</t>
        </is>
      </c>
      <c r="M96" t="inlineStr">
        <is>
          <t>.</t>
        </is>
      </c>
      <c r="N96" t="inlineStr">
        <is>
          <t>.</t>
        </is>
      </c>
      <c r="O96" t="inlineStr">
        <is>
          <t>.</t>
        </is>
      </c>
    </row>
    <row r="97">
      <c r="A97" t="inlineStr">
        <is>
          <t>C12orf56</t>
        </is>
      </c>
      <c r="B97" t="inlineStr">
        <is>
          <t>2.90933463847163e-11</t>
        </is>
      </c>
      <c r="C97" t="inlineStr">
        <is>
          <t>chromosome 12 open reading frame 56</t>
        </is>
      </c>
      <c r="D97" t="inlineStr">
        <is>
          <t>.</t>
        </is>
      </c>
      <c r="E97" t="inlineStr">
        <is>
          <t>.</t>
        </is>
      </c>
      <c r="F97" t="inlineStr">
        <is>
          <t>.</t>
        </is>
      </c>
      <c r="G97" t="inlineStr">
        <is>
          <t>unclassifiable (Anatomical System);placenta;liver;testis;spleen;choroid;kidney;</t>
        </is>
      </c>
      <c r="H97" t="inlineStr">
        <is>
          <t>testis - interstitial;superior cervical ganglion;testis - seminiferous tubule;testis;globus pallidus;ciliary ganglion;atrioventricular node;</t>
        </is>
      </c>
      <c r="I97" t="inlineStr">
        <is>
          <t>.</t>
        </is>
      </c>
      <c r="J97" t="inlineStr">
        <is>
          <t>.</t>
        </is>
      </c>
      <c r="K97" t="inlineStr">
        <is>
          <t>.</t>
        </is>
      </c>
      <c r="L97" t="inlineStr">
        <is>
          <t>.</t>
        </is>
      </c>
      <c r="M97" t="inlineStr">
        <is>
          <t>.</t>
        </is>
      </c>
      <c r="N97" t="inlineStr">
        <is>
          <t>.</t>
        </is>
      </c>
      <c r="O97" t="inlineStr">
        <is>
          <t>.</t>
        </is>
      </c>
    </row>
    <row r="98">
      <c r="A98" t="inlineStr">
        <is>
          <t>C18orf63</t>
        </is>
      </c>
      <c r="B98" t="inlineStr">
        <is>
          <t>.</t>
        </is>
      </c>
      <c r="C98" t="inlineStr">
        <is>
          <t>chromosome 18 open reading frame 63</t>
        </is>
      </c>
      <c r="D98" t="inlineStr">
        <is>
          <t>.</t>
        </is>
      </c>
      <c r="E98" t="inlineStr">
        <is>
          <t>.</t>
        </is>
      </c>
      <c r="F98" t="inlineStr">
        <is>
          <t>.</t>
        </is>
      </c>
      <c r="G98" t="inlineStr">
        <is>
          <t>.</t>
        </is>
      </c>
      <c r="H98" t="inlineStr">
        <is>
          <t>.</t>
        </is>
      </c>
      <c r="I98" t="inlineStr">
        <is>
          <t>.</t>
        </is>
      </c>
      <c r="J98" t="inlineStr">
        <is>
          <t>.</t>
        </is>
      </c>
      <c r="K98" t="inlineStr">
        <is>
          <t>.</t>
        </is>
      </c>
      <c r="L98" t="inlineStr">
        <is>
          <t>.</t>
        </is>
      </c>
      <c r="M98" t="inlineStr">
        <is>
          <t>.</t>
        </is>
      </c>
      <c r="N98" t="inlineStr">
        <is>
          <t>.</t>
        </is>
      </c>
      <c r="O98" t="inlineStr">
        <is>
          <t>.</t>
        </is>
      </c>
    </row>
    <row r="99">
      <c r="A99" t="inlineStr">
        <is>
          <t>C18orf8</t>
        </is>
      </c>
      <c r="B99" t="inlineStr">
        <is>
          <t>0.999882357316615</t>
        </is>
      </c>
      <c r="C99" t="inlineStr">
        <is>
          <t>chromosome 18 open reading frame 8</t>
        </is>
      </c>
      <c r="D99" t="inlineStr">
        <is>
          <t>.</t>
        </is>
      </c>
      <c r="E99" t="inlineStr">
        <is>
          <t>.</t>
        </is>
      </c>
      <c r="F99" t="inlineStr">
        <is>
          <t>.</t>
        </is>
      </c>
      <c r="G99" t="inlineStr">
        <is>
          <t>medulla oblongata;ovary;colon;parathyroid;fovea centralis;choroid;skin;retina;bone marrow;uterus;prostate;optic nerve;whole body;frontal lobe;cochlea;endometrium;bone;thyroid;testis;germinal center;brain;unclassifiable (Anatomical System);cartilage;heart;lacrimal gland;tongue;islets of Langerhans;hypothalamus;adrenal cortex;blood;lens;skeletal muscle;breast;pancreas;lung;placenta;macula lutea;visual apparatus;hippocampus;liver;spleen;head and neck;cervix;kidney;mammary gland;stomach;thymus;</t>
        </is>
      </c>
      <c r="H99" t="inlineStr">
        <is>
          <t>superior cervical ganglion;testis;skeletal muscle;</t>
        </is>
      </c>
      <c r="I99" t="inlineStr">
        <is>
          <t>.</t>
        </is>
      </c>
      <c r="J99" t="inlineStr">
        <is>
          <t>.</t>
        </is>
      </c>
      <c r="K99" t="inlineStr">
        <is>
          <t>.</t>
        </is>
      </c>
      <c r="L99" t="inlineStr">
        <is>
          <t>.</t>
        </is>
      </c>
      <c r="M99" t="inlineStr">
        <is>
          <t>.</t>
        </is>
      </c>
      <c r="N99" t="inlineStr">
        <is>
          <t>.</t>
        </is>
      </c>
      <c r="O99" t="inlineStr">
        <is>
          <t>.</t>
        </is>
      </c>
    </row>
    <row r="100">
      <c r="A100" t="inlineStr">
        <is>
          <t>C1QTNF7</t>
        </is>
      </c>
      <c r="B100" t="inlineStr">
        <is>
          <t>0.0199101310745169</t>
        </is>
      </c>
      <c r="C100" t="inlineStr">
        <is>
          <t>C1q and tumor necrosis factor related protein 7</t>
        </is>
      </c>
      <c r="D100" t="inlineStr">
        <is>
          <t>.</t>
        </is>
      </c>
      <c r="E100" t="inlineStr">
        <is>
          <t>.</t>
        </is>
      </c>
      <c r="F100" t="inlineStr">
        <is>
          <t>.</t>
        </is>
      </c>
      <c r="G100" t="inlineStr">
        <is>
          <t>unclassifiable (Anatomical System);heart;ovary;cartilage;parathyroid;skin;skeletal muscle;uterus;lung;frontal lobe;placenta;bone;visual apparatus;testis;kidney;aorta;</t>
        </is>
      </c>
      <c r="H100" t="inlineStr">
        <is>
          <t>superior cervical ganglion;trigeminal ganglion;skeletal muscle;</t>
        </is>
      </c>
      <c r="I100" t="inlineStr">
        <is>
          <t>.</t>
        </is>
      </c>
      <c r="J100" t="inlineStr">
        <is>
          <t>.</t>
        </is>
      </c>
      <c r="K100" t="inlineStr">
        <is>
          <t>.</t>
        </is>
      </c>
      <c r="L100" t="inlineStr">
        <is>
          <t>.</t>
        </is>
      </c>
      <c r="M100" t="inlineStr">
        <is>
          <t>.</t>
        </is>
      </c>
      <c r="N100" t="inlineStr">
        <is>
          <t>.</t>
        </is>
      </c>
      <c r="O100" t="inlineStr">
        <is>
          <t>.</t>
        </is>
      </c>
    </row>
    <row r="101">
      <c r="A101" t="inlineStr">
        <is>
          <t>C1orf54</t>
        </is>
      </c>
      <c r="B101" t="inlineStr">
        <is>
          <t>0.178651547006617</t>
        </is>
      </c>
      <c r="C101" t="inlineStr">
        <is>
          <t>chromosome 1 open reading frame 54</t>
        </is>
      </c>
      <c r="D101" t="inlineStr">
        <is>
          <t>.</t>
        </is>
      </c>
      <c r="E101" t="inlineStr">
        <is>
          <t>.</t>
        </is>
      </c>
      <c r="F101" t="inlineStr">
        <is>
          <t>.</t>
        </is>
      </c>
      <c r="G101" t="inlineStr">
        <is>
          <t>.</t>
        </is>
      </c>
      <c r="H101" t="inlineStr">
        <is>
          <t>.</t>
        </is>
      </c>
      <c r="I101" t="inlineStr">
        <is>
          <t>.</t>
        </is>
      </c>
      <c r="J101" t="inlineStr">
        <is>
          <t>.</t>
        </is>
      </c>
      <c r="K101" t="inlineStr">
        <is>
          <t>.</t>
        </is>
      </c>
      <c r="L101" t="inlineStr">
        <is>
          <t>.</t>
        </is>
      </c>
      <c r="M101" t="inlineStr">
        <is>
          <t>.</t>
        </is>
      </c>
      <c r="N101" t="inlineStr">
        <is>
          <t>.</t>
        </is>
      </c>
      <c r="O101" t="inlineStr">
        <is>
          <t>.</t>
        </is>
      </c>
    </row>
    <row r="102">
      <c r="A102" t="inlineStr">
        <is>
          <t>C5orf56</t>
        </is>
      </c>
      <c r="B102" t="inlineStr">
        <is>
          <t>0.107649237505837</t>
        </is>
      </c>
      <c r="C102" t="inlineStr">
        <is>
          <t>chromosome 5 open reading frame 56</t>
        </is>
      </c>
      <c r="D102" t="inlineStr">
        <is>
          <t>.</t>
        </is>
      </c>
      <c r="E102" t="inlineStr">
        <is>
          <t>.</t>
        </is>
      </c>
      <c r="F102" t="inlineStr">
        <is>
          <t>.</t>
        </is>
      </c>
      <c r="G102" t="inlineStr">
        <is>
          <t>unclassifiable (Anatomical System);lymph node;brain;bone marrow;</t>
        </is>
      </c>
      <c r="H102" t="inlineStr">
        <is>
          <t>.</t>
        </is>
      </c>
      <c r="I102" t="inlineStr">
        <is>
          <t>.</t>
        </is>
      </c>
      <c r="J102" t="inlineStr">
        <is>
          <t>.</t>
        </is>
      </c>
      <c r="K102" t="inlineStr">
        <is>
          <t>.</t>
        </is>
      </c>
      <c r="L102" t="inlineStr">
        <is>
          <t>.</t>
        </is>
      </c>
      <c r="M102" t="inlineStr">
        <is>
          <t>.</t>
        </is>
      </c>
      <c r="N102" t="inlineStr">
        <is>
          <t>.</t>
        </is>
      </c>
      <c r="O102" t="inlineStr">
        <is>
          <t>.</t>
        </is>
      </c>
    </row>
    <row r="103">
      <c r="A103" t="inlineStr">
        <is>
          <t>C7orf50</t>
        </is>
      </c>
      <c r="B103" t="inlineStr">
        <is>
          <t>0.00139620778717545</t>
        </is>
      </c>
      <c r="C103" t="inlineStr">
        <is>
          <t>chromosome 7 open reading frame 50</t>
        </is>
      </c>
      <c r="D103" t="inlineStr">
        <is>
          <t>.</t>
        </is>
      </c>
      <c r="E103" t="inlineStr">
        <is>
          <t>.</t>
        </is>
      </c>
      <c r="F103" t="inlineStr">
        <is>
          <t>.</t>
        </is>
      </c>
      <c r="G103" t="inlineStr">
        <is>
          <t>myocardium;ovary;salivary gland;colon;parathyroid;fovea centralis;choroid;skin;retina;uterus;prostate;optic nerve;frontal lobe;endometrium;bone;thyroid;iris;pituitary gland;testis;brain;unclassifiable (Anatomical System);lymph node;cartilage;heart;islets of Langerhans;muscle;blood;lens;breast;pancreas;lung;epididymis;placenta;macula lutea;visual apparatus;liver;spleen;cervix;kidney;mammary gland;stomach;aorta;thymus;</t>
        </is>
      </c>
      <c r="H103" t="inlineStr">
        <is>
          <t>globus pallidus;</t>
        </is>
      </c>
      <c r="I103" t="inlineStr">
        <is>
          <t>.</t>
        </is>
      </c>
      <c r="J103" t="inlineStr">
        <is>
          <t>.</t>
        </is>
      </c>
      <c r="K103" t="inlineStr">
        <is>
          <t>.</t>
        </is>
      </c>
      <c r="L103" t="inlineStr">
        <is>
          <t>.</t>
        </is>
      </c>
      <c r="M103" t="inlineStr">
        <is>
          <t>.</t>
        </is>
      </c>
      <c r="N103" t="inlineStr">
        <is>
          <t>.</t>
        </is>
      </c>
      <c r="O103" t="inlineStr">
        <is>
          <t>.</t>
        </is>
      </c>
    </row>
    <row r="104">
      <c r="A104" t="inlineStr">
        <is>
          <t>CA11</t>
        </is>
      </c>
      <c r="B104" t="inlineStr">
        <is>
          <t>0.976097038480165</t>
        </is>
      </c>
      <c r="C104" t="inlineStr">
        <is>
          <t>carbonic anhydrase XI</t>
        </is>
      </c>
      <c r="D104" t="inlineStr">
        <is>
          <t xml:space="preserve">FUNCTION: Does not have a catalytic activity.; </t>
        </is>
      </c>
      <c r="E104" t="inlineStr">
        <is>
          <t>.</t>
        </is>
      </c>
      <c r="F104" t="inlineStr">
        <is>
          <t xml:space="preserve">TISSUE SPECIFICITY: Expressed abundantly in the brain with moderate expression also present in spinal cord and thyroid.; </t>
        </is>
      </c>
      <c r="G104" t="inlineStr">
        <is>
          <t>colon;fovea centralis;skin;retina;uterus;optic nerve;whole body;frontal lobe;endometrium;larynx;synovium;testis;germinal center;artery;brain;unclassifiable (Anatomical System);heart;islets of Langerhans;pineal body;muscle;blood;lung;hippocampus;macula lutea;head and neck;aorta;peripheral nerve;cerebellum;</t>
        </is>
      </c>
      <c r="H104" t="inlineStr">
        <is>
          <t>amygdala;whole brain;medulla oblongata;occipital lobe;superior cervical ganglion;cerebellum peduncles;temporal lobe;pons;caudate nucleus;subthalamic nucleus;prefrontal cortex;globus pallidus;parietal lobe;cingulate cortex;cerebellum;</t>
        </is>
      </c>
      <c r="I104" t="inlineStr">
        <is>
          <t>.</t>
        </is>
      </c>
      <c r="J104" t="inlineStr">
        <is>
          <t>.</t>
        </is>
      </c>
      <c r="K104" t="inlineStr">
        <is>
          <t>.</t>
        </is>
      </c>
      <c r="L104" t="inlineStr">
        <is>
          <t>.</t>
        </is>
      </c>
      <c r="M104" t="inlineStr">
        <is>
          <t>.</t>
        </is>
      </c>
      <c r="N104" t="inlineStr">
        <is>
          <t>.</t>
        </is>
      </c>
      <c r="O104" t="inlineStr">
        <is>
          <t>.</t>
        </is>
      </c>
    </row>
    <row r="105">
      <c r="A105" t="inlineStr">
        <is>
          <t>CA12</t>
        </is>
      </c>
      <c r="B105" t="inlineStr">
        <is>
          <t>9.91295957492359e-09</t>
        </is>
      </c>
      <c r="C105" t="inlineStr">
        <is>
          <t>carbonic anhydrase XII</t>
        </is>
      </c>
      <c r="D105" t="inlineStr">
        <is>
          <t xml:space="preserve">FUNCTION: Reversible hydration of carbon dioxide.; </t>
        </is>
      </c>
      <c r="E105" t="inlineStr">
        <is>
          <t>.</t>
        </is>
      </c>
      <c r="F105" t="inlineStr">
        <is>
          <t xml:space="preserve">TISSUE SPECIFICITY: Highly expressed in colon, kidney, prostate, intestine and activated lymphocytes. Expressed at much higher levels in the renal cell cancers than in surrounding normal kidney tissue. Moderately expressed in pancreas, ovary and testis.; </t>
        </is>
      </c>
      <c r="G105" t="inlineStr">
        <is>
          <t>smooth muscle;ovary;rectum;colon;fovea centralis;choroid;skin;retina;bone marrow;uterus;prostate;optic nerve;endometrium;larynx;bone;thyroid;dura mater;brain;bladder;unclassifiable (Anatomical System);meninges;cartilage;heart;tongue;islets of Langerhans;hypothalamus;lens;skeletal muscle;breast;pancreas;pia mater;lung;trabecular meshwork;placenta;macula lutea;visual apparatus;hippocampus;liver;hypopharynx;head and neck;cervix;kidney;mammary gland;stomach;</t>
        </is>
      </c>
      <c r="H105" t="inlineStr">
        <is>
          <t>dorsal root ganglion;medulla oblongata;superior cervical ganglion;smooth muscle;tongue;pons;atrioventricular node;caudate nucleus;skin;skeletal muscle;subthalamic nucleus;uterus corpus;globus pallidus;ciliary ganglion;kidney;trigeminal ganglion;</t>
        </is>
      </c>
      <c r="I105" t="inlineStr">
        <is>
          <t>.</t>
        </is>
      </c>
      <c r="J105" t="inlineStr">
        <is>
          <t>.</t>
        </is>
      </c>
      <c r="K105" t="inlineStr">
        <is>
          <t>.</t>
        </is>
      </c>
      <c r="L105" t="inlineStr">
        <is>
          <t>.</t>
        </is>
      </c>
      <c r="M105" t="inlineStr">
        <is>
          <t>.</t>
        </is>
      </c>
      <c r="N105" t="inlineStr">
        <is>
          <t>.</t>
        </is>
      </c>
      <c r="O105" t="inlineStr">
        <is>
          <t>.</t>
        </is>
      </c>
    </row>
    <row r="106">
      <c r="A106" t="inlineStr">
        <is>
          <t>CABLES1</t>
        </is>
      </c>
      <c r="B106" t="inlineStr">
        <is>
          <t>0.445044394222778</t>
        </is>
      </c>
      <c r="C106" t="inlineStr">
        <is>
          <t>Cdk5 and Abl enzyme substrate 1</t>
        </is>
      </c>
      <c r="D106" t="inlineStr">
        <is>
          <t xml:space="preserve">FUNCTION: Cyclin-dependent kinase binding protein. Enhances cyclin-dependent kinase tyrosine phosphorylation by nonreceptor tyrosine kinases, such as that of CDK5 by activated ABL1, which leads to increased CDK5 activity and is critical for neuronal development, and that of CDK2 by WEE1, which leads to decreased CDK2 activity and growth inhibition. Positively affects neuronal outgrowth. Plays a role as a regulator for p53/p73-induced cell death (By similarity). {ECO:0000250}.; </t>
        </is>
      </c>
      <c r="E106" t="inlineStr">
        <is>
          <t>.</t>
        </is>
      </c>
      <c r="F106" t="inlineStr">
        <is>
          <t xml:space="preserve">TISSUE SPECIFICITY: Expressed in breast, pancreas, colon, head and neck (at protein level). Strongly decreased in more than half of cases of atypical endometrial hyperplasia and in more than 90% of endometrial cancers. {ECO:0000269|PubMed:11585773, ECO:0000269|PubMed:14729625}.; </t>
        </is>
      </c>
      <c r="G106" t="inlineStr">
        <is>
          <t>unclassifiable (Anatomical System);heart;ovary;colon;parathyroid;blood;lens;skin;retina;prostate;optic nerve;lung;adrenal gland;larynx;placenta;visual apparatus;liver;head and neck;kidney;brain;stomach;</t>
        </is>
      </c>
      <c r="H106" t="inlineStr">
        <is>
          <t>.</t>
        </is>
      </c>
      <c r="I106" t="inlineStr">
        <is>
          <t>.</t>
        </is>
      </c>
      <c r="J106" t="inlineStr">
        <is>
          <t>.</t>
        </is>
      </c>
      <c r="K106" t="inlineStr">
        <is>
          <t>.</t>
        </is>
      </c>
      <c r="L106" t="inlineStr">
        <is>
          <t>.</t>
        </is>
      </c>
      <c r="M106" t="inlineStr">
        <is>
          <t>.</t>
        </is>
      </c>
      <c r="N106" t="inlineStr">
        <is>
          <t>.</t>
        </is>
      </c>
      <c r="O106" t="inlineStr">
        <is>
          <t>.</t>
        </is>
      </c>
    </row>
    <row r="107">
      <c r="A107" t="inlineStr">
        <is>
          <t>CACNA1B</t>
        </is>
      </c>
      <c r="B107" t="inlineStr">
        <is>
          <t>0.982603443138066</t>
        </is>
      </c>
      <c r="C107" t="inlineStr">
        <is>
          <t>calcium voltage-gated channel subunit alpha1 B</t>
        </is>
      </c>
      <c r="D107" t="inlineStr">
        <is>
          <t xml:space="preserve">FUNCTION: Voltage-sensitive calcium channels (VSCC) mediate the entry of calcium ions into excitable cells and are also involved in a variety of calcium-dependent processes, including muscle contraction, hormone or neurotransmitter release, gene expression, cell motility, cell division and cell death. The isoform alpha-1B gives rise to N-type calcium currents. N-type calcium channels belong to the 'high-voltage activated' (HVA) group and are blocked by omega-conotoxin-GVIA (omega-CTx-GVIA) and by omega-agatoxin- IIIA (omega-Aga-IIIA). They are however insensitive to dihydropyridines (DHP), and omega-agatoxin-IVA (omega-Aga-IVA). Calcium channels containing alpha-1B subunit may play a role in directed migration of immature neurons.; </t>
        </is>
      </c>
      <c r="E107" t="inlineStr">
        <is>
          <t xml:space="preserve">DISEASE: Dystonia 23 (DYT23) [MIM:614860]: A form of dystonia, a disorder defined by the presence of sustained involuntary muscle contraction, often leading to abnormal postures. DYT23 is an autosomal dominant dystonia affecting the face, neck, limbs. Some DYT23 patients manifest generalized myoclonus in addition to progressive action-induced multifocal dystonia. {ECO:0000269|PubMed:25296916}. Note=The disease is caused by mutations affecting the gene represented in this entry.; </t>
        </is>
      </c>
      <c r="F107" t="inlineStr">
        <is>
          <t xml:space="preserve">TISSUE SPECIFICITY: Isoform Alpha-1b-1 and isoform Alpha-1b-2 are expressed in the central nervous system, but not in skeletal muscle or aorta.; </t>
        </is>
      </c>
      <c r="G107" t="inlineStr">
        <is>
          <t>unclassifiable (Anatomical System);lung;frontal lobe;ovary;visual apparatus;brain;skeletal muscle;</t>
        </is>
      </c>
      <c r="H107" t="inlineStr">
        <is>
          <t>atrioventricular node;kidney;parietal lobe;</t>
        </is>
      </c>
      <c r="I107">
        <f>HYPERLINK("https://omim.org/entry/614860", "614860")</f>
        <v/>
      </c>
      <c r="J107" t="inlineStr">
        <is>
          <t>.</t>
        </is>
      </c>
      <c r="K107" t="inlineStr">
        <is>
          <t>.</t>
        </is>
      </c>
      <c r="L107" t="inlineStr">
        <is>
          <t>.</t>
        </is>
      </c>
      <c r="M107" t="inlineStr">
        <is>
          <t>.</t>
        </is>
      </c>
      <c r="N107" t="inlineStr">
        <is>
          <t>.</t>
        </is>
      </c>
      <c r="O107" t="inlineStr">
        <is>
          <t>.</t>
        </is>
      </c>
    </row>
    <row r="108">
      <c r="A108" t="inlineStr">
        <is>
          <t>CACNA1C</t>
        </is>
      </c>
      <c r="B108" t="inlineStr">
        <is>
          <t>0.99999843310185</t>
        </is>
      </c>
      <c r="C108" t="inlineStr">
        <is>
          <t>calcium voltage-gated channel subunit alpha1 C</t>
        </is>
      </c>
      <c r="D108" t="inlineStr">
        <is>
          <t xml:space="preserve">FUNCTION: Voltage-sensitive calcium channels (VSCC) mediate the entry of calcium ions into excitable cells and are also involved in a variety of calcium-dependent processes, including muscle contraction, hormone or neurotransmitter release, gene expression, cell motility, cell division and cell death. The isoform alpha-1C gives rise to L-type calcium currents. Long-lasting (L-type) calcium channels belong to the 'high-voltage activated' (HVA) group. They are blocked by dihydropyridines (DHP), phenylalkylamines, benzothiazepines, and by omega-agatoxin-IIIA (omega-Aga-IIIA). They are however insensitive to omega-conotoxin- GVIA (omega-CTx-GVIA) and omega-agatoxin-IVA (omega-Aga-IVA). Calcium channels containing the alpha-1C subunit play an important role in excitation-contraction coupling in the heart. The various isoforms display marked differences in the sensitivity to DHP compounds. Binding of calmodulin or CABP1 at the same regulatory sites results in an opposit effects on the channel function. {ECO:0000269|PubMed:12176756, ECO:0000269|PubMed:17071743, ECO:0000269|PubMed:7737988, ECO:0000269|PubMed:8392192, ECO:0000269|PubMed:9013606, ECO:0000269|PubMed:9607315}.; </t>
        </is>
      </c>
      <c r="E108" t="inlineStr">
        <is>
          <t xml:space="preserve">DISEASE: Timothy syndrome (TS) [MIM:601005]: Disorder characterized by multiorgan dysfunction including lethal arrhythmias, webbing of fingers and toes, congenital heart disease, immune deficiency, intermittent hypoglycemia, cognitive abnormalities and autism. {ECO:0000269|PubMed:15454078, ECO:0000269|PubMed:15863612, ECO:0000269|PubMed:25260352}. Note=The disease is caused by mutations affecting the gene represented in this entry.; DISEASE: Brugada syndrome 3 (BRGDA3) [MIM:611875]: A heart disease characterized by the association of Brugada syndrome with shortened QT intervals. Brugada syndrome is a tachyarrhythmia characterized by right bundle branch block and ST segment elevation on an electrocardiogram (ECG). It can cause the ventricles to beat so fast that the blood is prevented from circulating efficiently in the body. When this situation occurs, the individual will faint and may die in a few minutes if the heart is not reset. {ECO:0000269|PubMed:17224476}. Note=The disease is caused by mutations affecting the gene represented in this entry.; </t>
        </is>
      </c>
      <c r="F108" t="inlineStr">
        <is>
          <t xml:space="preserve">TISSUE SPECIFICITY: Expressed in brain, heart, jejunum, ovary, pancreatic beta-cells and vascular smooth muscle. Overall expression is reduced in atherosclerotic vascular smooth muscle. {ECO:0000269|PubMed:12176756, ECO:0000269|PubMed:17071743, ECO:0000269|PubMed:8392192}.; </t>
        </is>
      </c>
      <c r="G108" t="inlineStr">
        <is>
          <t>unclassifiable (Anatomical System);ovary;colon;uterus;prostate;whole body;lung;frontal lobe;placenta;thyroid;testis;spleen;brain;gall bladder;cerebellum;</t>
        </is>
      </c>
      <c r="H108" t="inlineStr">
        <is>
          <t>superior cervical ganglion;testis;atrioventricular node;trigeminal ganglion;skeletal muscle;</t>
        </is>
      </c>
      <c r="I108">
        <f>HYPERLINK("https://omim.org/entry/601005", "601005")</f>
        <v/>
      </c>
      <c r="J108">
        <f>HYPERLINK("https://omim.org/entry/611875", "611875")</f>
        <v/>
      </c>
      <c r="K108" t="inlineStr">
        <is>
          <t>.</t>
        </is>
      </c>
      <c r="L108" t="inlineStr">
        <is>
          <t>.</t>
        </is>
      </c>
      <c r="M108" t="inlineStr">
        <is>
          <t>.</t>
        </is>
      </c>
      <c r="N108" t="inlineStr">
        <is>
          <t>.</t>
        </is>
      </c>
      <c r="O108" t="inlineStr">
        <is>
          <t>.</t>
        </is>
      </c>
    </row>
    <row r="109">
      <c r="A109" t="inlineStr">
        <is>
          <t>CACNB2</t>
        </is>
      </c>
      <c r="B109" t="inlineStr">
        <is>
          <t>0.00182033784193924</t>
        </is>
      </c>
      <c r="C109" t="inlineStr">
        <is>
          <t>calcium voltage-gated channel auxiliary subunit beta 2</t>
        </is>
      </c>
      <c r="D109" t="inlineStr">
        <is>
          <t xml:space="preserve">FUNCTION: The beta subunit of voltage-dependent calcium channels contributes to the function of the calcium channel by increasing peak calcium current, shifting the voltage dependencies of activation and inactivation, modulating G protein inhibition and controlling the alpha-1 subunit membrane targeting.; </t>
        </is>
      </c>
      <c r="E109" t="inlineStr">
        <is>
          <t xml:space="preserve">DISEASE: Brugada syndrome 4 (BRGDA4) [MIM:611876]: A heart disease characterized by the association of Brugada syndrome with shortened QT intervals. Brugada syndrome is a tachyarrhythmia characterized by right bundle branch block and ST segment elevation on an electrocardiogram (ECG). It can cause the ventricles to beat so fast that the blood is prevented from circulating efficiently in the body. When this situation occurs, the individual will faint and may die in a few minutes if the heart is not reset. {ECO:0000269|PubMed:17224476}. Note=The disease is caused by mutations affecting the gene represented in this entry.; </t>
        </is>
      </c>
      <c r="F109" t="inlineStr">
        <is>
          <t xml:space="preserve">TISSUE SPECIFICITY: Expressed in all tissues.; </t>
        </is>
      </c>
      <c r="G109" t="inlineStr">
        <is>
          <t>unclassifiable (Anatomical System);myocardium;heart;ovary;islets of Langerhans;parathyroid;fovea centralis;breast;uterus;pancreas;prostate;lung;frontal lobe;bone;placenta;macula lutea;hippocampus;pituitary gland;liver;spleen;kidney;brain;mammary gland;aorta;</t>
        </is>
      </c>
      <c r="H109" t="inlineStr">
        <is>
          <t>superior cervical ganglion;subthalamic nucleus;medulla oblongata;occipital lobe;cerebellum peduncles;temporal lobe;prefrontal cortex;globus pallidus;pons;pituitary;cingulate cortex;parietal lobe;</t>
        </is>
      </c>
      <c r="I109">
        <f>HYPERLINK("https://omim.org/entry/611876", "611876")</f>
        <v/>
      </c>
      <c r="J109" t="inlineStr">
        <is>
          <t>.</t>
        </is>
      </c>
      <c r="K109" t="inlineStr">
        <is>
          <t>.</t>
        </is>
      </c>
      <c r="L109" t="inlineStr">
        <is>
          <t>.</t>
        </is>
      </c>
      <c r="M109" t="inlineStr">
        <is>
          <t>.</t>
        </is>
      </c>
      <c r="N109" t="inlineStr">
        <is>
          <t>.</t>
        </is>
      </c>
      <c r="O109" t="inlineStr">
        <is>
          <t>.</t>
        </is>
      </c>
    </row>
    <row r="110">
      <c r="A110" t="inlineStr">
        <is>
          <t>CALCOCO2</t>
        </is>
      </c>
      <c r="B110" t="inlineStr">
        <is>
          <t>0.0317624526733932</t>
        </is>
      </c>
      <c r="C110" t="inlineStr">
        <is>
          <t>calcium binding and coiled-coil domain 2</t>
        </is>
      </c>
      <c r="D110" t="inlineStr">
        <is>
          <t xml:space="preserve">FUNCTION: Xenophagy-specific receptor required for autophagy- mediated intracellular bacteria degradation. Acts as an effector protein of galectin-sensed membrane damage that restricts the proliferation of infecting pathogens such as Salmonella typhimurium upon entry into the cytosol by targeting galectin-8- associated bacteria for autophagy (PubMed:22246324). Initially orchestrates bacteria targeting to autophagosomes and subsequently ensures pathogen degradation by regulating pathogen-containing autophagosome maturation (PubMed:23022382, PubMed:25771791). Bacteria targeting to autophagosomes relies on its interaction with MAP1LC3A, MAP1LC3B and/or GABARAPL2, whereas regulation of pathogen-containing autophagosome maturation requires the interaction with MAP3LC3C (PubMed:23022382, PubMed:25771791). May play a role in ruffle formation and actin cytoskeleton organization and seems to negatively regulate constitutive secretion (PubMed:17635994). {ECO:0000269|PubMed:17635994, ECO:0000269|PubMed:22246324, ECO:0000269|PubMed:23022382, ECO:0000269|PubMed:23386746, ECO:0000269|PubMed:25771791}.; </t>
        </is>
      </c>
      <c r="E110" t="inlineStr">
        <is>
          <t>.</t>
        </is>
      </c>
      <c r="F110" t="inlineStr">
        <is>
          <t xml:space="preserve">TISSUE SPECIFICITY: Expressed in all tissues tested with highest expression in skeletal muscle and lowest in brain. {ECO:0000269|PubMed:7540613}.; </t>
        </is>
      </c>
      <c r="G110" t="inlineStr">
        <is>
          <t>myocardium;medulla oblongata;smooth muscle;ovary;skin;retina;bone marrow;prostate;endometrium;thyroid;iris;germinal center;bladder;brain;tonsil;heart;cartilage;tongue;nervous;pharynx;blood;lens;skeletal muscle;breast;visual apparatus;liver;spleen;cervix;mammary gland;peripheral nerve;salivary gland;intestine;colon;parathyroid;choroid;uterus;whole body;cerebral cortex;bone;testis;artery;unclassifiable (Anatomical System);lymph node;islets of Langerhans;muscle;pancreas;lung;mesenchyma;adrenal gland;nasopharynx;placenta;hippocampus;hypopharynx;head and neck;kidney;stomach;aorta;thymus;</t>
        </is>
      </c>
      <c r="H110" t="inlineStr">
        <is>
          <t>superior cervical ganglion;ciliary ganglion;atrioventricular node;trigeminal ganglion;</t>
        </is>
      </c>
      <c r="I110" t="inlineStr">
        <is>
          <t>.</t>
        </is>
      </c>
      <c r="J110" t="inlineStr">
        <is>
          <t>.</t>
        </is>
      </c>
      <c r="K110" t="inlineStr">
        <is>
          <t>.</t>
        </is>
      </c>
      <c r="L110" t="inlineStr">
        <is>
          <t>.</t>
        </is>
      </c>
      <c r="M110" t="inlineStr">
        <is>
          <t>.</t>
        </is>
      </c>
      <c r="N110" t="inlineStr">
        <is>
          <t>.</t>
        </is>
      </c>
      <c r="O110" t="inlineStr">
        <is>
          <t>.</t>
        </is>
      </c>
    </row>
    <row r="111">
      <c r="A111" t="inlineStr">
        <is>
          <t>CALD1</t>
        </is>
      </c>
      <c r="B111" t="inlineStr">
        <is>
          <t>0.99909770368326</t>
        </is>
      </c>
      <c r="C111" t="inlineStr">
        <is>
          <t>caldesmon 1</t>
        </is>
      </c>
      <c r="D111" t="inlineStr">
        <is>
          <t xml:space="preserve">FUNCTION: Actin- and myosin-binding protein implicated in the regulation of actomyosin interactions in smooth muscle and nonmuscle cells (could act as a bridge between myosin and actin filaments). Stimulates actin binding of tropomyosin which increases the stabilization of actin filament structure. In muscle tissues, inhibits the actomyosin ATPase by binding to F-actin. This inhibition is attenuated by calcium-calmodulin and is potentiated by tropomyosin. Interacts with actin, myosin, two molecules of tropomyosin and with calmodulin. Also play an essential role during cellular mitosis and receptor capping. Involved in Schwann cell migration during peripheral nerve regeneration (By similarity). {ECO:0000250, ECO:0000269|PubMed:8227296}.; </t>
        </is>
      </c>
      <c r="E111" t="inlineStr">
        <is>
          <t>.</t>
        </is>
      </c>
      <c r="F111" t="inlineStr">
        <is>
          <t xml:space="preserve">TISSUE SPECIFICITY: High-molecular-weight caldesmon (isoform 1) is predominantly expressed in smooth muscles, whereas low-molecular- weight caldesmon (isoforms 2, 3, 4 and 5) are widely distributed in non-muscle tissues and cells. Not expressed in skeletal muscle or heart.; </t>
        </is>
      </c>
      <c r="G111" t="inlineStr">
        <is>
          <t>myocardium;ovary;sympathetic chain;skin;bone marrow;retina;prostate;optic nerve;frontal lobe;endometrium;thyroid;brain;amygdala;heart;cartilage;adrenal cortex;lens;skeletal muscle;breast;visual apparatus;macula lutea;liver;cervix;spleen;mammary gland;peripheral nerve;colon;parathyroid;choroid;fovea centralis;uterus;whole body;oesophagus;bone;pituitary gland;testis;spinal ganglion;artery;pineal gland;unclassifiable (Anatomical System);islets of Langerhans;hypothalamus;pancreas;lung;mesenchyma;adrenal gland;nasopharynx;placenta;amnion;head and neck;kidney;stomach;aorta;</t>
        </is>
      </c>
      <c r="H111" t="inlineStr">
        <is>
          <t>dorsal root ganglion;superior cervical ganglion;olfactory bulb;adipose tissue;smooth muscle;adrenal cortex;atrioventricular node;skeletal muscle;uterus;prostate;uterus corpus;appendix;globus pallidus;ciliary ganglion;trigeminal ganglion;</t>
        </is>
      </c>
      <c r="I111" t="inlineStr">
        <is>
          <t>.</t>
        </is>
      </c>
      <c r="J111" t="inlineStr">
        <is>
          <t>.</t>
        </is>
      </c>
      <c r="K111" t="inlineStr">
        <is>
          <t>.</t>
        </is>
      </c>
      <c r="L111" t="inlineStr">
        <is>
          <t>.</t>
        </is>
      </c>
      <c r="M111" t="inlineStr">
        <is>
          <t>.</t>
        </is>
      </c>
      <c r="N111" t="inlineStr">
        <is>
          <t>.</t>
        </is>
      </c>
      <c r="O111" t="inlineStr">
        <is>
          <t>.</t>
        </is>
      </c>
    </row>
    <row r="112">
      <c r="A112" t="inlineStr">
        <is>
          <t>CAMK2D</t>
        </is>
      </c>
      <c r="B112" t="inlineStr">
        <is>
          <t>0.016661668817136</t>
        </is>
      </c>
      <c r="C112" t="inlineStr">
        <is>
          <t>calcium/calmodulin-dependent protein kinase II delta</t>
        </is>
      </c>
      <c r="D112" t="inlineStr">
        <is>
          <t xml:space="preserve">FUNCTION: Calcium/calmodulin-dependent protein kinase involved in the regulation of Ca(2+) homeostatis and excitation-contraction coupling (ECC) in heart by targeting ion channels, transporters and accessory proteins involved in Ca(2+) influx into the myocyte, Ca(2+) release from the sarcoplasmic reticulum (SR), SR Ca(2+) uptake and Na(+) and K(+) channel transport. Targets also transcription factors and signaling molecules to regulate heart function. In its activated form, is involved in the pathogenesis of dilated cardiomyopathy and heart failure. Contributes to cardiac decompensation and heart failure by regulating SR Ca(2+) release via direct phosphorylation of RYR2 Ca(2+) channel on 'Ser- 2808'. In the nucleus, phosphorylates the MEF2 repressor HDAC4, promoting its nuclear export and binding to 14-3-3 protein, and expression of MEF2 and genes involved in the hypertrophic program. Is essential for left ventricular remodeling responses to myocardial infarction. In pathological myocardial remodeling acts downstream of the beta adrenergic receptor signaling cascade to regulate key proteins involved in ECC. Regulates Ca(2+) influx to myocytes by binding and phosphorylating the L-type Ca(2+) channel subunit beta-2 CACNB2. In addition to Ca(2+) channels, can target and regulate the cardiac sarcolemmal Na(+) channel Nav1.5/SCN5A and the K+ channel Kv4.3/KCND3, which contribute to arrhythmogenesis in heart failure. Phosphorylates phospholamban (PLN/PLB), an endogenous inhibitor of SERCA2A/ATP2A2, contributing to the enhancement of SR Ca(2+) uptake that may be important in frequency-dependent acceleration of relaxation (FDAR) and maintenance of contractile function during acidosis. May participate in the modulation of skeletal muscle function in response to exercise, by regulating SR Ca(2+) transport through phosphorylation of PLN/PLB and triadin, a ryanodine receptor- coupling factor. {ECO:0000269|PubMed:16690701, ECO:0000269|PubMed:17179159}.; </t>
        </is>
      </c>
      <c r="E112" t="inlineStr">
        <is>
          <t>.</t>
        </is>
      </c>
      <c r="F112" t="inlineStr">
        <is>
          <t xml:space="preserve">TISSUE SPECIFICITY: Expressed in cardiac muscle and skeletal muscle. Isoform Delta 3, isoform Delta 2, isoform Delta 8 and isoform Delta 9 are expressed in cardiac muscle. Isoform Delta 11 is expressed in skeletal muscle. {ECO:0000269|PubMed:10189359, ECO:0000269|PubMed:16690701}.; </t>
        </is>
      </c>
      <c r="G112" t="inlineStr">
        <is>
          <t>myocardium;smooth muscle;colon;parathyroid;fovea centralis;skin;bone marrow;retina;uterus;prostate;atrium;whole body;frontal lobe;cochlea;cerebral cortex;bone;testis;germinal center;brain;amygdala;unclassifiable (Anatomical System);lymph node;heart;cartilage;cerebellum cortex;islets of Langerhans;hypothalamus;urinary;blood;skeletal muscle;pancreas;lung;macula lutea;visual apparatus;hippocampus;liver;spleen;kidney;mammary gland;stomach;cerebellum;</t>
        </is>
      </c>
      <c r="H112" t="inlineStr">
        <is>
          <t>trigeminal ganglion;cerebellum;</t>
        </is>
      </c>
      <c r="I112" t="inlineStr">
        <is>
          <t>.</t>
        </is>
      </c>
      <c r="J112" t="inlineStr">
        <is>
          <t>.</t>
        </is>
      </c>
      <c r="K112" t="inlineStr">
        <is>
          <t>.</t>
        </is>
      </c>
      <c r="L112" t="inlineStr">
        <is>
          <t>.</t>
        </is>
      </c>
      <c r="M112" t="inlineStr">
        <is>
          <t>.</t>
        </is>
      </c>
      <c r="N112" t="inlineStr">
        <is>
          <t>.</t>
        </is>
      </c>
      <c r="O112" t="inlineStr">
        <is>
          <t>.</t>
        </is>
      </c>
    </row>
    <row r="113">
      <c r="A113" t="inlineStr">
        <is>
          <t>CAMKMT</t>
        </is>
      </c>
      <c r="B113" t="inlineStr">
        <is>
          <t>5.14965805552299e-13</t>
        </is>
      </c>
      <c r="C113" t="inlineStr">
        <is>
          <t>calmodulin-lysine N-methyltransferase</t>
        </is>
      </c>
      <c r="D113" t="inlineStr">
        <is>
          <t xml:space="preserve">FUNCTION: Catalyzes the trimethylation of 'Lys-116' in calmodulin. {ECO:0000269|PubMed:20975703}.; </t>
        </is>
      </c>
      <c r="E113" t="inlineStr">
        <is>
          <t>.</t>
        </is>
      </c>
      <c r="F113" t="inlineStr">
        <is>
          <t xml:space="preserve">TISSUE SPECIFICITY: Isoform 1 is expressed in brain,liver, muscle colon and lung. Isoform 2 is expressed in colon, testis, kidney and brain. Isoform 1 and isoform 2 are expressed in normal lymphoblastoid cells but not in lymphoblastoid cells from patients with hypotonia-cystinuria syndrome. {ECO:0000269|PubMed:15913950}.; </t>
        </is>
      </c>
      <c r="G113" t="inlineStr">
        <is>
          <t>.</t>
        </is>
      </c>
      <c r="H113" t="inlineStr">
        <is>
          <t>.</t>
        </is>
      </c>
      <c r="I113" t="inlineStr">
        <is>
          <t>.</t>
        </is>
      </c>
      <c r="J113" t="inlineStr">
        <is>
          <t>.</t>
        </is>
      </c>
      <c r="K113" t="inlineStr">
        <is>
          <t>.</t>
        </is>
      </c>
      <c r="L113" t="inlineStr">
        <is>
          <t>.</t>
        </is>
      </c>
      <c r="M113" t="inlineStr">
        <is>
          <t>.</t>
        </is>
      </c>
      <c r="N113" t="inlineStr">
        <is>
          <t>.</t>
        </is>
      </c>
      <c r="O113" t="inlineStr">
        <is>
          <t>.</t>
        </is>
      </c>
    </row>
    <row r="114">
      <c r="A114" t="inlineStr">
        <is>
          <t>CARD11</t>
        </is>
      </c>
      <c r="B114" t="inlineStr">
        <is>
          <t>0.999939282123249</t>
        </is>
      </c>
      <c r="C114" t="inlineStr">
        <is>
          <t>caspase recruitment domain family member 11</t>
        </is>
      </c>
      <c r="D114" t="inlineStr">
        <is>
          <t xml:space="preserve">FUNCTION: Involved in the costimulatory signal essential for T- cell receptor (TCR)-mediated T-cell activation. Its binding to DPP4 induces T-cell proliferation and NF-kappa-B activation in a T-cell receptor/CD3-dependent manner. Activates NF-kappa-B via BCL10 and IKK. Stimulates the phosphorylation of BCL10.; </t>
        </is>
      </c>
      <c r="E114" t="inlineStr">
        <is>
          <t xml:space="preserve">DISEASE: B-cell expansion with NFKB and T-cell anergy (BENTA) [MIM:616452]: An autosomal dominant condition characterized by onset in infancy of splenomegaly and polyclonal expansion of B cells, resulting in peripheral lymphocytosis. Affected individuals also show mild immune dysfunction, including some defective antibody responses and T-cell anergy. There may be a predisposition to the development of B-cell malignancy. {ECO:0000269|PubMed:23129749}. Note=The disease is caused by mutations affecting the gene represented in this entry.; DISEASE: Immunodeficiency 11 (IMD11) [MIM:615206]: An autosomal recessive primary immunodeficiency characterized by normal numbers of T and B-lymphocytes, but defective intracellular signaling. There is a block in B-cell differentiation with increased numbers of transitional B-cells and hypogammaglobulinemia, as well as decreased numbers of regulatory T-cells and defects in T-cell function. {ECO:0000269|PubMed:23374270}. Note=The disease is caused by mutations affecting the gene represented in this entry.; </t>
        </is>
      </c>
      <c r="F114" t="inlineStr">
        <is>
          <t xml:space="preserve">TISSUE SPECIFICITY: Detected in adult peripheral blood leukocytes, thymus, spleen and liver. Also found in promyelocytic leukemia HL- 60 cells, chronic myelogenous leukemia K-562 cells, Burkitt's lymphoma Raji cells and colorectal adenocarcinoma SW480 cells. Not detected in HeLaS3, MOLT-4, A-549 and G431 cells. {ECO:0000269|PubMed:11278692}.; </t>
        </is>
      </c>
      <c r="G114" t="inlineStr">
        <is>
          <t>lymphoreticular;ovary;parathyroid;skin;uterus;prostate;cerebral cortex;thyroid;testis;germinal center;bladder;brain;tonsil;unclassifiable (Anatomical System);lymph node;heart;cartilage;blood;pancreas;lung;nasopharynx;placenta;hypopharynx;head and neck;stomach;thymus;</t>
        </is>
      </c>
      <c r="H114" t="inlineStr">
        <is>
          <t>white blood cells;</t>
        </is>
      </c>
      <c r="I114">
        <f>HYPERLINK("https://omim.org/entry/616452", "616452")</f>
        <v/>
      </c>
      <c r="J114">
        <f>HYPERLINK("https://omim.org/entry/615206", "615206")</f>
        <v/>
      </c>
      <c r="K114" t="inlineStr">
        <is>
          <t>.</t>
        </is>
      </c>
      <c r="L114" t="inlineStr">
        <is>
          <t>.</t>
        </is>
      </c>
      <c r="M114" t="inlineStr">
        <is>
          <t>.</t>
        </is>
      </c>
      <c r="N114" t="inlineStr">
        <is>
          <t>.</t>
        </is>
      </c>
      <c r="O114" t="inlineStr">
        <is>
          <t>.</t>
        </is>
      </c>
    </row>
    <row r="115">
      <c r="A115" t="inlineStr">
        <is>
          <t>CARD14</t>
        </is>
      </c>
      <c r="B115" t="inlineStr">
        <is>
          <t>3.14969356207765e-14</t>
        </is>
      </c>
      <c r="C115" t="inlineStr">
        <is>
          <t>caspase recruitment domain family member 14</t>
        </is>
      </c>
      <c r="D115" t="inlineStr">
        <is>
          <t xml:space="preserve">FUNCTION: Plays a role in signaling mediated by TRAF2, TRAF3 and TRAF6 and protects cells against apoptosis. Activates NF-kappa-B via BCL10 and IKK. Stimulates the phosphorylation of BCL10. {ECO:0000269|PubMed:21302310}.; </t>
        </is>
      </c>
      <c r="E115" t="inlineStr">
        <is>
          <t xml:space="preserve">DISEASE: Pityriasis rubra pilaris (PRP) [MIM:173200]: A rare, papulosquamous skin disease characterized by the appearance of keratotic follicular papules, well-demarcated salmon-colored erythematous plaques covered with fine powdery scales interspersed with distinct islands of uninvolved skin, and palmoplantar keratoderma. Most cases are sporadic. The rare familial cases show autosomal dominant inheritance with incomplete penetrance and variable expression. Familial PRP usually presents at birth or appears during the first years of life and runs a chronic course. It is characterized by prominent follicular hyperkeratosis, diffuse palmoplantar keratoderma, and erythema. {ECO:0000269|PubMed:22703878}. Note=The disease is caused by mutations affecting the gene represented in this entry.; </t>
        </is>
      </c>
      <c r="F115" t="inlineStr">
        <is>
          <t xml:space="preserve">TISSUE SPECIFICITY: Isoform 1 is detected in placenta and epidermal keratinocytes. Isoform 2 is detected in leukocytes and fetal brain. {ECO:0000269|PubMed:22521418}.; </t>
        </is>
      </c>
      <c r="G115" t="inlineStr">
        <is>
          <t>unclassifiable (Anatomical System);uterus;pancreas;bone;placenta;liver;cervix;spleen;brain;mammary gland;skeletal muscle;</t>
        </is>
      </c>
      <c r="H115" t="inlineStr">
        <is>
          <t>superior cervical ganglion;temporal lobe;globus pallidus;ciliary ganglion;atrioventricular node;pons;trigeminal ganglion;parietal lobe;skeletal muscle;</t>
        </is>
      </c>
      <c r="I115">
        <f>HYPERLINK("https://omim.org/entry/173200", "173200")</f>
        <v/>
      </c>
      <c r="J115" t="inlineStr">
        <is>
          <t>.</t>
        </is>
      </c>
      <c r="K115" t="inlineStr">
        <is>
          <t>.</t>
        </is>
      </c>
      <c r="L115" t="inlineStr">
        <is>
          <t>.</t>
        </is>
      </c>
      <c r="M115" t="inlineStr">
        <is>
          <t>.</t>
        </is>
      </c>
      <c r="N115" t="inlineStr">
        <is>
          <t>.</t>
        </is>
      </c>
      <c r="O115" t="inlineStr">
        <is>
          <t>.</t>
        </is>
      </c>
    </row>
    <row r="116">
      <c r="A116" t="inlineStr">
        <is>
          <t>CASS4</t>
        </is>
      </c>
      <c r="B116" t="inlineStr">
        <is>
          <t>0.296175209094422</t>
        </is>
      </c>
      <c r="C116" t="inlineStr">
        <is>
          <t>Cas scaffolding protein family member 4</t>
        </is>
      </c>
      <c r="D116" t="inlineStr">
        <is>
          <t xml:space="preserve">FUNCTION: Docking protein that plays a role in tyrosine kinase- based signaling related to cell adhesion and cell spreading. Regulates PTK2/FAK1 activity, focal adhesion integrity, and cell spreading. {ECO:0000269|PubMed:18256281}.; </t>
        </is>
      </c>
      <c r="E116" t="inlineStr">
        <is>
          <t>.</t>
        </is>
      </c>
      <c r="F116" t="inlineStr">
        <is>
          <t xml:space="preserve">TISSUE SPECIFICITY: Expressed abundantly in lung and spleen. Also highly expressed in ovarian and leukemia cell lines. {ECO:0000269|PubMed:18256281}.; </t>
        </is>
      </c>
      <c r="G116" t="inlineStr">
        <is>
          <t>unclassifiable (Anatomical System);lung;spleen;brain;stomach;</t>
        </is>
      </c>
      <c r="H116" t="inlineStr">
        <is>
          <t>superior cervical ganglion;testis - seminiferous tubule;ciliary ganglion;atrioventricular node;pons;cingulate cortex;skeletal muscle;</t>
        </is>
      </c>
      <c r="I116" t="inlineStr">
        <is>
          <t>.</t>
        </is>
      </c>
      <c r="J116" t="inlineStr">
        <is>
          <t>.</t>
        </is>
      </c>
      <c r="K116" t="inlineStr">
        <is>
          <t>.</t>
        </is>
      </c>
      <c r="L116" t="inlineStr">
        <is>
          <t>.</t>
        </is>
      </c>
      <c r="M116" t="inlineStr">
        <is>
          <t>.</t>
        </is>
      </c>
      <c r="N116" t="inlineStr">
        <is>
          <t>.</t>
        </is>
      </c>
      <c r="O116" t="inlineStr">
        <is>
          <t>.</t>
        </is>
      </c>
    </row>
    <row r="117">
      <c r="A117" t="inlineStr">
        <is>
          <t>CASZ1</t>
        </is>
      </c>
      <c r="B117" t="inlineStr">
        <is>
          <t>0.999938476327784</t>
        </is>
      </c>
      <c r="C117" t="inlineStr">
        <is>
          <t>castor zinc finger 1</t>
        </is>
      </c>
      <c r="D117" t="inlineStr">
        <is>
          <t xml:space="preserve">FUNCTION: Transcription factor involved in vascular assembly and morphogenesis through direct transcriptional regulation of EGFL7. {ECO:0000269|PubMed:23639441}.; </t>
        </is>
      </c>
      <c r="E117" t="inlineStr">
        <is>
          <t>.</t>
        </is>
      </c>
      <c r="F117" t="inlineStr">
        <is>
          <t xml:space="preserve">TISSUE SPECIFICITY: Expressed in heart, lung, skeletal muscle, pancreas, testis, small intestine, and stomach, but it is not detectable in the adult brain. {ECO:0000269|PubMed:16631614}.; </t>
        </is>
      </c>
      <c r="G117" t="inlineStr">
        <is>
          <t>unclassifiable (Anatomical System);medulla oblongata;ovary;cartilage;colon;fovea centralis;choroid;lens;retina;uterus;breast;pancreas;prostate;optic nerve;macula lutea;stomach;</t>
        </is>
      </c>
      <c r="H117" t="inlineStr">
        <is>
          <t>superior cervical ganglion;ciliary ganglion;trigeminal ganglion;skeletal muscle;</t>
        </is>
      </c>
      <c r="I117" t="inlineStr">
        <is>
          <t>.</t>
        </is>
      </c>
      <c r="J117" t="inlineStr">
        <is>
          <t>.</t>
        </is>
      </c>
      <c r="K117" t="inlineStr">
        <is>
          <t>.</t>
        </is>
      </c>
      <c r="L117" t="inlineStr">
        <is>
          <t>.</t>
        </is>
      </c>
      <c r="M117" t="inlineStr">
        <is>
          <t>.</t>
        </is>
      </c>
      <c r="N117" t="inlineStr">
        <is>
          <t>.</t>
        </is>
      </c>
      <c r="O117" t="inlineStr">
        <is>
          <t>.</t>
        </is>
      </c>
    </row>
    <row r="118">
      <c r="A118" t="inlineStr">
        <is>
          <t>CBL</t>
        </is>
      </c>
      <c r="B118" t="inlineStr">
        <is>
          <t>0.00678735718516732</t>
        </is>
      </c>
      <c r="C118" t="inlineStr">
        <is>
          <t>Cbl proto-oncogene, E3 ubiquitin protein ligase</t>
        </is>
      </c>
      <c r="D118" t="inlineStr">
        <is>
          <t xml:space="preserve">FUNCTION: Adapter protein that functions as a negative regulator of many signaling pathways that are triggered by activation of cell surface receptors. Acts as an E3 ubiquitin-protein ligase, which accepts ubiquitin from specific E2 ubiquitin-conjugating enzymes, and then transfers it to substrates promoting their degradation by the proteasome. Recognizes activated receptor tyrosine kinases, including KIT, FLT1, FGFR1, FGFR2, PDGFRA, PDGFRB, EGFR, CSF1R, EPHA8 and KDR and terminates signaling. Recognizes membrane-bound HCK, SRC and other kinases of the SRC family and mediates their ubiquitination and degradation. Participates in signal transduction in hematopoietic cells. Plays an important role in the regulation of osteoblast differentiation and apoptosis. Essential for osteoclastic bone resorption. The 'Tyr-731' phosphorylated form induces the activation and recruitment of phosphatidylinositol 3-kinase to the cell membrane in a signaling pathway that is critical for osteoclast function. May be functionally coupled with the E2 ubiquitin-protein ligase UB2D3. {ECO:0000269|PubMed:10514377, ECO:0000269|PubMed:11896602, ECO:0000269|PubMed:14661060, ECO:0000269|PubMed:14739300, ECO:0000269|PubMed:15190072, ECO:0000269|PubMed:17509076, ECO:0000269|PubMed:18374639, ECO:0000269|PubMed:19689429, ECO:0000269|PubMed:21596750}.; </t>
        </is>
      </c>
      <c r="E118" t="inlineStr">
        <is>
          <t xml:space="preserve">DISEASE: Noonan syndrome-like disorder with or without juvenile myelomonocytic leukemia (NSLL) [MIM:613563]: A syndrome characterized by a phenotype reminiscent of Noonan syndrome. Clinical features are highly variable, including facial dysmorphism, short neck, developmental delay, hyperextensible joints and thorax abnormalities with widely spaced nipples. The facial features consist of triangular face with hypertelorism, large low-set ears, ptosis, and flat nasal bridge. Some patients manifest cardiac defects. Some have an increased risk for certain malignancies, particularly juvenile myelomonocytic leukemia. {ECO:0000269|PubMed:20619386}. Note=The disease is caused by mutations affecting the gene represented in this entry.; </t>
        </is>
      </c>
      <c r="F118" t="inlineStr">
        <is>
          <t>.</t>
        </is>
      </c>
      <c r="G118" t="inlineStr">
        <is>
          <t>unclassifiable (Anatomical System);breast;lung;testis;colon;blood;skeletal muscle;bone marrow;</t>
        </is>
      </c>
      <c r="H118" t="inlineStr">
        <is>
          <t>testis - interstitial;superior cervical ganglion;testis;skeletal muscle;</t>
        </is>
      </c>
      <c r="I118">
        <f>HYPERLINK("https://omim.org/entry/613563", "613563")</f>
        <v/>
      </c>
      <c r="J118" t="inlineStr">
        <is>
          <t>.</t>
        </is>
      </c>
      <c r="K118" t="inlineStr">
        <is>
          <t>.</t>
        </is>
      </c>
      <c r="L118" t="inlineStr">
        <is>
          <t>.</t>
        </is>
      </c>
      <c r="M118" t="inlineStr">
        <is>
          <t>.</t>
        </is>
      </c>
      <c r="N118" t="inlineStr">
        <is>
          <t>.</t>
        </is>
      </c>
      <c r="O118" t="inlineStr">
        <is>
          <t>.</t>
        </is>
      </c>
    </row>
    <row r="119">
      <c r="A119" t="inlineStr">
        <is>
          <t>CBS</t>
        </is>
      </c>
      <c r="B119" t="inlineStr">
        <is>
          <t>0.00677205373062702</t>
        </is>
      </c>
      <c r="C119" t="inlineStr">
        <is>
          <t>cystathionine-beta-synthase</t>
        </is>
      </c>
      <c r="D119" t="inlineStr">
        <is>
          <t xml:space="preserve">FUNCTION: Hydro-lyase catalyzing the first step of the transsulfuration pathway, where the hydroxyl group of L-serine is displaced by L-homocysteine in a beta-replacement reaction to form L-cystathionine, the precursor of L-cysteine. This catabolic route allows the elimination of L-methionine and the toxic metabolite L- homocysteine (PubMed:23981774, PubMed:20506325, PubMed:23974653). Also involved in the production of hydrogen sulfide, a gasotransmitter with signaling and cytoprotective effects on neurons (By similarity). {ECO:0000250|UniProtKB:P32232, ECO:0000269|PubMed:20506325, ECO:0000269|PubMed:23974653, ECO:0000269|PubMed:23981774}.; </t>
        </is>
      </c>
      <c r="E119" t="inlineStr">
        <is>
          <t>.</t>
        </is>
      </c>
      <c r="F119" t="inlineStr">
        <is>
          <t xml:space="preserve">TISSUE SPECIFICITY: In the adult strongly expressed in liver and pancreas, some expression in heart and brain, weak expression in lung and kidney. In the fetus, expressed in brain, liver and kidney.; </t>
        </is>
      </c>
      <c r="G119" t="inlineStr">
        <is>
          <t>lymphoreticular;ovary;colon;skin;bone marrow;uterus;prostate;frontal lobe;cerebral cortex;bone;iris;pituitary gland;testis;brain;unclassifiable (Anatomical System);lymph node;cartilage;heart;tongue;islets of Langerhans;muscle;skeletal muscle;breast;pancreas;lung;cornea;epididymis;placenta;visual apparatus;liver;amnion;spleen;head and neck;cervix;kidney;mammary gland;stomach;</t>
        </is>
      </c>
      <c r="H119" t="inlineStr">
        <is>
          <t>superior cervical ganglion;liver;</t>
        </is>
      </c>
      <c r="I119" t="inlineStr">
        <is>
          <t>.</t>
        </is>
      </c>
      <c r="J119" t="inlineStr">
        <is>
          <t>.</t>
        </is>
      </c>
      <c r="K119" t="inlineStr">
        <is>
          <t>.</t>
        </is>
      </c>
      <c r="L119" t="inlineStr">
        <is>
          <t>.</t>
        </is>
      </c>
      <c r="M119" t="inlineStr">
        <is>
          <t>.</t>
        </is>
      </c>
      <c r="N119" t="inlineStr">
        <is>
          <t>.</t>
        </is>
      </c>
      <c r="O119" t="inlineStr">
        <is>
          <t>.</t>
        </is>
      </c>
    </row>
    <row r="120">
      <c r="A120" t="inlineStr">
        <is>
          <t>CBSL</t>
        </is>
      </c>
      <c r="B120" t="inlineStr">
        <is>
          <t>.</t>
        </is>
      </c>
      <c r="C120" t="inlineStr">
        <is>
          <t>cystathionine-beta-synthase like</t>
        </is>
      </c>
      <c r="D120" t="inlineStr">
        <is>
          <t xml:space="preserve">FUNCTION: Hydro-lyase catalyzing the first step of the transsulfuration pathway, where the hydroxyl group of L-serine is displaced by L-homocysteine in a beta-replacement reaction to form L-cystathionine, the precursor of L-cysteine. This catabolic route allows the elimination of L-methionine and the toxic metabolite L- homocysteine. Also involved in the production of hydrogen sulfide, a gasotransmitter with signaling and cytoprotective effects on neurons. {ECO:0000250|UniProtKB:P32232, ECO:0000250|UniProtKB:P35520}.; </t>
        </is>
      </c>
      <c r="E120" t="inlineStr">
        <is>
          <t>.</t>
        </is>
      </c>
      <c r="F120" t="inlineStr">
        <is>
          <t>.</t>
        </is>
      </c>
      <c r="G120" t="inlineStr">
        <is>
          <t>.</t>
        </is>
      </c>
      <c r="H120" t="inlineStr">
        <is>
          <t>.</t>
        </is>
      </c>
      <c r="I120" t="inlineStr">
        <is>
          <t>.</t>
        </is>
      </c>
      <c r="J120" t="inlineStr">
        <is>
          <t>.</t>
        </is>
      </c>
      <c r="K120" t="inlineStr">
        <is>
          <t>.</t>
        </is>
      </c>
      <c r="L120" t="inlineStr">
        <is>
          <t>.</t>
        </is>
      </c>
      <c r="M120" t="inlineStr">
        <is>
          <t>.</t>
        </is>
      </c>
      <c r="N120" t="inlineStr">
        <is>
          <t>.</t>
        </is>
      </c>
      <c r="O120" t="inlineStr">
        <is>
          <t>.</t>
        </is>
      </c>
    </row>
    <row r="121">
      <c r="A121" t="inlineStr">
        <is>
          <t>CBX2</t>
        </is>
      </c>
      <c r="B121" t="inlineStr">
        <is>
          <t>0.954823918488159</t>
        </is>
      </c>
      <c r="C121" t="inlineStr">
        <is>
          <t>chromobox 2</t>
        </is>
      </c>
      <c r="D121" t="inlineStr">
        <is>
          <t xml:space="preserve">FUNCTION: Component of a Polycomb group (PcG) multiprotein PRC1- like complex, a complex class required to maintain the transcriptionally repressive state of many genes, including Hox genes, throughout development. PcG PRC1 complex acts via chromatin remodeling and modification of histones; it mediates monoubiquitination of histone H2A 'Lys-119', rendering chromatin heritably changed in its expressibility. Involved in sexual development, acting as activator of NR5A1 expression. {ECO:0000269|PubMed:19361780, ECO:0000269|PubMed:21282530}.; </t>
        </is>
      </c>
      <c r="E121" t="inlineStr">
        <is>
          <t xml:space="preserve">DISEASE: 46,XY sex reversal 5 (SRXY5) [MIM:613080]: A disorder of sex development. Affected individuals have a 46,XY karyotype but present as phenotypically normal females. {ECO:0000269|PubMed:19361780}. Note=The disease is caused by mutations affecting the gene represented in this entry.; </t>
        </is>
      </c>
      <c r="F121" t="inlineStr">
        <is>
          <t>.</t>
        </is>
      </c>
      <c r="G121" t="inlineStr">
        <is>
          <t>unclassifiable (Anatomical System);uterus;pancreas;smooth muscle;endometrium;visual apparatus;colon;kidney;</t>
        </is>
      </c>
      <c r="H121" t="inlineStr">
        <is>
          <t>testis - interstitial;trigeminal ganglion;skeletal muscle;cingulate cortex;</t>
        </is>
      </c>
      <c r="I121">
        <f>HYPERLINK("https://omim.org/entry/613080", "613080")</f>
        <v/>
      </c>
      <c r="J121" t="inlineStr">
        <is>
          <t>.</t>
        </is>
      </c>
      <c r="K121" t="inlineStr">
        <is>
          <t>.</t>
        </is>
      </c>
      <c r="L121" t="inlineStr">
        <is>
          <t>.</t>
        </is>
      </c>
      <c r="M121" t="inlineStr">
        <is>
          <t>.</t>
        </is>
      </c>
      <c r="N121" t="inlineStr">
        <is>
          <t>.</t>
        </is>
      </c>
      <c r="O121" t="inlineStr">
        <is>
          <t>.</t>
        </is>
      </c>
    </row>
    <row r="122">
      <c r="A122" t="inlineStr">
        <is>
          <t>CCAR2</t>
        </is>
      </c>
      <c r="B122" t="inlineStr">
        <is>
          <t>0.960454889427648</t>
        </is>
      </c>
      <c r="C122" t="inlineStr">
        <is>
          <t>cell cycle and apoptosis regulator 2</t>
        </is>
      </c>
      <c r="D122" t="inlineStr">
        <is>
          <t xml:space="preserve">FUNCTION: Core component of the DBIRD complex, a multiprotein complex that acts at the interface between core mRNP particles and RNA polymerase II (RNAPII) and integrates transcript elongation with the regulation of alternative splicing: the DBIRD complex affects local transcript elongation rates and alternative splicing of a large set of exons embedded in (A + T)-rich DNA regions. Inhibits SIRT1 deacetylase activity leading to increasing levels of p53/TP53 acetylation and p53-mediated apoptosis. Inhibits SUV39H1 methyltransferase activity. As part of a histone H3- specific methyltransferase complex may mediate ligand-dependent transcriptional activation by nuclear hormone receptors. Plays a critical role in maintaining genomic stability and cellular integrity following UV-induced genotoxic stress. Regulates the circadian expression of the core clock components NR1D1 and ARNTL/BMAL1. Enhances the transcriptional repressor activity of NR1D1 through stabilization of NR1D1 protein levels by preventing its ubiquitination and subsequent degradation (PubMed:18235501, PubMed:18235502, PubMed:19131338, PubMed:19218236, PubMed:22446626, PubMed:23352644, PubMed:23398316). Represses the ligand-dependent transcriptional activation function of ESR2 (PubMed:20074560). Acts as a regulator of PCK1 expression and gluconeogenesis by a mechanism that involves, at least in part, both NR1D1 and SIRT1 (PubMed:24415752). Negatively regulates the deacetylase activity of HDAC3 and can alter its subcellular localization (PubMed:21030595). Positively regulates the beta- catenin pathway (canonical Wnt signaling pathway) and is required for MCC-mediated repression of the beta-catenin pathway (PubMed:24824780). Represses ligand-dependent transcriptional activation function of NR1H2 and NR1H3 and inhibits the interaction of SIRT1 with NR1H3 (PubMed:25661920). Plays an important role in tumor suppression through p53/TP53 regulation; stabilizes p53/TP53 by affecting its interaction with ubiquitin ligase MDM2 (PubMed:25732823). Represses the transcriptional activator activity of BRCA1 (PubMed:20160719). Inhibits SIRT1 in a CHEK2 and PSEM3-dependent manner and inhibits the activity of CHEK2 in vitro (PubMed:25361978). {ECO:0000269|PubMed:18235501, ECO:0000269|PubMed:18235502, ECO:0000269|PubMed:19131338, ECO:0000269|PubMed:19218236, ECO:0000269|PubMed:20074560, ECO:0000269|PubMed:20160719, ECO:0000269|PubMed:21030595, ECO:0000269|PubMed:22446626, ECO:0000269|PubMed:23352644, ECO:0000269|PubMed:23398316, ECO:0000269|PubMed:24415752, ECO:0000269|PubMed:24824780, ECO:0000269|PubMed:25361978, ECO:0000269|PubMed:25661920, ECO:0000269|PubMed:25732823}.; </t>
        </is>
      </c>
      <c r="E122" t="inlineStr">
        <is>
          <t>.</t>
        </is>
      </c>
      <c r="F122" t="inlineStr">
        <is>
          <t xml:space="preserve">TISSUE SPECIFICITY: Expressed in gastric carcinoma tissue and the expression gradually increases with the progression of the carcinoma (at protein level). Expressed ubiquitously in normal tissues. Expressed in 84 to 100% of neoplastic breast, lung, and colon tissues. {ECO:0000269|PubMed:12370419, ECO:0000269|PubMed:24962073}.; </t>
        </is>
      </c>
      <c r="G122" t="inlineStr">
        <is>
          <t>.</t>
        </is>
      </c>
      <c r="H122" t="inlineStr">
        <is>
          <t>.</t>
        </is>
      </c>
      <c r="I122" t="inlineStr">
        <is>
          <t>.</t>
        </is>
      </c>
      <c r="J122" t="inlineStr">
        <is>
          <t>.</t>
        </is>
      </c>
      <c r="K122" t="inlineStr">
        <is>
          <t>.</t>
        </is>
      </c>
      <c r="L122" t="inlineStr">
        <is>
          <t>.</t>
        </is>
      </c>
      <c r="M122" t="inlineStr">
        <is>
          <t>.</t>
        </is>
      </c>
      <c r="N122" t="inlineStr">
        <is>
          <t>.</t>
        </is>
      </c>
      <c r="O122" t="inlineStr">
        <is>
          <t>.</t>
        </is>
      </c>
    </row>
    <row r="123">
      <c r="A123" t="inlineStr">
        <is>
          <t>CCDC102B</t>
        </is>
      </c>
      <c r="B123" t="inlineStr">
        <is>
          <t>3.31193608462394e-09</t>
        </is>
      </c>
      <c r="C123" t="inlineStr">
        <is>
          <t>coiled-coil domain containing 102B</t>
        </is>
      </c>
      <c r="D123" t="inlineStr">
        <is>
          <t>.</t>
        </is>
      </c>
      <c r="E123" t="inlineStr">
        <is>
          <t>.</t>
        </is>
      </c>
      <c r="F123" t="inlineStr">
        <is>
          <t>.</t>
        </is>
      </c>
      <c r="G123" t="inlineStr">
        <is>
          <t>unclassifiable (Anatomical System);lung;whole body;cartilage;islets of Langerhans;larynx;testis;spleen;head and neck;kidney;mammary gland;retina;</t>
        </is>
      </c>
      <c r="H123" t="inlineStr">
        <is>
          <t>superior cervical ganglion;uterus corpus;skeletal muscle;</t>
        </is>
      </c>
      <c r="I123" t="inlineStr">
        <is>
          <t>.</t>
        </is>
      </c>
      <c r="J123" t="inlineStr">
        <is>
          <t>.</t>
        </is>
      </c>
      <c r="K123" t="inlineStr">
        <is>
          <t>.</t>
        </is>
      </c>
      <c r="L123" t="inlineStr">
        <is>
          <t>.</t>
        </is>
      </c>
      <c r="M123" t="inlineStr">
        <is>
          <t>.</t>
        </is>
      </c>
      <c r="N123" t="inlineStr">
        <is>
          <t>.</t>
        </is>
      </c>
      <c r="O123" t="inlineStr">
        <is>
          <t>.</t>
        </is>
      </c>
    </row>
    <row r="124">
      <c r="A124" t="inlineStr">
        <is>
          <t>CCDC171</t>
        </is>
      </c>
      <c r="B124" t="inlineStr">
        <is>
          <t>.</t>
        </is>
      </c>
      <c r="C124" t="inlineStr">
        <is>
          <t>coiled-coil domain containing 171</t>
        </is>
      </c>
      <c r="D124" t="inlineStr">
        <is>
          <t>.</t>
        </is>
      </c>
      <c r="E124" t="inlineStr">
        <is>
          <t>.</t>
        </is>
      </c>
      <c r="F124" t="inlineStr">
        <is>
          <t>.</t>
        </is>
      </c>
      <c r="G124" t="inlineStr">
        <is>
          <t>.</t>
        </is>
      </c>
      <c r="H124" t="inlineStr">
        <is>
          <t>.</t>
        </is>
      </c>
      <c r="I124" t="inlineStr">
        <is>
          <t>.</t>
        </is>
      </c>
      <c r="J124" t="inlineStr">
        <is>
          <t>.</t>
        </is>
      </c>
      <c r="K124" t="inlineStr">
        <is>
          <t>.</t>
        </is>
      </c>
      <c r="L124" t="inlineStr">
        <is>
          <t>.</t>
        </is>
      </c>
      <c r="M124" t="inlineStr">
        <is>
          <t>.</t>
        </is>
      </c>
      <c r="N124" t="inlineStr">
        <is>
          <t>.</t>
        </is>
      </c>
      <c r="O124" t="inlineStr">
        <is>
          <t>.</t>
        </is>
      </c>
    </row>
    <row r="125">
      <c r="A125" t="inlineStr">
        <is>
          <t>CCDC180</t>
        </is>
      </c>
      <c r="B125" t="inlineStr">
        <is>
          <t>5.35201684379183e-22</t>
        </is>
      </c>
      <c r="C125" t="inlineStr">
        <is>
          <t>coiled-coil domain containing 180</t>
        </is>
      </c>
      <c r="D125" t="inlineStr">
        <is>
          <t>.</t>
        </is>
      </c>
      <c r="E125" t="inlineStr">
        <is>
          <t>.</t>
        </is>
      </c>
      <c r="F125" t="inlineStr">
        <is>
          <t>.</t>
        </is>
      </c>
      <c r="G125" t="inlineStr">
        <is>
          <t>.</t>
        </is>
      </c>
      <c r="H125" t="inlineStr">
        <is>
          <t>.</t>
        </is>
      </c>
      <c r="I125" t="inlineStr">
        <is>
          <t>.</t>
        </is>
      </c>
      <c r="J125" t="inlineStr">
        <is>
          <t>.</t>
        </is>
      </c>
      <c r="K125" t="inlineStr">
        <is>
          <t>.</t>
        </is>
      </c>
      <c r="L125" t="inlineStr">
        <is>
          <t>.</t>
        </is>
      </c>
      <c r="M125" t="inlineStr">
        <is>
          <t>.</t>
        </is>
      </c>
      <c r="N125" t="inlineStr">
        <is>
          <t>.</t>
        </is>
      </c>
      <c r="O125" t="inlineStr">
        <is>
          <t>.</t>
        </is>
      </c>
    </row>
    <row r="126">
      <c r="A126" t="inlineStr">
        <is>
          <t>CCDC191</t>
        </is>
      </c>
      <c r="B126" t="inlineStr">
        <is>
          <t>.</t>
        </is>
      </c>
      <c r="C126" t="inlineStr">
        <is>
          <t>coiled-coil domain containing 191</t>
        </is>
      </c>
      <c r="D126" t="inlineStr">
        <is>
          <t>.</t>
        </is>
      </c>
      <c r="E126" t="inlineStr">
        <is>
          <t>.</t>
        </is>
      </c>
      <c r="F126" t="inlineStr">
        <is>
          <t>.</t>
        </is>
      </c>
      <c r="G126" t="inlineStr">
        <is>
          <t>.</t>
        </is>
      </c>
      <c r="H126" t="inlineStr">
        <is>
          <t>.</t>
        </is>
      </c>
      <c r="I126" t="inlineStr">
        <is>
          <t>.</t>
        </is>
      </c>
      <c r="J126" t="inlineStr">
        <is>
          <t>.</t>
        </is>
      </c>
      <c r="K126" t="inlineStr">
        <is>
          <t>.</t>
        </is>
      </c>
      <c r="L126" t="inlineStr">
        <is>
          <t>.</t>
        </is>
      </c>
      <c r="M126" t="inlineStr">
        <is>
          <t>.</t>
        </is>
      </c>
      <c r="N126" t="inlineStr">
        <is>
          <t>.</t>
        </is>
      </c>
      <c r="O126" t="inlineStr">
        <is>
          <t>.</t>
        </is>
      </c>
    </row>
    <row r="127">
      <c r="A127" t="inlineStr">
        <is>
          <t>CCDC34</t>
        </is>
      </c>
      <c r="B127" t="inlineStr">
        <is>
          <t>4.91354825835912e-07</t>
        </is>
      </c>
      <c r="C127" t="inlineStr">
        <is>
          <t>coiled-coil domain containing 34</t>
        </is>
      </c>
      <c r="D127" t="inlineStr">
        <is>
          <t>.</t>
        </is>
      </c>
      <c r="E127" t="inlineStr">
        <is>
          <t xml:space="preserve">DISEASE: Note=A chromosomal aberration involving CCDC34 is found in a patient with hamartoma of the retinal pigment epithelium and retina. Translocation t(11;18) (p13;p11.2). {ECO:0000269|PubMed:11173847}.; </t>
        </is>
      </c>
      <c r="F127" t="inlineStr">
        <is>
          <t>.</t>
        </is>
      </c>
      <c r="G127" t="inlineStr">
        <is>
          <t>smooth muscle;ovary;salivary gland;intestine;colon;parathyroid;fovea centralis;choroid;skin;retina;prostate;optic nerve;whole body;thyroid;bone;testis;germinal center;bladder;brain;unclassifiable (Anatomical System);islets of Langerhans;pharynx;blood;lens;breast;lung;cornea;placenta;macula lutea;visual apparatus;liver;head and neck;cervix;kidney;mammary gland;stomach;thymus;</t>
        </is>
      </c>
      <c r="H127" t="inlineStr">
        <is>
          <t>testis - interstitial;superior cervical ganglion;testis - seminiferous tubule;testis;globus pallidus;trigeminal ganglion;</t>
        </is>
      </c>
      <c r="I127" t="inlineStr">
        <is>
          <t>.</t>
        </is>
      </c>
      <c r="J127" t="inlineStr">
        <is>
          <t>.</t>
        </is>
      </c>
      <c r="K127" t="inlineStr">
        <is>
          <t>.</t>
        </is>
      </c>
      <c r="L127" t="inlineStr">
        <is>
          <t>.</t>
        </is>
      </c>
      <c r="M127" t="inlineStr">
        <is>
          <t>.</t>
        </is>
      </c>
      <c r="N127" t="inlineStr">
        <is>
          <t>.</t>
        </is>
      </c>
      <c r="O127" t="inlineStr">
        <is>
          <t>.</t>
        </is>
      </c>
    </row>
    <row r="128">
      <c r="A128" t="inlineStr">
        <is>
          <t>CCDC40</t>
        </is>
      </c>
      <c r="B128" t="inlineStr">
        <is>
          <t>6.32159262183706e-11</t>
        </is>
      </c>
      <c r="C128" t="inlineStr">
        <is>
          <t>coiled-coil domain containing 40</t>
        </is>
      </c>
      <c r="D128" t="inlineStr">
        <is>
          <t xml:space="preserve">FUNCTION: Required for assembly of dynein regulatory complex (DRC) and inner dynein arm (IDA) complexes, which are responsible for ciliary beat regulation, thereby playing a central role in motility in cilia and flagella (PubMed:21131974). Probably acts together with CCDC39 to form a molecular ruler that determines the 96 nanometer (nm) repeat length and arrangements of components in cilia and flagella (By similarity). Not required for outer dynein arm complexes assembly. Required for axonemal recruitment of CCDC39 (PubMed:21131974). {ECO:0000250|UniProtKB:A8IQT2, ECO:0000269|PubMed:21131974}.; </t>
        </is>
      </c>
      <c r="E128" t="inlineStr">
        <is>
          <t xml:space="preserve">DISEASE: Ciliary dyskinesia, primary, 15 (CILD15) [MIM:613808]: A disorder characterized by abnormalities of motile cilia. Respiratory infections leading to chronic inflammation and bronchiectasis are recurrent, due to defects in the respiratory cilia; reduced fertility is often observed in male patients due to abnormalities of sperm tails. Half of the patients exhibit randomization of left-right body asymmetry and situs inversus, due to dysfunction of monocilia at the embryonic node. Primary ciliary dyskinesia associated with situs inversus is referred to as Kartagener syndrome. {ECO:0000269|PubMed:21131974, ECO:0000269|PubMed:22693285, ECO:0000269|PubMed:23255504, ECO:0000269|PubMed:23402890, ECO:0000269|PubMed:25186273}. Note=The disease is caused by mutations affecting the gene represented in this entry. The disease is characterized by primary ciliary dyskinesia with inner dynein arm (IDA) defects and axonemal dizorganisation: defects in CCDC39 and CCDC40 constitute the major cause of this phenotype. {ECO:0000269|PubMed:22693285, ECO:0000269|PubMed:23255504}.; </t>
        </is>
      </c>
      <c r="F128" t="inlineStr">
        <is>
          <t>.</t>
        </is>
      </c>
      <c r="G128" t="inlineStr">
        <is>
          <t>unclassifiable (Anatomical System);uterus;prostate;endometrium;liver;testis;colon;kidney;mammary gland;skin;skeletal muscle;stomach;</t>
        </is>
      </c>
      <c r="H128" t="inlineStr">
        <is>
          <t>dorsal root ganglion;superior cervical ganglion;subthalamic nucleus;testis;ciliary ganglion;pons;atrioventricular node;trigeminal ganglion;skeletal muscle;</t>
        </is>
      </c>
      <c r="I128">
        <f>HYPERLINK("https://omim.org/entry/613808", "613808")</f>
        <v/>
      </c>
      <c r="J128" t="inlineStr">
        <is>
          <t>.</t>
        </is>
      </c>
      <c r="K128" t="inlineStr">
        <is>
          <t>.</t>
        </is>
      </c>
      <c r="L128" t="inlineStr">
        <is>
          <t>.</t>
        </is>
      </c>
      <c r="M128" t="inlineStr">
        <is>
          <t>.</t>
        </is>
      </c>
      <c r="N128" t="inlineStr">
        <is>
          <t>.</t>
        </is>
      </c>
      <c r="O128" t="inlineStr">
        <is>
          <t>.</t>
        </is>
      </c>
    </row>
    <row r="129">
      <c r="A129" t="inlineStr">
        <is>
          <t>CCDC74B</t>
        </is>
      </c>
      <c r="B129" t="inlineStr">
        <is>
          <t>1.19190170799534e-06</t>
        </is>
      </c>
      <c r="C129" t="inlineStr">
        <is>
          <t>coiled-coil domain containing 74B</t>
        </is>
      </c>
      <c r="D129" t="inlineStr">
        <is>
          <t>.</t>
        </is>
      </c>
      <c r="E129" t="inlineStr">
        <is>
          <t>.</t>
        </is>
      </c>
      <c r="F129" t="inlineStr">
        <is>
          <t>.</t>
        </is>
      </c>
      <c r="G129" t="inlineStr">
        <is>
          <t>unclassifiable (Anatomical System);medulla oblongata;heart;colon;lens;skin;uterus;pancreas;prostate;lung;endometrium;bone;placenta;iris;pituitary gland;liver;testis;spleen;cervix;kidney;brain;pineal gland;mammary gland;stomach;</t>
        </is>
      </c>
      <c r="H129" t="inlineStr">
        <is>
          <t>.</t>
        </is>
      </c>
      <c r="I129" t="inlineStr">
        <is>
          <t>.</t>
        </is>
      </c>
      <c r="J129" t="inlineStr">
        <is>
          <t>.</t>
        </is>
      </c>
      <c r="K129" t="inlineStr">
        <is>
          <t>.</t>
        </is>
      </c>
      <c r="L129" t="inlineStr">
        <is>
          <t>.</t>
        </is>
      </c>
      <c r="M129" t="inlineStr">
        <is>
          <t>.</t>
        </is>
      </c>
      <c r="N129" t="inlineStr">
        <is>
          <t>.</t>
        </is>
      </c>
      <c r="O129" t="inlineStr">
        <is>
          <t>.</t>
        </is>
      </c>
    </row>
    <row r="130">
      <c r="A130" t="inlineStr">
        <is>
          <t>CCDC88C</t>
        </is>
      </c>
      <c r="B130" t="inlineStr">
        <is>
          <t>2.17322769994979e-06</t>
        </is>
      </c>
      <c r="C130" t="inlineStr">
        <is>
          <t>coiled-coil domain containing 88C</t>
        </is>
      </c>
      <c r="D130" t="inlineStr">
        <is>
          <t xml:space="preserve">FUNCTION: Negative regulator of the canonical Wnt signaling pathway, acting downstream of DVL to inhibit CTNNB1/Beta-catenin stabilization (By similarity). May also activate the JNK signaling pathway (PubMed:25062847). {ECO:0000250|UniProtKB:Q6VGS5, ECO:0000269|PubMed:25062847}.; </t>
        </is>
      </c>
      <c r="E130" t="inlineStr">
        <is>
          <t xml:space="preserve">DISEASE: Hydrocephalus, non-syndromic, autosomal recessive 1 (HYC1) [MIM:236600]: A disease characterized by a disturbance of cerebrospinal fluid circulation causing accumulation of ventricular cerebrospinal fluid, which results in progressive ventricular dilatation with onset in utero. Affected individuals may have neurologic impairment. {ECO:0000269|PubMed:21031079, ECO:0000269|PubMed:23042809}. Note=The disease is caused by mutations affecting the gene represented in this entry.; DISEASE: Spinocerebellar ataxia 40 (SCA40) [MIM:616053]: A form of spinocerebellar ataxia, a clinically and genetically heterogeneous group of cerebellar disorders. Patients show progressive incoordination of gait and often poor coordination of hands, speech and eye movements, due to degeneration of the cerebellum with variable involvement of the brainstem and spinal cord. SCA38 is an autosomal dominant form characterized by adult-onset of slowly progressive gait ataxia accompanied by nystagmus. Brain MRI shows cerebellar atrophy. {ECO:0000269|PubMed:25062847}. Note=The disease is caused by mutations affecting the gene represented in this entry.; </t>
        </is>
      </c>
      <c r="F130" t="inlineStr">
        <is>
          <t>.</t>
        </is>
      </c>
      <c r="G130" t="inlineStr">
        <is>
          <t>unclassifiable (Anatomical System);lymph node;bone;blood;germinal center;bone marrow;</t>
        </is>
      </c>
      <c r="H130" t="inlineStr">
        <is>
          <t>superior cervical ganglion;white blood cells;ciliary ganglion;caudate nucleus;atrioventricular node;skeletal muscle;</t>
        </is>
      </c>
      <c r="I130">
        <f>HYPERLINK("https://omim.org/entry/236600", "236600")</f>
        <v/>
      </c>
      <c r="J130">
        <f>HYPERLINK("https://omim.org/entry/616053", "616053")</f>
        <v/>
      </c>
      <c r="K130" t="inlineStr">
        <is>
          <t>.</t>
        </is>
      </c>
      <c r="L130" t="inlineStr">
        <is>
          <t>.</t>
        </is>
      </c>
      <c r="M130" t="inlineStr">
        <is>
          <t>.</t>
        </is>
      </c>
      <c r="N130" t="inlineStr">
        <is>
          <t>.</t>
        </is>
      </c>
      <c r="O130" t="inlineStr">
        <is>
          <t>.</t>
        </is>
      </c>
    </row>
    <row r="131">
      <c r="A131" t="inlineStr">
        <is>
          <t>CCNC</t>
        </is>
      </c>
      <c r="B131" t="inlineStr">
        <is>
          <t>0.990104533528106</t>
        </is>
      </c>
      <c r="C131" t="inlineStr">
        <is>
          <t>cyclin C</t>
        </is>
      </c>
      <c r="D131" t="inlineStr">
        <is>
          <t xml:space="preserve">FUNCTION: Component of the Mediator complex, a coactivator involved in regulated gene transcription of nearly all RNA polymerase II-dependent genes. Mediator functions as a bridge to convey information from gene-specific regulatory proteins to the basal RNA polymerase II transcription machinery. Mediator is recruited to promoters by direct interactions with regulatory proteins and serves as a scaffold for the assembly of a functional preinitiation complex with RNA polymerase II and the general transcription factors. Binds to and activates cyclin-dependent kinase CDK8 that phosphorylates the CTD (C-terminal domain) of the large subunit of RNA polymerase II (RNAp II), which may inhibit the formation of a transcription initiation complex. {ECO:0000269|PubMed:16595664, ECO:0000269|PubMed:8700522}.; </t>
        </is>
      </c>
      <c r="E131" t="inlineStr">
        <is>
          <t>.</t>
        </is>
      </c>
      <c r="F131" t="inlineStr">
        <is>
          <t xml:space="preserve">TISSUE SPECIFICITY: Highest levels in pancreas. High levels in heart, liver, skeletal muscle and kidney. Low levels in brain.; </t>
        </is>
      </c>
      <c r="G131" t="inlineStr">
        <is>
          <t>myocardium;ovary;colon;parathyroid;fovea centralis;skin;retina;bone marrow;uterus;prostate;whole body;endometrium;bone;testis;germinal center;brain;bladder;tonsil;gall bladder;unclassifiable (Anatomical System);trophoblast;lymph node;cartilage;heart;lacrimal gland;islets of Langerhans;adrenal cortex;blood;skeletal muscle;breast;bile duct;lung;placenta;macula lutea;visual apparatus;liver;spleen;cervix;kidney;mammary gland;stomach;</t>
        </is>
      </c>
      <c r="H131" t="inlineStr">
        <is>
          <t>superior cervical ganglion;trachea;thyroid;</t>
        </is>
      </c>
      <c r="I131" t="inlineStr">
        <is>
          <t>.</t>
        </is>
      </c>
      <c r="J131" t="inlineStr">
        <is>
          <t>.</t>
        </is>
      </c>
      <c r="K131" t="inlineStr">
        <is>
          <t>.</t>
        </is>
      </c>
      <c r="L131" t="inlineStr">
        <is>
          <t>.</t>
        </is>
      </c>
      <c r="M131" t="inlineStr">
        <is>
          <t>.</t>
        </is>
      </c>
      <c r="N131" t="inlineStr">
        <is>
          <t>.</t>
        </is>
      </c>
      <c r="O131" t="inlineStr">
        <is>
          <t>.</t>
        </is>
      </c>
    </row>
    <row r="132">
      <c r="A132" t="inlineStr">
        <is>
          <t>CCR2</t>
        </is>
      </c>
      <c r="B132" t="inlineStr">
        <is>
          <t>0.0114633179449999</t>
        </is>
      </c>
      <c r="C132" t="inlineStr">
        <is>
          <t>C-C motif chemokine receptor 2</t>
        </is>
      </c>
      <c r="D132" t="inlineStr">
        <is>
          <t xml:space="preserve">FUNCTION: Receptor for the CCL2, CCL7 and CCL13 chemokines. Transduces a signal by increasing intracellular calcium ion levels. Alternative coreceptor with CD4 for HIV-1 infection. {ECO:0000269|PubMed:23408426}.; </t>
        </is>
      </c>
      <c r="E132" t="inlineStr">
        <is>
          <t>.</t>
        </is>
      </c>
      <c r="F132" t="inlineStr">
        <is>
          <t>.</t>
        </is>
      </c>
      <c r="G132" t="inlineStr">
        <is>
          <t>unclassifiable (Anatomical System);prostate;liver;spleen;</t>
        </is>
      </c>
      <c r="H132" t="inlineStr">
        <is>
          <t>superior cervical ganglion;ciliary ganglion;trigeminal ganglion;</t>
        </is>
      </c>
      <c r="I132" t="inlineStr">
        <is>
          <t>.</t>
        </is>
      </c>
      <c r="J132" t="inlineStr">
        <is>
          <t>.</t>
        </is>
      </c>
      <c r="K132" t="inlineStr">
        <is>
          <t>.</t>
        </is>
      </c>
      <c r="L132" t="inlineStr">
        <is>
          <t>.</t>
        </is>
      </c>
      <c r="M132" t="inlineStr">
        <is>
          <t>.</t>
        </is>
      </c>
      <c r="N132" t="inlineStr">
        <is>
          <t>.</t>
        </is>
      </c>
      <c r="O132" t="inlineStr">
        <is>
          <t>.</t>
        </is>
      </c>
    </row>
    <row r="133">
      <c r="A133" t="inlineStr">
        <is>
          <t>CCR3</t>
        </is>
      </c>
      <c r="B133" t="inlineStr">
        <is>
          <t>0.0318930527902387</t>
        </is>
      </c>
      <c r="C133" t="inlineStr">
        <is>
          <t>C-C motif chemokine receptor 3</t>
        </is>
      </c>
      <c r="D133" t="inlineStr">
        <is>
          <t xml:space="preserve">FUNCTION: Receptor for a C-C type chemokine. Binds to eotaxin, eotaxin-3, MCP-3, MCP-4, RANTES and MIP-1 delta. Subsequently transduces a signal by increasing the intracellular calcium ions level. Alternative coreceptor with CD4 for HIV-1 infection.; </t>
        </is>
      </c>
      <c r="E133" t="inlineStr">
        <is>
          <t>.</t>
        </is>
      </c>
      <c r="F133" t="inlineStr">
        <is>
          <t xml:space="preserve">TISSUE SPECIFICITY: In eosinophils as well as trace amounts in neutrophils and monocytes.; </t>
        </is>
      </c>
      <c r="G133" t="inlineStr">
        <is>
          <t>unclassifiable (Anatomical System);</t>
        </is>
      </c>
      <c r="H133" t="inlineStr">
        <is>
          <t>dorsal root ganglion;superior cervical ganglion;ciliary ganglion;</t>
        </is>
      </c>
      <c r="I133" t="inlineStr">
        <is>
          <t>.</t>
        </is>
      </c>
      <c r="J133" t="inlineStr">
        <is>
          <t>.</t>
        </is>
      </c>
      <c r="K133" t="inlineStr">
        <is>
          <t>.</t>
        </is>
      </c>
      <c r="L133" t="inlineStr">
        <is>
          <t>.</t>
        </is>
      </c>
      <c r="M133" t="inlineStr">
        <is>
          <t>.</t>
        </is>
      </c>
      <c r="N133" t="inlineStr">
        <is>
          <t>.</t>
        </is>
      </c>
      <c r="O133" t="inlineStr">
        <is>
          <t>.</t>
        </is>
      </c>
    </row>
    <row r="134">
      <c r="A134" t="inlineStr">
        <is>
          <t>CD99L2</t>
        </is>
      </c>
      <c r="B134" t="inlineStr">
        <is>
          <t>0.0033413380678308</t>
        </is>
      </c>
      <c r="C134" t="inlineStr">
        <is>
          <t>CD99 molecule like 2</t>
        </is>
      </c>
      <c r="D134" t="inlineStr">
        <is>
          <t xml:space="preserve">FUNCTION: Plays a role in a late step of leukocyte extravasation helping cells to overcome the endothelial basement membrane. Acts at the same site as, but independently of, PECAM1 (By similarity). Homophilic adhesion molecule, but these interactions may not be required for cell aggregation (By similarity). {ECO:0000250}.; </t>
        </is>
      </c>
      <c r="E134" t="inlineStr">
        <is>
          <t>.</t>
        </is>
      </c>
      <c r="F134" t="inlineStr">
        <is>
          <t xml:space="preserve">TISSUE SPECIFICITY: Expressed in many tissues, with low expression in thymus. {ECO:0000269|PubMed:12706889}.; </t>
        </is>
      </c>
      <c r="G134" t="inlineStr">
        <is>
          <t>ovary;sympathetic chain;colon;parathyroid;fovea centralis;choroid;vein;skin;retina;bone marrow;uterus;prostate;optic nerve;whole body;frontal lobe;cerebral cortex;endometrium;larynx;bone;testis;germinal center;spinal ganglion;brain;pineal gland;unclassifiable (Anatomical System);amygdala;cartilage;heart;islets of Langerhans;adrenal cortex;blood;lens;skeletal muscle;pancreas;lung;placenta;macula lutea;visual apparatus;liver;spleen;cervix;kidney;mammary gland;stomach;cerebellum;</t>
        </is>
      </c>
      <c r="H134" t="inlineStr">
        <is>
          <t>.</t>
        </is>
      </c>
      <c r="I134" t="inlineStr">
        <is>
          <t>.</t>
        </is>
      </c>
      <c r="J134" t="inlineStr">
        <is>
          <t>.</t>
        </is>
      </c>
      <c r="K134" t="inlineStr">
        <is>
          <t>.</t>
        </is>
      </c>
      <c r="L134" t="inlineStr">
        <is>
          <t>.</t>
        </is>
      </c>
      <c r="M134" t="inlineStr">
        <is>
          <t>.</t>
        </is>
      </c>
      <c r="N134" t="inlineStr">
        <is>
          <t>.</t>
        </is>
      </c>
      <c r="O134" t="inlineStr">
        <is>
          <t>.</t>
        </is>
      </c>
    </row>
    <row r="135">
      <c r="A135" t="inlineStr">
        <is>
          <t>CDC20</t>
        </is>
      </c>
      <c r="B135" t="inlineStr">
        <is>
          <t>0.000181853834795088</t>
        </is>
      </c>
      <c r="C135" t="inlineStr">
        <is>
          <t>cell division cycle 20</t>
        </is>
      </c>
      <c r="D135" t="inlineStr">
        <is>
          <t xml:space="preserve">FUNCTION: Required for full ubiquitin ligase activity of the anaphase promoting complex/cyclosome (APC/C) and may confer substrate specificity upon the complex. Is regulated by MAD2L1: in metaphase the MAD2L1-CDC20-APC/C ternary complex is inactive and in anaphase the CDC20-APC/C binary complex is active in degrading substrates. The CDC20-APC/C complex positively regulates the formation of synaptic vesicle clustering at active zone to the presynaptic membrane in postmitotic neurons. CDC20-APC/C-induced degradation of NEUROD2 induces presynaptic differentiation. {ECO:0000269|PubMed:9637688, ECO:0000269|PubMed:9734353, ECO:0000269|PubMed:9811605}.; </t>
        </is>
      </c>
      <c r="E135" t="inlineStr">
        <is>
          <t>.</t>
        </is>
      </c>
      <c r="F135" t="inlineStr">
        <is>
          <t>.</t>
        </is>
      </c>
      <c r="G135" t="inlineStr">
        <is>
          <t>lymphoreticular;medulla oblongata;ovary;salivary gland;intestine;colon;skin;uterus;prostate;whole body;endometrium;larynx;bone;testis;germinal center;brain;bladder;tonsil;unclassifiable (Anatomical System);lymph node;heart;muscle;urinary;adrenal cortex;pharynx;blood;skeletal muscle;breast;bile duct;pancreas;lung;cornea;placenta;visual apparatus;duodenum;liver;cervix;spleen;head and neck;kidney;mammary gland;stomach;thymus;</t>
        </is>
      </c>
      <c r="H135" t="inlineStr">
        <is>
          <t>testis - interstitial;testis - seminiferous tubule;tumor;testis;</t>
        </is>
      </c>
      <c r="I135" t="inlineStr">
        <is>
          <t>.</t>
        </is>
      </c>
      <c r="J135" t="inlineStr">
        <is>
          <t>.</t>
        </is>
      </c>
      <c r="K135" t="inlineStr">
        <is>
          <t>.</t>
        </is>
      </c>
      <c r="L135" t="inlineStr">
        <is>
          <t>.</t>
        </is>
      </c>
      <c r="M135" t="inlineStr">
        <is>
          <t>.</t>
        </is>
      </c>
      <c r="N135" t="inlineStr">
        <is>
          <t>.</t>
        </is>
      </c>
      <c r="O135" t="inlineStr">
        <is>
          <t>.</t>
        </is>
      </c>
    </row>
    <row r="136">
      <c r="A136" t="inlineStr">
        <is>
          <t>CDH2</t>
        </is>
      </c>
      <c r="B136" t="inlineStr">
        <is>
          <t>0.897440931236462</t>
        </is>
      </c>
      <c r="C136" t="inlineStr">
        <is>
          <t>cadherin 2</t>
        </is>
      </c>
      <c r="D136" t="inlineStr">
        <is>
          <t xml:space="preserve">FUNCTION: Cadherins are calcium-dependent cell adhesion proteins. They preferentially interact with themselves in a homophilic manner in connecting cells; cadherins may thus contribute to the sorting of heterogeneous cell types. Acts as a regulator of neural stem cells quiescence by mediating anchorage of neural stem cells to ependymocytes in the adult subependymal zone: upon cleavage by MMP24, CDH2-mediated anchorage is affected, leading to modulate neural stem cell quiescence. CDH2 may be involved in neuronal recognition mechanism. In hippocampal neurons, may regulate dendritic spine density (By similarity). {ECO:0000250}.; </t>
        </is>
      </c>
      <c r="E136" t="inlineStr">
        <is>
          <t>.</t>
        </is>
      </c>
      <c r="F136" t="inlineStr">
        <is>
          <t>.</t>
        </is>
      </c>
      <c r="G136" t="inlineStr">
        <is>
          <t>unclassifiable (Anatomical System);cartilage;heart;ovary;islets of Langerhans;developmental;adrenal cortex;lens;skin;skeletal muscle;retina;bone marrow;uterus;prostate;lung;frontal lobe;bone;thyroid;visual apparatus;hippocampus;liver;testis;amniotic fluid;kidney;brain;</t>
        </is>
      </c>
      <c r="H136" t="inlineStr">
        <is>
          <t>dorsal root ganglion;amygdala;medulla oblongata;occipital lobe;superior cervical ganglion;testis - interstitial;smooth muscle;heart;atrioventricular node;skeletal muscle;subthalamic nucleus;prefrontal cortex;testis;globus pallidus;ciliary ganglion;cingulate cortex;parietal lobe;</t>
        </is>
      </c>
      <c r="I136" t="inlineStr">
        <is>
          <t>.</t>
        </is>
      </c>
      <c r="J136" t="inlineStr">
        <is>
          <t>.</t>
        </is>
      </c>
      <c r="K136" t="inlineStr">
        <is>
          <t>.</t>
        </is>
      </c>
      <c r="L136" t="inlineStr">
        <is>
          <t>.</t>
        </is>
      </c>
      <c r="M136" t="inlineStr">
        <is>
          <t>.</t>
        </is>
      </c>
      <c r="N136" t="inlineStr">
        <is>
          <t>.</t>
        </is>
      </c>
      <c r="O136" t="inlineStr">
        <is>
          <t>.</t>
        </is>
      </c>
    </row>
    <row r="137">
      <c r="A137" t="inlineStr">
        <is>
          <t>CDHR5</t>
        </is>
      </c>
      <c r="B137" t="inlineStr">
        <is>
          <t>1.31307026997115e-10</t>
        </is>
      </c>
      <c r="C137" t="inlineStr">
        <is>
          <t>cadherin related family member 5</t>
        </is>
      </c>
      <c r="D137" t="inlineStr">
        <is>
          <t xml:space="preserve">FUNCTION: Acts as a calcium-dependent cell adhesion protein. {ECO:0000250|UniProtKB:Q9JIK1}.; </t>
        </is>
      </c>
      <c r="E137" t="inlineStr">
        <is>
          <t>.</t>
        </is>
      </c>
      <c r="F137" t="inlineStr">
        <is>
          <t xml:space="preserve">TISSUE SPECIFICITY: Highest expression in kidney, liver, colon and small intestine. In kidney, expressed apically along brush border of proximal convoluted tubule but not in cortical collecting ducts. Isoform 1 is expressed primarily in adult small intestine and colon. Isoform 2 is highly expressed in fetal liver. {ECO:0000269|PubMed:12167596}.; </t>
        </is>
      </c>
      <c r="G137" t="inlineStr">
        <is>
          <t>unclassifiable (Anatomical System);small intestine;colon;fovea centralis;choroid;lens;retina;breast;pancreas;optic nerve;placenta;macula lutea;liver;spleen;kidney;bladder;stomach;</t>
        </is>
      </c>
      <c r="H137" t="inlineStr">
        <is>
          <t>fetal liver;uterus corpus;superior cervical ganglion;liver;globus pallidus;appendix;ciliary ganglion;kidney;atrioventricular node;trigeminal ganglion;skeletal muscle;</t>
        </is>
      </c>
      <c r="I137" t="inlineStr">
        <is>
          <t>.</t>
        </is>
      </c>
      <c r="J137" t="inlineStr">
        <is>
          <t>.</t>
        </is>
      </c>
      <c r="K137" t="inlineStr">
        <is>
          <t>.</t>
        </is>
      </c>
      <c r="L137" t="inlineStr">
        <is>
          <t>.</t>
        </is>
      </c>
      <c r="M137" t="inlineStr">
        <is>
          <t>.</t>
        </is>
      </c>
      <c r="N137" t="inlineStr">
        <is>
          <t>.</t>
        </is>
      </c>
      <c r="O137" t="inlineStr">
        <is>
          <t>.</t>
        </is>
      </c>
    </row>
    <row r="138">
      <c r="A138" t="inlineStr">
        <is>
          <t>CDK13</t>
        </is>
      </c>
      <c r="B138" t="inlineStr">
        <is>
          <t>0.751250538151318</t>
        </is>
      </c>
      <c r="C138" t="inlineStr">
        <is>
          <t>cyclin-dependent kinase 13</t>
        </is>
      </c>
      <c r="D138" t="inlineStr">
        <is>
          <t xml:space="preserve">FUNCTION: Cyclin-dependent kinase which displays CTD kinase activity and is required for RNA splicing. Has CTD kinase activity by hyperphosphorylating the C-terminal heptapeptide repeat domain (CTD) of the largest RNA polymerase II subunit RPB1, thereby acting as a key regulator of transcription elongation. Required for RNA splicing, probably by phosphorylating SRSF1/SF2. Required during hematopoiesis. In case of infection by HIV-1 virus, interacts with HIV-1 Tat protein acetylated at 'Lys-50' and 'Lys- 51', thereby increasing HIV-1 mRNA splicing and promoting the production of the doubly spliced HIV-1 protein Nef. {ECO:0000269|PubMed:16721827, ECO:0000269|PubMed:1731328, ECO:0000269|PubMed:18480452, ECO:0000269|PubMed:20952539}.; </t>
        </is>
      </c>
      <c r="E138" t="inlineStr">
        <is>
          <t>.</t>
        </is>
      </c>
      <c r="F138" t="inlineStr">
        <is>
          <t xml:space="preserve">TISSUE SPECIFICITY: Expressed in fetal brain, liver, muscle and in adult brain. Also expressed in neuroblastoma and glioblastoma tumors.; </t>
        </is>
      </c>
      <c r="G138" t="inlineStr">
        <is>
          <t>ovary;sympathetic chain;colon;parathyroid;fovea centralis;choroid;vein;skin;retina;bone marrow;uterus;prostate;optic nerve;whole body;endometrium;larynx;bone;thyroid;testis;germinal center;brain;bladder;unclassifiable (Anatomical System);lymph node;heart;lacrimal gland;tongue;islets of Langerhans;adrenal cortex;blood;lens;skeletal muscle;breast;pancreas;lung;nasopharynx;placenta;macula lutea;visual apparatus;liver;spleen;head and neck;cervix;kidney;mammary gland;stomach;thymus;</t>
        </is>
      </c>
      <c r="H138" t="inlineStr">
        <is>
          <t>superior cervical ganglion;subthalamic nucleus;testis - interstitial;globus pallidus;pons;atrioventricular node;trigeminal ganglion;skeletal muscle;parietal lobe;cerebellum;</t>
        </is>
      </c>
      <c r="I138" t="inlineStr">
        <is>
          <t>.</t>
        </is>
      </c>
      <c r="J138" t="inlineStr">
        <is>
          <t>.</t>
        </is>
      </c>
      <c r="K138" t="inlineStr">
        <is>
          <t>.</t>
        </is>
      </c>
      <c r="L138" t="inlineStr">
        <is>
          <t>.</t>
        </is>
      </c>
      <c r="M138" t="inlineStr">
        <is>
          <t>.</t>
        </is>
      </c>
      <c r="N138" t="inlineStr">
        <is>
          <t>.</t>
        </is>
      </c>
      <c r="O138" t="inlineStr">
        <is>
          <t>.</t>
        </is>
      </c>
    </row>
    <row r="139">
      <c r="A139" t="inlineStr">
        <is>
          <t>CDKL5</t>
        </is>
      </c>
      <c r="B139" t="inlineStr">
        <is>
          <t>0.997790054805334</t>
        </is>
      </c>
      <c r="C139" t="inlineStr">
        <is>
          <t>cyclin dependent kinase like 5</t>
        </is>
      </c>
      <c r="D139" t="inlineStr">
        <is>
          <t xml:space="preserve">FUNCTION: Mediates phosphorylation of MECP2. {ECO:0000269|PubMed:15917271, ECO:0000269|PubMed:16935860}.; </t>
        </is>
      </c>
      <c r="E139" t="inlineStr">
        <is>
          <t xml:space="preserve">DISEASE: Note=Chromosomal aberrations involving CDKL5 are found in patients manifesting early-onset seizures and spams and psychomotor impairment. Translocation t(X;6)(p22.3;q14); translocation t(X;7)(p22.3;p15).; DISEASE: Epileptic encephalopathy, early infantile, 2 (EIEE2) [MIM:300672]: A severe form of epilepsy characterized by seizures or spasms beginning in infancy. Patients with epileptic encephalopathy early infantile type 2 manifest features resembling Rett syndrome such as microcephaly, lack of speech development, stereotypic hand movements. However, EIEE2 and Rett syndrome are considered two distinct entities. {ECO:0000269|PubMed:12736870, ECO:0000269|PubMed:15492925, ECO:0000269|PubMed:15499549, ECO:0000269|PubMed:15689447, ECO:0000269|PubMed:15917271, ECO:0000269|PubMed:16015284, ECO:0000269|PubMed:16611748, ECO:0000269|PubMed:17993579, ECO:0000269|PubMed:18790821, ECO:0000269|PubMed:18809835, ECO:0000269|PubMed:19241098, ECO:0000269|PubMed:19253388, ECO:0000269|PubMed:24564546}. Note=The disease is caused by mutations affecting the gene represented in this entry.; </t>
        </is>
      </c>
      <c r="F139" t="inlineStr">
        <is>
          <t xml:space="preserve">TISSUE SPECIFICITY: Expressed in brain, lung, kidney, prostate, ovary, placenta, pancreas and testis.; </t>
        </is>
      </c>
      <c r="G139" t="inlineStr">
        <is>
          <t>.</t>
        </is>
      </c>
      <c r="H139" t="inlineStr">
        <is>
          <t>.</t>
        </is>
      </c>
      <c r="I139">
        <f>HYPERLINK("https://omim.org/entry/300672", "300672")</f>
        <v/>
      </c>
      <c r="J139" t="inlineStr">
        <is>
          <t>.</t>
        </is>
      </c>
      <c r="K139" t="inlineStr">
        <is>
          <t>.</t>
        </is>
      </c>
      <c r="L139" t="inlineStr">
        <is>
          <t>.</t>
        </is>
      </c>
      <c r="M139" t="inlineStr">
        <is>
          <t>.</t>
        </is>
      </c>
      <c r="N139" t="inlineStr">
        <is>
          <t>.</t>
        </is>
      </c>
      <c r="O139" t="inlineStr">
        <is>
          <t>.</t>
        </is>
      </c>
    </row>
    <row r="140">
      <c r="A140" t="inlineStr">
        <is>
          <t>CDON</t>
        </is>
      </c>
      <c r="B140" t="inlineStr">
        <is>
          <t>3.04906879944482e-12</t>
        </is>
      </c>
      <c r="C140" t="inlineStr">
        <is>
          <t>cell adhesion associated, oncogene regulated</t>
        </is>
      </c>
      <c r="D140" t="inlineStr">
        <is>
          <t xml:space="preserve">FUNCTION: Component of a cell-surface receptor complex that mediates cell-cell interactions between muscle precursor cells. Promotes differentiation of myogenic cells (By similarity). {ECO:0000250}.; </t>
        </is>
      </c>
      <c r="E140" t="inlineStr">
        <is>
          <t xml:space="preserve">DISEASE: Holoprosencephaly 11 (HPE11) [MIM:614226]: A structural anomaly of the brain, in which the developing forebrain fails to correctly separate into right and left hemispheres. Holoprosencephaly is genetically heterogeneous and associated with several distinct facies and phenotypic variability. {ECO:0000269|PubMed:21802063}. Note=The disease is caused by mutations affecting the gene represented in this entry.; </t>
        </is>
      </c>
      <c r="F140" t="inlineStr">
        <is>
          <t>.</t>
        </is>
      </c>
      <c r="G140" t="inlineStr">
        <is>
          <t>unclassifiable (Anatomical System);breast;testis;</t>
        </is>
      </c>
      <c r="H140" t="inlineStr">
        <is>
          <t>superior cervical ganglion;skeletal muscle;cerebellum;</t>
        </is>
      </c>
      <c r="I140">
        <f>HYPERLINK("https://omim.org/entry/614226", "614226")</f>
        <v/>
      </c>
      <c r="J140" t="inlineStr">
        <is>
          <t>.</t>
        </is>
      </c>
      <c r="K140" t="inlineStr">
        <is>
          <t>.</t>
        </is>
      </c>
      <c r="L140" t="inlineStr">
        <is>
          <t>.</t>
        </is>
      </c>
      <c r="M140" t="inlineStr">
        <is>
          <t>.</t>
        </is>
      </c>
      <c r="N140" t="inlineStr">
        <is>
          <t>.</t>
        </is>
      </c>
      <c r="O140" t="inlineStr">
        <is>
          <t>.</t>
        </is>
      </c>
    </row>
    <row r="141">
      <c r="A141" t="inlineStr">
        <is>
          <t>CDS1</t>
        </is>
      </c>
      <c r="B141" t="inlineStr">
        <is>
          <t>0.00532553324506115</t>
        </is>
      </c>
      <c r="C141" t="inlineStr">
        <is>
          <t>CDP-diacylglycerol synthase 1</t>
        </is>
      </c>
      <c r="D141" t="inlineStr">
        <is>
          <t xml:space="preserve">FUNCTION: Provides CDP-diacylglycerol, an important precursor for the synthesis of phosphatidylinositol (PtdIns), phosphatidylglycerol, and cardiolipin. Overexpression may amplify cellular signaling responses from cytokines. May also play an important role in the signal transduction mechanism of retina and neural cells.; </t>
        </is>
      </c>
      <c r="E141" t="inlineStr">
        <is>
          <t>.</t>
        </is>
      </c>
      <c r="F141" t="inlineStr">
        <is>
          <t xml:space="preserve">TISSUE SPECIFICITY: Expressed in adult tissues such as placenta, brain, small intestine, ovary, testis and prostate. Highly expressed in fetal kidney, lung and brain. Lower level in fetal liver.; </t>
        </is>
      </c>
      <c r="G141" t="inlineStr">
        <is>
          <t>ovary;colon;parathyroid;fovea centralis;choroid;skin;retina;uterus;prostate;optic nerve;cochlea;endometrium;thyroid;testis;brain;unclassifiable (Anatomical System);heart;islets of Langerhans;lens;skeletal muscle;bile duct;lung;placenta;macula lutea;liver;head and neck;kidney;stomach;</t>
        </is>
      </c>
      <c r="H141" t="inlineStr">
        <is>
          <t>whole brain;amygdala;thalamus;subthalamic nucleus;prostate;occipital lobe;trachea;thyroid;placenta;temporal lobe;prefrontal cortex;globus pallidus;cerebellum;</t>
        </is>
      </c>
      <c r="I141" t="inlineStr">
        <is>
          <t>.</t>
        </is>
      </c>
      <c r="J141" t="inlineStr">
        <is>
          <t>.</t>
        </is>
      </c>
      <c r="K141" t="inlineStr">
        <is>
          <t>.</t>
        </is>
      </c>
      <c r="L141" t="inlineStr">
        <is>
          <t>.</t>
        </is>
      </c>
      <c r="M141" t="inlineStr">
        <is>
          <t>.</t>
        </is>
      </c>
      <c r="N141" t="inlineStr">
        <is>
          <t>.</t>
        </is>
      </c>
      <c r="O141" t="inlineStr">
        <is>
          <t>.</t>
        </is>
      </c>
    </row>
    <row r="142">
      <c r="A142" t="inlineStr">
        <is>
          <t>CEACAM16</t>
        </is>
      </c>
      <c r="B142" t="inlineStr">
        <is>
          <t>0.0295802581415047</t>
        </is>
      </c>
      <c r="C142" t="inlineStr">
        <is>
          <t>carcinoembryonic antigen related cell adhesion molecule 16</t>
        </is>
      </c>
      <c r="D142" t="inlineStr">
        <is>
          <t xml:space="preserve">FUNCTION: Required for proper hearing, it may play a role in maintaining the integrity of the tectorial membrane. {ECO:0000269|PubMed:21368133, ECO:0000269|PubMed:25589040}.; </t>
        </is>
      </c>
      <c r="E142" t="inlineStr">
        <is>
          <t xml:space="preserve">DISEASE: Deafness, autosomal dominant, 4B (DFNA4B) [MIM:614614]: A form of non-syndromic sensorineural hearing loss. Sensorineural deafness results from damage to the neural receptors of the inner ear, the nerve pathways to the brain, or the area of the brain that receives sound information. {ECO:0000269|PubMed:21368133, ECO:0000269|PubMed:25589040}. Note=The disease is caused by mutations affecting the gene represented in this entry.; </t>
        </is>
      </c>
      <c r="F142" t="inlineStr">
        <is>
          <t>.</t>
        </is>
      </c>
      <c r="G142" t="inlineStr">
        <is>
          <t>.</t>
        </is>
      </c>
      <c r="H142" t="inlineStr">
        <is>
          <t>.</t>
        </is>
      </c>
      <c r="I142">
        <f>HYPERLINK("https://omim.org/entry/614614", "614614")</f>
        <v/>
      </c>
      <c r="J142" t="inlineStr">
        <is>
          <t>.</t>
        </is>
      </c>
      <c r="K142" t="inlineStr">
        <is>
          <t>.</t>
        </is>
      </c>
      <c r="L142" t="inlineStr">
        <is>
          <t>.</t>
        </is>
      </c>
      <c r="M142" t="inlineStr">
        <is>
          <t>.</t>
        </is>
      </c>
      <c r="N142" t="inlineStr">
        <is>
          <t>.</t>
        </is>
      </c>
      <c r="O142" t="inlineStr">
        <is>
          <t>.</t>
        </is>
      </c>
    </row>
    <row r="143">
      <c r="A143" t="inlineStr">
        <is>
          <t>CECR2</t>
        </is>
      </c>
      <c r="B143" t="inlineStr">
        <is>
          <t>.</t>
        </is>
      </c>
      <c r="C143" t="inlineStr">
        <is>
          <t>cat eye syndrome chromosome region, candidate 2</t>
        </is>
      </c>
      <c r="D143" t="inlineStr">
        <is>
          <t xml:space="preserve">FUNCTION: Part of the CERF (CECR2-containing-remodeling factor) complex, which facilitates the perturbation of chromatin structure in an ATP-dependent manner. May be involved through its interaction with LRPPRC in the integration of cytoskeletal network with vesicular trafficking, nucleocytosolic shuttling, transcription, chromosome remodeling and cytokinesis. {ECO:0000269|PubMed:15640247}.; </t>
        </is>
      </c>
      <c r="E143" t="inlineStr">
        <is>
          <t>.</t>
        </is>
      </c>
      <c r="F143" t="inlineStr">
        <is>
          <t xml:space="preserve">TISSUE SPECIFICITY: Highly expressed in skeletal muscle, thymus, placenta and lung. Expressed at lower level in brain, heart, colon, spleen, kidney.; </t>
        </is>
      </c>
      <c r="G143" t="inlineStr">
        <is>
          <t>unclassifiable (Anatomical System);heart;adrenal medulla;fovea centralis;choroid;lens;skin;retina;breast;uterus;prostate;optic nerve;lung;larynx;macula lutea;visual apparatus;testis;head and neck;brain;</t>
        </is>
      </c>
      <c r="H143" t="inlineStr">
        <is>
          <t>atrioventricular node;</t>
        </is>
      </c>
      <c r="I143" t="inlineStr">
        <is>
          <t>.</t>
        </is>
      </c>
      <c r="J143" t="inlineStr">
        <is>
          <t>.</t>
        </is>
      </c>
      <c r="K143" t="inlineStr">
        <is>
          <t>.</t>
        </is>
      </c>
      <c r="L143" t="inlineStr">
        <is>
          <t>.</t>
        </is>
      </c>
      <c r="M143" t="inlineStr">
        <is>
          <t>.</t>
        </is>
      </c>
      <c r="N143" t="inlineStr">
        <is>
          <t>.</t>
        </is>
      </c>
      <c r="O143" t="inlineStr">
        <is>
          <t>.</t>
        </is>
      </c>
    </row>
    <row r="144">
      <c r="A144" t="inlineStr">
        <is>
          <t>CELSR1</t>
        </is>
      </c>
      <c r="B144" t="inlineStr">
        <is>
          <t>0.999990747432086</t>
        </is>
      </c>
      <c r="C144" t="inlineStr">
        <is>
          <t>cadherin EGF LAG seven-pass G-type receptor 1</t>
        </is>
      </c>
      <c r="D144" t="inlineStr">
        <is>
          <t xml:space="preserve">FUNCTION: Receptor that may have an important role in cell/cell signaling during nervous system formation.; </t>
        </is>
      </c>
      <c r="E144" t="inlineStr">
        <is>
          <t xml:space="preserve">DISEASE: Neural tube defects (NTD) [MIM:182940]: Congenital malformations of the central nervous system and adjacent structures related to defective neural tube closure during the first trimester of pregnancy. Failure of neural tube closure can occur at any level of the embryonic axis. Common NTD forms include anencephaly, myelomeningocele and spina bifida, which result from the failure of fusion in the cranial and spinal region of the neural tube. NTDs have a multifactorial etiology encompassing both genetic and environmental components. {ECO:0000269|PubMed:22095531}. Note=The disease may be caused by mutations affecting the gene represented in this entry.; </t>
        </is>
      </c>
      <c r="F144" t="inlineStr">
        <is>
          <t>.</t>
        </is>
      </c>
      <c r="G144" t="inlineStr">
        <is>
          <t>ovary;colon;parathyroid;fovea centralis;choroid;skin;retina;uterus;prostate;optic nerve;whole body;endometrium;larynx;thyroid;testis;germinal center;brain;unclassifiable (Anatomical System);lymph node;heart;cartilage;lens;breast;pancreas;lung;placenta;macula lutea;duodenum;hypopharynx;head and neck;kidney;mammary gland;stomach;</t>
        </is>
      </c>
      <c r="H144" t="inlineStr">
        <is>
          <t>superior cervical ganglion;lung;tongue;thyroid;appendix;kidney;trigeminal ganglion;skeletal muscle;</t>
        </is>
      </c>
      <c r="I144">
        <f>HYPERLINK("https://omim.org/entry/182940", "182940")</f>
        <v/>
      </c>
      <c r="J144" t="inlineStr">
        <is>
          <t>.</t>
        </is>
      </c>
      <c r="K144" t="inlineStr">
        <is>
          <t>.</t>
        </is>
      </c>
      <c r="L144" t="inlineStr">
        <is>
          <t>.</t>
        </is>
      </c>
      <c r="M144" t="inlineStr">
        <is>
          <t>.</t>
        </is>
      </c>
      <c r="N144" t="inlineStr">
        <is>
          <t>.</t>
        </is>
      </c>
      <c r="O144" t="inlineStr">
        <is>
          <t>.</t>
        </is>
      </c>
    </row>
    <row r="145">
      <c r="A145" t="inlineStr">
        <is>
          <t>CEP170B</t>
        </is>
      </c>
      <c r="B145" t="inlineStr">
        <is>
          <t>0.870509859679243</t>
        </is>
      </c>
      <c r="C145" t="inlineStr">
        <is>
          <t>centrosomal protein 170B</t>
        </is>
      </c>
      <c r="D145" t="inlineStr">
        <is>
          <t xml:space="preserve">FUNCTION: Plays a role in microtubule organization. {ECO:0000250}.; </t>
        </is>
      </c>
      <c r="E145" t="inlineStr">
        <is>
          <t>.</t>
        </is>
      </c>
      <c r="F145" t="inlineStr">
        <is>
          <t>.</t>
        </is>
      </c>
      <c r="G145" t="inlineStr">
        <is>
          <t>.</t>
        </is>
      </c>
      <c r="H145" t="inlineStr">
        <is>
          <t>.</t>
        </is>
      </c>
      <c r="I145" t="inlineStr">
        <is>
          <t>.</t>
        </is>
      </c>
      <c r="J145" t="inlineStr">
        <is>
          <t>.</t>
        </is>
      </c>
      <c r="K145" t="inlineStr">
        <is>
          <t>.</t>
        </is>
      </c>
      <c r="L145" t="inlineStr">
        <is>
          <t>.</t>
        </is>
      </c>
      <c r="M145" t="inlineStr">
        <is>
          <t>.</t>
        </is>
      </c>
      <c r="N145" t="inlineStr">
        <is>
          <t>.</t>
        </is>
      </c>
      <c r="O145" t="inlineStr">
        <is>
          <t>.</t>
        </is>
      </c>
    </row>
    <row r="146">
      <c r="A146" t="inlineStr">
        <is>
          <t>CEP290</t>
        </is>
      </c>
      <c r="B146" t="inlineStr">
        <is>
          <t>1.03912081117924e-34</t>
        </is>
      </c>
      <c r="C146" t="inlineStr">
        <is>
          <t>centrosomal protein 290kDa</t>
        </is>
      </c>
      <c r="D146" t="inlineStr">
        <is>
          <t xml:space="preserve">FUNCTION: Part of the tectonic-like complex which is required for tissue-specific ciliogenesis and may regulate ciliary membrane composition (By similarity). Activates ATF4-mediated transcription. Required for the correct localization of ciliary and phototransduction proteins in retinal photoreceptor cells; may play a role in ciliary transport processes. {ECO:0000250|UniProtKB:Q6A078, ECO:0000269|PubMed:16682973}.; </t>
        </is>
      </c>
      <c r="E146" t="inlineStr">
        <is>
          <t xml:space="preserve">DISEASE: Joubert syndrome 5 (JBTS5) [MIM:610188]: A disorder presenting with cerebellar ataxia, oculomotor apraxia, hypotonia, neonatal breathing abnormalities and psychomotor delay. Neuroradiologically, it is characterized by cerebellar vermian hypoplasia/aplasia, thickened and reoriented superior cerebellar peduncles, and an abnormally large interpeduncular fossa, giving the appearance of a molar tooth on transaxial slices (molar tooth sign). Additional variable features include retinal dystrophy and renal disease. Joubert syndrome type 5 shares the neurologic and neuroradiologic features of Joubert syndrome together with severe retinal dystrophy and/or progressive renal failure characterized by nephronophthisis. {ECO:0000269|PubMed:16682970, ECO:0000269|PubMed:16682973, ECO:0000269|PubMed:22425360}. Note=The disease is caused by mutations affecting the gene represented in this entry.; DISEASE: Senior-Loken syndrome 6 (SLSN6) [MIM:610189]: A renal- retinal disorder characterized by progressive wasting of the filtering unit of the kidney (nephronophthisis), with or without medullary cystic renal disease, and progressive eye disease. Typically this disorder becomes apparent during the first year of life. {ECO:0000269|PubMed:20683928}. Note=The disease is caused by mutations affecting the gene represented in this entry.; DISEASE: Leber congenital amaurosis 10 (LCA10) [MIM:611755]: A severe dystrophy of the retina, typically becoming evident in the first years of life. Visual function is usually poor and often accompanied by nystagmus, sluggish or near-absent pupillary responses, photophobia, high hyperopia and keratoconus. {ECO:0000269|PubMed:16909394}. Note=The disease is caused by mutations affecting the gene represented in this entry.; DISEASE: Meckel syndrome 4 (MKS4) [MIM:611134]: A disorder characterized by a combination of renal cysts and variably associated features including developmental anomalies of the central nervous system (typically encephalocele), hepatic ductal dysplasia and cysts, and polydactyly. {ECO:0000269|PubMed:17564974}. Note=The disease is caused by mutations affecting the gene represented in this entry.; DISEASE: Note=Antibodies against CEP290 are present in sera from patients with cutaneous T-cell lymphomas, but not in the healthy control population. {ECO:0000269|PubMed:11149944}.; DISEASE: Bardet-Biedl syndrome 14 (BBS14) [MIM:615991]: A syndrome characterized by usually severe pigmentary retinopathy, early- onset obesity, polydactyly, hypogenitalism, renal malformation and mental retardation. Secondary features include diabetes mellitus, hypertension and congenital heart disease. Bardet-Biedl syndrome inheritance is autosomal recessive, but three mutated alleles (two at one locus, and a third at a second locus) may be required for clinical manifestation of some forms of the disease. {ECO:0000269|PubMed:18327255}. Note=The disease is caused by mutations affecting the gene represented in this entry.; </t>
        </is>
      </c>
      <c r="F146" t="inlineStr">
        <is>
          <t xml:space="preserve">TISSUE SPECIFICITY: Ubiquitous. Expressed strongly in placenta and weakly in brain. {ECO:0000269|PubMed:11149944, ECO:0000269|PubMed:16682973}.; </t>
        </is>
      </c>
      <c r="G146" t="inlineStr">
        <is>
          <t>myocardium;ovary;salivary gland;colon;fovea centralis;skin;retina;uterus;prostate;whole body;cochlea;endometrium;bone;thyroid;testis;germinal center;brain;artery;bladder;unclassifiable (Anatomical System);cartilage;heart;islets of Langerhans;pharynx;blood;breast;lung;nasopharynx;trabecular meshwork;macula lutea;visual apparatus;liver;head and neck;kidney;mammary gland;aorta;stomach;</t>
        </is>
      </c>
      <c r="H146" t="inlineStr">
        <is>
          <t>dorsal root ganglion;subthalamic nucleus;ciliary ganglion;atrioventricular node;trigeminal ganglion;skeletal muscle;</t>
        </is>
      </c>
      <c r="I146">
        <f>HYPERLINK("https://omim.org/entry/610188", "610188")</f>
        <v/>
      </c>
      <c r="J146">
        <f>HYPERLINK("https://omim.org/entry/610189", "610189")</f>
        <v/>
      </c>
      <c r="K146">
        <f>HYPERLINK("https://omim.org/entry/611755", "611755")</f>
        <v/>
      </c>
      <c r="L146">
        <f>HYPERLINK("https://omim.org/entry/611134", "611134")</f>
        <v/>
      </c>
      <c r="M146">
        <f>HYPERLINK("https://omim.org/entry/615991", "615991")</f>
        <v/>
      </c>
      <c r="N146" t="inlineStr">
        <is>
          <t>.</t>
        </is>
      </c>
      <c r="O146" t="inlineStr">
        <is>
          <t>.</t>
        </is>
      </c>
    </row>
    <row r="147">
      <c r="A147" t="inlineStr">
        <is>
          <t>CES4A</t>
        </is>
      </c>
      <c r="B147" t="inlineStr">
        <is>
          <t>0.000495399061913583</t>
        </is>
      </c>
      <c r="C147" t="inlineStr">
        <is>
          <t>carboxylesterase 4A</t>
        </is>
      </c>
      <c r="D147" t="inlineStr">
        <is>
          <t xml:space="preserve">FUNCTION: Probable carboxylesterase. {ECO:0000250}.; </t>
        </is>
      </c>
      <c r="E147" t="inlineStr">
        <is>
          <t>.</t>
        </is>
      </c>
      <c r="F147" t="inlineStr">
        <is>
          <t>.</t>
        </is>
      </c>
      <c r="G147" t="inlineStr">
        <is>
          <t>unclassifiable (Anatomical System);ovary;islets of Langerhans;hypothalamus;colon;blood;parathyroid;skin;skeletal muscle;bone marrow;pancreas;whole body;lung;frontal lobe;cochlea;endometrium;thyroid;bone;placenta;hippocampus;testis;kidney;brain;stomach;</t>
        </is>
      </c>
      <c r="H147" t="inlineStr">
        <is>
          <t>dorsal root ganglion;amygdala;superior cervical ganglion;globus pallidus;ciliary ganglion;atrioventricular node;trigeminal ganglion;</t>
        </is>
      </c>
      <c r="I147" t="inlineStr">
        <is>
          <t>.</t>
        </is>
      </c>
      <c r="J147" t="inlineStr">
        <is>
          <t>.</t>
        </is>
      </c>
      <c r="K147" t="inlineStr">
        <is>
          <t>.</t>
        </is>
      </c>
      <c r="L147" t="inlineStr">
        <is>
          <t>.</t>
        </is>
      </c>
      <c r="M147" t="inlineStr">
        <is>
          <t>.</t>
        </is>
      </c>
      <c r="N147" t="inlineStr">
        <is>
          <t>.</t>
        </is>
      </c>
      <c r="O147" t="inlineStr">
        <is>
          <t>.</t>
        </is>
      </c>
    </row>
    <row r="148">
      <c r="A148" t="inlineStr">
        <is>
          <t>CFP</t>
        </is>
      </c>
      <c r="B148" t="inlineStr">
        <is>
          <t>0.944168669031185</t>
        </is>
      </c>
      <c r="C148" t="inlineStr">
        <is>
          <t>complement factor properdin</t>
        </is>
      </c>
      <c r="D148" t="inlineStr">
        <is>
          <t xml:space="preserve">FUNCTION: A positive regulator of the alternate pathway of complement. It binds to and stabilizes the C3- and C5-convertase enzyme complexes. {ECO:0000269|PubMed:20382442}.; </t>
        </is>
      </c>
      <c r="E148" t="inlineStr">
        <is>
          <t xml:space="preserve">DISEASE: Properdin deficiency (PFD) [MIM:312060]: Results in higher susceptibility to bacterial infections; especially to meningococcal infections. Three phenotypes have been reported: complete deficiency (type I), incomplete deficiency (type II), and dysfunction of properdin (type III). {ECO:0000269|PubMed:10909851, ECO:0000269|PubMed:8871668, ECO:0000269|PubMed:9710744}. Note=The disease is caused by mutations affecting the gene represented in this entry.; </t>
        </is>
      </c>
      <c r="F148" t="inlineStr">
        <is>
          <t>.</t>
        </is>
      </c>
      <c r="G148" t="inlineStr">
        <is>
          <t>unclassifiable (Anatomical System);lung;ovary;nasopharynx;bone;pituitary gland;colon;spleen;blood;skeletal muscle;tonsil;aorta;bone marrow;</t>
        </is>
      </c>
      <c r="H148" t="inlineStr">
        <is>
          <t>white blood cells;whole blood;bone marrow;</t>
        </is>
      </c>
      <c r="I148">
        <f>HYPERLINK("https://omim.org/entry/312060", "312060")</f>
        <v/>
      </c>
      <c r="J148" t="inlineStr">
        <is>
          <t>.</t>
        </is>
      </c>
      <c r="K148" t="inlineStr">
        <is>
          <t>.</t>
        </is>
      </c>
      <c r="L148" t="inlineStr">
        <is>
          <t>.</t>
        </is>
      </c>
      <c r="M148" t="inlineStr">
        <is>
          <t>.</t>
        </is>
      </c>
      <c r="N148" t="inlineStr">
        <is>
          <t>.</t>
        </is>
      </c>
      <c r="O148" t="inlineStr">
        <is>
          <t>.</t>
        </is>
      </c>
    </row>
    <row r="149">
      <c r="A149" t="inlineStr">
        <is>
          <t>CFTR</t>
        </is>
      </c>
      <c r="B149" t="inlineStr">
        <is>
          <t>2.96390764420065e-36</t>
        </is>
      </c>
      <c r="C149" t="inlineStr">
        <is>
          <t>cystic fibrosis transmembrane conductance regulator</t>
        </is>
      </c>
      <c r="D149" t="inlineStr">
        <is>
          <t xml:space="preserve">FUNCTION: Involved in the transport of chloride ions. May regulate bicarbonate secretion and salvage in epithelial cells by regulating the SLC4A7 transporter. Can inhibit the chloride channel activity of ANO1. Plays a role in the chloride and bicarbonate homeostasis during sperm epididymal maturation and capacitation. {ECO:0000269|PubMed:22178883}.; </t>
        </is>
      </c>
      <c r="E149" t="inlineStr">
        <is>
          <t xml:space="preserve">DISEASE: Cystic fibrosis (CF) [MIM:219700]: A common generalized disorder of the exocrine glands which impairs clearance of secretions in a variety of organs. It is characterized by the triad of chronic bronchopulmonary disease (with recurrent respiratory infections), pancreatic insufficiency (which leads to malabsorption and growth retardation) and elevated sweat electrolytes. It is the most common genetic disease in Caucasians, with a prevalence of about 1 in 2'000 live births. Inheritance is autosomal recessive. {ECO:0000269|PubMed:10094564, ECO:0000269|PubMed:1284466, ECO:0000269|PubMed:1284468, ECO:0000269|PubMed:1284529, ECO:0000269|PubMed:1284530, ECO:0000269|PubMed:1695717, ECO:0000269|PubMed:1710600, ECO:0000269|PubMed:2236053, ECO:0000269|PubMed:7504969, ECO:0000269|PubMed:7505694, ECO:0000269|PubMed:7513296, ECO:0000269|PubMed:7517264, ECO:0000269|PubMed:7520022, ECO:0000269|PubMed:7522211, ECO:0000269|PubMed:7524909, ECO:0000269|PubMed:7524913, ECO:0000269|PubMed:7525450, ECO:0000269|PubMed:7537150, ECO:0000269|PubMed:7541273, ECO:0000269|PubMed:7541510, ECO:0000269|PubMed:7543567, ECO:0000269|PubMed:7544319, ECO:0000269|PubMed:7581407, ECO:0000269|PubMed:7680525, ECO:0000269|PubMed:7683628, ECO:0000269|PubMed:7683954, ECO:0000269|PubMed:8081395, ECO:0000269|PubMed:8522333, ECO:0000269|PubMed:8723693, ECO:0000269|PubMed:8723695, ECO:0000269|PubMed:8800923, ECO:0000269|PubMed:8829633, ECO:0000269|PubMed:8956039, ECO:0000269|PubMed:9101301, ECO:0000269|PubMed:9222768, ECO:0000269|PubMed:9375855, ECO:0000269|PubMed:9401006, ECO:0000269|PubMed:9443874, ECO:0000269|PubMed:9452048, ECO:0000269|PubMed:9452054, ECO:0000269|PubMed:9452073, ECO:0000269|PubMed:9482579, ECO:0000269|PubMed:9521595, ECO:0000269|PubMed:9554753, ECO:0000269|PubMed:9736778, ECO:0000269|PubMed:9921909}. Note=The disease is caused by mutations affecting the gene represented in this entry.; DISEASE: Congenital bilateral absence of the vas deferens (CBAVD) [MIM:277180]: Important cause of sterility in men and could represent an incomplete form of cystic fibrosis, as the majority of men suffering from cystic fibrosis lack the vas deferens. {ECO:0000269|PubMed:10651488, ECO:0000269|PubMed:7529962, ECO:0000269|PubMed:7539342, ECO:0000269|PubMed:9067761, ECO:0000269|Ref.77}. Note=The disease is caused by mutations affecting the gene represented in this entry.; </t>
        </is>
      </c>
      <c r="F149" t="inlineStr">
        <is>
          <t xml:space="preserve">TISSUE SPECIFICITY: Expressed in the respiratory airway, including bronchial epithelium, and in the female reproductive tract, including oviduct (at protein level). {ECO:0000269|PubMed:22207244}.; </t>
        </is>
      </c>
      <c r="G149" t="inlineStr">
        <is>
          <t>unclassifiable (Anatomical System);ovary;islets of Langerhans;colon;skeletal muscle;bile duct;uterus;pancreas;lung;endometrium;thyroid;liver;testis;kidney;brain;stomach;</t>
        </is>
      </c>
      <c r="H149" t="inlineStr">
        <is>
          <t>superior cervical ganglion;pancreas;salivary gland;beta cell islets;ciliary ganglion;trigeminal ganglion;skeletal muscle;</t>
        </is>
      </c>
      <c r="I149">
        <f>HYPERLINK("https://omim.org/entry/219700", "219700")</f>
        <v/>
      </c>
      <c r="J149">
        <f>HYPERLINK("https://omim.org/entry/277180", "277180")</f>
        <v/>
      </c>
      <c r="K149" t="inlineStr">
        <is>
          <t>.</t>
        </is>
      </c>
      <c r="L149" t="inlineStr">
        <is>
          <t>.</t>
        </is>
      </c>
      <c r="M149" t="inlineStr">
        <is>
          <t>.</t>
        </is>
      </c>
      <c r="N149" t="inlineStr">
        <is>
          <t>.</t>
        </is>
      </c>
      <c r="O149" t="inlineStr">
        <is>
          <t>.</t>
        </is>
      </c>
    </row>
    <row r="150">
      <c r="A150" t="inlineStr">
        <is>
          <t>CGB2</t>
        </is>
      </c>
      <c r="B150" t="inlineStr">
        <is>
          <t>0.0694219778865575</t>
        </is>
      </c>
      <c r="C150" t="inlineStr">
        <is>
          <t>chorionic gonadotropin beta subunit 2</t>
        </is>
      </c>
      <c r="D150" t="inlineStr">
        <is>
          <t>.</t>
        </is>
      </c>
      <c r="E150" t="inlineStr">
        <is>
          <t>.</t>
        </is>
      </c>
      <c r="F150" t="inlineStr">
        <is>
          <t xml:space="preserve">TISSUE SPECIFICITY: Expressed in placenta, testis and pituitary. {ECO:0000269|PubMed:16123088, ECO:0000269|PubMed:18048458}.; </t>
        </is>
      </c>
      <c r="G150" t="inlineStr">
        <is>
          <t>unclassifiable (Anatomical System);whole body;ovary;placenta;parathyroid;</t>
        </is>
      </c>
      <c r="H150" t="inlineStr">
        <is>
          <t>.</t>
        </is>
      </c>
      <c r="I150" t="inlineStr">
        <is>
          <t>.</t>
        </is>
      </c>
      <c r="J150" t="inlineStr">
        <is>
          <t>.</t>
        </is>
      </c>
      <c r="K150" t="inlineStr">
        <is>
          <t>.</t>
        </is>
      </c>
      <c r="L150" t="inlineStr">
        <is>
          <t>.</t>
        </is>
      </c>
      <c r="M150" t="inlineStr">
        <is>
          <t>.</t>
        </is>
      </c>
      <c r="N150" t="inlineStr">
        <is>
          <t>.</t>
        </is>
      </c>
      <c r="O150" t="inlineStr">
        <is>
          <t>.</t>
        </is>
      </c>
    </row>
    <row r="151">
      <c r="A151" t="inlineStr">
        <is>
          <t>CHD5</t>
        </is>
      </c>
      <c r="B151" t="inlineStr">
        <is>
          <t>0.999999995117076</t>
        </is>
      </c>
      <c r="C151" t="inlineStr">
        <is>
          <t>chromodomain helicase DNA binding protein 5</t>
        </is>
      </c>
      <c r="D151" t="inlineStr">
        <is>
          <t xml:space="preserve">FUNCTION: Chromatin-remodeling protein that binds DNA through histones and regulates gene transcription. May specifically recognize and bind trimethylated 'Lys-27' (H3K27me3) and non- methylated 'Lys-4' of histone H3. Plays a role in the development of the nervous system by activating the expression of genes promoting neuron terminal differentiation. In parallel, it may also positively regulate the trimethylation of histone H3 at 'Lys- 27' thereby specifically repressing genes that promote the differentiation into non-neuronal cell lineages. Tumor suppressor, it regulates the expression of genes involved in cell proliferation and differentiation. Downstream activated genes may include CDKN2A that positively regulates the p53/TP53 pathway, which in turn, prevents cell proliferation. In spermatogenesis, it probably regulates histone hyperacetylation and the replacement of histones by transition proteins in chromatin, a crucial step in the condensation of spermatid chromatin and the production of functional spermatozoa. {ECO:0000269|PubMed:23948251}.; </t>
        </is>
      </c>
      <c r="E151" t="inlineStr">
        <is>
          <t xml:space="preserve">DISEASE: Note=Defects in CHD5 may be a cause of the development of cancers from epithelial, neural and hematopoietic origin. CHD5 is one of the missing genes in the del(1p36), a deletion which is extremely common in this type of cancers. A decrease of its expression, results in increased susceptibility of cells to Ras- mediated transformation in vitro and in vivo (PubMed:17289567). {ECO:0000269|PubMed:17289567}.; </t>
        </is>
      </c>
      <c r="F151" t="inlineStr">
        <is>
          <t xml:space="preserve">TISSUE SPECIFICITY: Preferentially expressed in total brain, fetal brain, and cerebellum. It is also moderately expressed in the adrenal gland and detected in testis. {ECO:0000269|PubMed:12592387, ECO:0000269|PubMed:21931736}.; </t>
        </is>
      </c>
      <c r="G151" t="inlineStr">
        <is>
          <t>unclassifiable (Anatomical System);hypothalamus;colon;fovea centralis;choroid;lens;skeletal muscle;retina;optic nerve;lung;frontal lobe;placenta;macula lutea;testis;brain;</t>
        </is>
      </c>
      <c r="H151" t="inlineStr">
        <is>
          <t>amygdala;whole brain;superior cervical ganglion;testis - interstitial;occipital lobe;medulla oblongata;temporal lobe;atrioventricular node;pons;subthalamic nucleus;testis - seminiferous tubule;fetal brain;prefrontal cortex;globus pallidus;testis;parietal lobe;cingulate cortex;</t>
        </is>
      </c>
      <c r="I151" t="inlineStr">
        <is>
          <t>.</t>
        </is>
      </c>
      <c r="J151" t="inlineStr">
        <is>
          <t>.</t>
        </is>
      </c>
      <c r="K151" t="inlineStr">
        <is>
          <t>.</t>
        </is>
      </c>
      <c r="L151" t="inlineStr">
        <is>
          <t>.</t>
        </is>
      </c>
      <c r="M151" t="inlineStr">
        <is>
          <t>.</t>
        </is>
      </c>
      <c r="N151" t="inlineStr">
        <is>
          <t>.</t>
        </is>
      </c>
      <c r="O151" t="inlineStr">
        <is>
          <t>.</t>
        </is>
      </c>
    </row>
    <row r="152">
      <c r="A152" t="inlineStr">
        <is>
          <t>CHFR</t>
        </is>
      </c>
      <c r="B152" t="inlineStr">
        <is>
          <t>0.636712516541035</t>
        </is>
      </c>
      <c r="C152" t="inlineStr">
        <is>
          <t>checkpoint with forkhead and ring finger domains, E3 ubiquitin protein ligase</t>
        </is>
      </c>
      <c r="D152" t="inlineStr">
        <is>
          <t xml:space="preserve">FUNCTION: E3 ubiquitin-protein ligase that functions in the antephase checkpoint by actively delaying passage into mitosis in response to microtubule poisons. Acts in early prophase before chromosome condensation, when the centrosome move apart from each other along the periphery of the nucleus. Probably involved in signaling the presence of mitotic stress caused by microtubule poisons by mediating the 'Lys-48'-linked ubiquitination of target proteins, leading to their degradation by the proteasome. Promotes the ubiquitination and subsequent degradation of AURKA and PLK1. Probably acts as a tumor suppressor, possibly by mediating the polyubiquitination of HDAC1, leading to its degradation. May also promote the formation of 'Lys-63'-linked polyubiquitin chains and functions with the specific ubiquitin-conjugating UBC13-MMS2 (UBE2N-UBE2V2) heterodimer. Substrates that are polyubiquitinated at 'Lys-63' are usually not targeted for degradation, but are rather involved in signaling cellular stress. {ECO:0000269|PubMed:10935642, ECO:0000269|PubMed:11807090, ECO:0000269|PubMed:11912157, ECO:0000269|PubMed:14562038, ECO:0000269|PubMed:14694445, ECO:0000269|PubMed:18172500, ECO:0000269|PubMed:19182791}.; </t>
        </is>
      </c>
      <c r="E152" t="inlineStr">
        <is>
          <t>.</t>
        </is>
      </c>
      <c r="F152" t="inlineStr">
        <is>
          <t xml:space="preserve">TISSUE SPECIFICITY: Ubiquitous. {ECO:0000269|PubMed:10935642}.; </t>
        </is>
      </c>
      <c r="G152" t="inlineStr">
        <is>
          <t>smooth muscle;ovary;colon;parathyroid;skin;bone marrow;uterus;prostate;optic nerve;whole body;thyroid;pituitary gland;testis;germinal center;brain;tonsil;unclassifiable (Anatomical System);lymph node;heart;cartilage;urinary;blood;skeletal muscle;pancreas;lung;placenta;visual apparatus;liver;spleen;kidney;mammary gland;</t>
        </is>
      </c>
      <c r="H152" t="inlineStr">
        <is>
          <t>superior cervical ganglion;trigeminal ganglion;skeletal muscle;</t>
        </is>
      </c>
      <c r="I152" t="inlineStr">
        <is>
          <t>.</t>
        </is>
      </c>
      <c r="J152" t="inlineStr">
        <is>
          <t>.</t>
        </is>
      </c>
      <c r="K152" t="inlineStr">
        <is>
          <t>.</t>
        </is>
      </c>
      <c r="L152" t="inlineStr">
        <is>
          <t>.</t>
        </is>
      </c>
      <c r="M152" t="inlineStr">
        <is>
          <t>.</t>
        </is>
      </c>
      <c r="N152" t="inlineStr">
        <is>
          <t>.</t>
        </is>
      </c>
      <c r="O152" t="inlineStr">
        <is>
          <t>.</t>
        </is>
      </c>
    </row>
    <row r="153">
      <c r="A153" t="inlineStr">
        <is>
          <t>CHRNA1</t>
        </is>
      </c>
      <c r="B153" t="inlineStr">
        <is>
          <t>8.79556820389947e-06</t>
        </is>
      </c>
      <c r="C153" t="inlineStr">
        <is>
          <t>cholinergic receptor nicotinic alpha 1 subunit</t>
        </is>
      </c>
      <c r="D153" t="inlineStr">
        <is>
          <t xml:space="preserve">FUNCTION: After binding acetylcholine, the AChR responds by an extensive change in conformation that affects all subunits and leads to opening of an ion-conducting channel across the plasma membrane.; </t>
        </is>
      </c>
      <c r="E153" t="inlineStr">
        <is>
          <t xml:space="preserve">DISEASE: Note=The alpha subunit is the main focus for antibody binding in myasthenia gravis. Myasthenia gravis is characterized by sporadic muscular fatigability and weakness, occurring chiefly in muscles innervated by cranial nerves, and characteristically improved by cholinesterase-inhibiting drugs.; DISEASE: Myasthenic syndrome, congenital, 1A, slow-channel (CMS1A) [MIM:601462]: A common congenital myasthenic syndrome. Congenital myasthenic syndromes are characterized by muscle weakness affecting the axial and limb muscles (with hypotonia in early- onset forms), the ocular muscles (leading to ptosis and ophthalmoplegia), and the facial and bulbar musculature (affecting sucking and swallowing, and leading to dysphonia). The symptoms fluctuate and worsen with physical effort. CMS1A is a slow-channel myasthenic syndrome. It is caused by kinetic abnormalities of the AChR, resulting in prolonged AChR channel opening episodes, prolonged endplate currents, and depolarization block. This is associated with calcium overload, which may contribute to subsequent degeneration of the endplate and postsynaptic membrane. {ECO:0000269|PubMed:16685696, ECO:0000269|PubMed:7619526, ECO:0000269|PubMed:8872460, ECO:0000269|PubMed:9158151, ECO:0000269|PubMed:9221765}. Note=The disease is caused by mutations affecting the gene represented in this entry.; DISEASE: Myasthenic syndrome, congenital, 1B, fast-channel (CMS1B) [MIM:608930]: A form of congenital myasthenic syndrome, a group of disorders characterized by failure of neuromuscular transmission, including pre-synaptic, synaptic, and post-synaptic disorders that are not of autoimmune origin. Clinical features are easy fatigability and muscle weakness affecting the axial and limb muscles (with hypotonia in early-onset forms), the ocular muscles (leading to ptosis and ophthalmoplegia), and the facial and bulbar musculature (affecting sucking and swallowing, and leading to dysphonia). The symptoms fluctuate and worsen with physical effort. CMS1B is a fast-channel myasthenic syndrome. It is caused by kinetic abnormalities of the AChR, resulting in brief opening and activity of the channel, with a rapid decay in endplate current, failure to achieve threshold depolarization of the endplate and consequent failure to fire an action potential. {ECO:0000269|PubMed:10195214, ECO:0000269|PubMed:12588888, ECO:0000269|PubMed:15079006}. Note=The disease is caused by mutations affecting the gene represented in this entry.; </t>
        </is>
      </c>
      <c r="F153" t="inlineStr">
        <is>
          <t xml:space="preserve">TISSUE SPECIFICITY: Isoform 1 is only expressed in skeletal muscle. Isoform 2 is constitutively expressed in skeletal muscle, brain, heart, kidney, liver, lung and thymus.; </t>
        </is>
      </c>
      <c r="G153" t="inlineStr">
        <is>
          <t>unclassifiable (Anatomical System);ovary;heart;tongue;larynx;bone;placenta;visual apparatus;muscle;liver;parathyroid;head and neck;skin;</t>
        </is>
      </c>
      <c r="H153" t="inlineStr">
        <is>
          <t>dorsal root ganglion;uterus corpus;superior cervical ganglion;appendix;testis;ciliary ganglion;atrioventricular node;trigeminal ganglion;skeletal muscle;skin;</t>
        </is>
      </c>
      <c r="I153">
        <f>HYPERLINK("https://omim.org/entry/601462", "601462")</f>
        <v/>
      </c>
      <c r="J153">
        <f>HYPERLINK("https://omim.org/entry/608930", "608930")</f>
        <v/>
      </c>
      <c r="K153" t="inlineStr">
        <is>
          <t>.</t>
        </is>
      </c>
      <c r="L153" t="inlineStr">
        <is>
          <t>.</t>
        </is>
      </c>
      <c r="M153" t="inlineStr">
        <is>
          <t>.</t>
        </is>
      </c>
      <c r="N153" t="inlineStr">
        <is>
          <t>.</t>
        </is>
      </c>
      <c r="O153" t="inlineStr">
        <is>
          <t>.</t>
        </is>
      </c>
    </row>
    <row r="154">
      <c r="A154" t="inlineStr">
        <is>
          <t>CHRNB2</t>
        </is>
      </c>
      <c r="B154" t="inlineStr">
        <is>
          <t>0.720254345017317</t>
        </is>
      </c>
      <c r="C154" t="inlineStr">
        <is>
          <t>cholinergic receptor nicotinic beta 2 subunit</t>
        </is>
      </c>
      <c r="D154" t="inlineStr">
        <is>
          <t xml:space="preserve">FUNCTION: After binding acetylcholine, the AChR responds by an extensive change in conformation that affects all subunits and leads to opening of an ion-conducting channel across the plasma membrane permeable to sodiun ions. {ECO:0000269|PubMed:22361591}.; </t>
        </is>
      </c>
      <c r="E154" t="inlineStr">
        <is>
          <t xml:space="preserve">DISEASE: Epilepsy, nocturnal frontal lobe, 3 (ENFL3) [MIM:605375]: An autosomal dominant focal epilepsy characterized by nocturnal seizures with hyperkinetic automatisms and poorly organized stereotyped movements. {ECO:0000269|PubMed:11062464, ECO:0000269|PubMed:11104662}. Note=The disease is caused by mutations affecting the gene represented in this entry.; </t>
        </is>
      </c>
      <c r="F154" t="inlineStr">
        <is>
          <t>.</t>
        </is>
      </c>
      <c r="G154" t="inlineStr">
        <is>
          <t>.</t>
        </is>
      </c>
      <c r="H154" t="inlineStr">
        <is>
          <t>.</t>
        </is>
      </c>
      <c r="I154">
        <f>HYPERLINK("https://omim.org/entry/605375", "605375")</f>
        <v/>
      </c>
      <c r="J154" t="inlineStr">
        <is>
          <t>.</t>
        </is>
      </c>
      <c r="K154" t="inlineStr">
        <is>
          <t>.</t>
        </is>
      </c>
      <c r="L154" t="inlineStr">
        <is>
          <t>.</t>
        </is>
      </c>
      <c r="M154" t="inlineStr">
        <is>
          <t>.</t>
        </is>
      </c>
      <c r="N154" t="inlineStr">
        <is>
          <t>.</t>
        </is>
      </c>
      <c r="O154" t="inlineStr">
        <is>
          <t>.</t>
        </is>
      </c>
    </row>
    <row r="155">
      <c r="A155" t="inlineStr">
        <is>
          <t>CHST8</t>
        </is>
      </c>
      <c r="B155" t="inlineStr">
        <is>
          <t>0.00422201568083706</t>
        </is>
      </c>
      <c r="C155" t="inlineStr">
        <is>
          <t>carbohydrate (N-acetylgalactosamine 4-0) sulfotransferase 8</t>
        </is>
      </c>
      <c r="D155" t="inlineStr">
        <is>
          <t xml:space="preserve">FUNCTION: Catalyzes the transfer of sulfate to position 4 of non- reducing N-acetylgalactosamine (GalNAc) residues in both N-glycans and O-glycans. Required for biosynthesis of glycoprotein hormones lutropin and thyrotropin, by mediating sulfation of their carbohydrate structures. Only active against terminal GalNAcbeta1,GalNAcbeta. Not active toward chondroitin. {ECO:0000269|PubMed:10988300, ECO:0000269|PubMed:11445554}.; </t>
        </is>
      </c>
      <c r="E155" t="inlineStr">
        <is>
          <t xml:space="preserve">DISEASE: Peeling skin syndrome 3 (PSS3) [MIM:616265]: A form of peeling skin syndrome, a genodermatosis characterized by generalized, continuous shedding of the outer layers of the epidermis. Two main PSS subtypes have been suggested. Patients with non-inflammatory PSS (type A) manifest white scaling, with painless and easy removal of the skin, irritation when in contact with water, dust and sand, and no history of erythema, pruritis or atopy. Inflammatory PSS (type B) is associated with generalized erythema, pruritus and atopy. It is an ichthyosiform erythroderma characterized by lifelong patchy peeling of the entire skin with onset at birth or shortly after. Several patients have been reported with high IgE levels. PSS3 is characterized by generalized white scaling occurring over the upper and lower extremities. Symptoms start during the second half of the first decade of life. {ECO:0000269|PubMed:22289416}. Note=The disease is caused by mutations affecting the gene represented in this entry.; </t>
        </is>
      </c>
      <c r="F155" t="inlineStr">
        <is>
          <t xml:space="preserve">TISSUE SPECIFICITY: Predominantly expressed in pituitary gland. In brain, it is expressed in pituitary gland, cerebellum, medulla oblongata, pons, thalamus and spinal cord. Expressed in the epidermis. Expressed at lower level in lung, spleen, adrenal gland, placenta, prostate, testis, mammary gland and trachea. {ECO:0000269|PubMed:10988300, ECO:0000269|PubMed:11001942, ECO:0000269|PubMed:11445554, ECO:0000269|PubMed:22289416}.; </t>
        </is>
      </c>
      <c r="G155" t="inlineStr">
        <is>
          <t>unclassifiable (Anatomical System);lymph node;islets of Langerhans;pituitary gland;brain;</t>
        </is>
      </c>
      <c r="H155" t="inlineStr">
        <is>
          <t>thalamus;pons;trigeminal ganglion;cingulate cortex;</t>
        </is>
      </c>
      <c r="I155">
        <f>HYPERLINK("https://omim.org/entry/616265", "616265")</f>
        <v/>
      </c>
      <c r="J155" t="inlineStr">
        <is>
          <t>.</t>
        </is>
      </c>
      <c r="K155" t="inlineStr">
        <is>
          <t>.</t>
        </is>
      </c>
      <c r="L155" t="inlineStr">
        <is>
          <t>.</t>
        </is>
      </c>
      <c r="M155" t="inlineStr">
        <is>
          <t>.</t>
        </is>
      </c>
      <c r="N155" t="inlineStr">
        <is>
          <t>.</t>
        </is>
      </c>
      <c r="O155" t="inlineStr">
        <is>
          <t>.</t>
        </is>
      </c>
    </row>
    <row r="156">
      <c r="A156" t="inlineStr">
        <is>
          <t>CHSY1</t>
        </is>
      </c>
      <c r="B156" t="inlineStr">
        <is>
          <t>0.913667234012375</t>
        </is>
      </c>
      <c r="C156" t="inlineStr">
        <is>
          <t>chondroitin sulfate synthase 1</t>
        </is>
      </c>
      <c r="D156" t="inlineStr">
        <is>
          <t xml:space="preserve">FUNCTION: Has both beta-1,3-glucuronic acid and beta-1,4-N- acetylgalactosamine transferase activity. Transfers glucuronic acid (GlcUA) from UDP-GlcUA and N-acetylgalactosamine (GalNAc) from UDP-GalNAc to the non-reducing end of the elongating chondroitin polymer. Involved in the negative control of osteogenesis likely through the modulation of NOTCH signaling. {ECO:0000269|PubMed:11514575, ECO:0000269|PubMed:21129727}.; </t>
        </is>
      </c>
      <c r="E156" t="inlineStr">
        <is>
          <t>.</t>
        </is>
      </c>
      <c r="F156" t="inlineStr">
        <is>
          <t xml:space="preserve">TISSUE SPECIFICITY: Ubiquitous, with the highest levels in placenta. Detected at low levels in brain, heart, skeletal muscle, colon, thymus, spleen, kidney, liver, adrenal gland, mammary gland, stomach, small intestine, lung and peripheral blood leukocytes. {ECO:0000269|PubMed:11514575, ECO:0000269|PubMed:12907687}.; </t>
        </is>
      </c>
      <c r="G156" t="inlineStr">
        <is>
          <t>ovary;salivary gland;intestine;colon;parathyroid;skin;bone marrow;uterus;prostate;whole body;cochlea;larynx;bone;thyroid;testis;germinal center;brain;artery;bladder;tonsil;unclassifiable (Anatomical System);amygdala;lymph node;cartilage;heart;islets of Langerhans;pharynx;blood;skeletal muscle;breast;pancreas;lung;placenta;visual apparatus;alveolus;liver;head and neck;spleen;kidney;aorta;stomach;</t>
        </is>
      </c>
      <c r="H156" t="inlineStr">
        <is>
          <t>dorsal root ganglion;superior cervical ganglion;placenta;adrenal cortex;trigeminal ganglion;skeletal muscle;</t>
        </is>
      </c>
      <c r="I156" t="inlineStr">
        <is>
          <t>.</t>
        </is>
      </c>
      <c r="J156" t="inlineStr">
        <is>
          <t>.</t>
        </is>
      </c>
      <c r="K156" t="inlineStr">
        <is>
          <t>.</t>
        </is>
      </c>
      <c r="L156" t="inlineStr">
        <is>
          <t>.</t>
        </is>
      </c>
      <c r="M156" t="inlineStr">
        <is>
          <t>.</t>
        </is>
      </c>
      <c r="N156" t="inlineStr">
        <is>
          <t>.</t>
        </is>
      </c>
      <c r="O156" t="inlineStr">
        <is>
          <t>.</t>
        </is>
      </c>
    </row>
    <row r="157">
      <c r="A157" t="inlineStr">
        <is>
          <t>CIC</t>
        </is>
      </c>
      <c r="B157" t="inlineStr">
        <is>
          <t>0.99990294666404</t>
        </is>
      </c>
      <c r="C157" t="inlineStr">
        <is>
          <t>capicua transcriptional repressor</t>
        </is>
      </c>
      <c r="D157" t="inlineStr">
        <is>
          <t xml:space="preserve">FUNCTION: Transcriptional repressor which may play a role in development of the central nervous system (CNS).; </t>
        </is>
      </c>
      <c r="E157" t="inlineStr">
        <is>
          <t>.</t>
        </is>
      </c>
      <c r="F157" t="inlineStr">
        <is>
          <t xml:space="preserve">TISSUE SPECIFICITY: Expressed in fetal brain. {ECO:0000269|PubMed:15981098}.; </t>
        </is>
      </c>
      <c r="G157" t="inlineStr">
        <is>
          <t>lymphoreticular;myocardium;smooth muscle;ovary;colon;skin;retina;bone marrow;uterus;prostate;optic nerve;endometrium;larynx;bone;thyroid;iris;testis;germinal center;brain;artery;bladder;unclassifiable (Anatomical System);lymph node;cartilage;heart;islets of Langerhans;pineal body;muscle;adrenal cortex;blood;skeletal muscle;breast;bile duct;pancreas;lung;placenta;visual apparatus;hippocampus;liver;head and neck;kidney;mammary gland;aorta;stomach;</t>
        </is>
      </c>
      <c r="H157" t="inlineStr">
        <is>
          <t>superior cervical ganglion;skeletal muscle;</t>
        </is>
      </c>
      <c r="I157" t="inlineStr">
        <is>
          <t>.</t>
        </is>
      </c>
      <c r="J157" t="inlineStr">
        <is>
          <t>.</t>
        </is>
      </c>
      <c r="K157" t="inlineStr">
        <is>
          <t>.</t>
        </is>
      </c>
      <c r="L157" t="inlineStr">
        <is>
          <t>.</t>
        </is>
      </c>
      <c r="M157" t="inlineStr">
        <is>
          <t>.</t>
        </is>
      </c>
      <c r="N157" t="inlineStr">
        <is>
          <t>.</t>
        </is>
      </c>
      <c r="O157" t="inlineStr">
        <is>
          <t>.</t>
        </is>
      </c>
    </row>
    <row r="158">
      <c r="A158" t="inlineStr">
        <is>
          <t>CIT</t>
        </is>
      </c>
      <c r="B158" t="inlineStr">
        <is>
          <t>0.999998739281467</t>
        </is>
      </c>
      <c r="C158" t="inlineStr">
        <is>
          <t>citron rho-interacting serine/threonine kinase</t>
        </is>
      </c>
      <c r="D158" t="inlineStr">
        <is>
          <t xml:space="preserve">FUNCTION: Plays a role in cytokinesis. Required for KIF14 localization to the central spindle and midbody. Putative RHO/RAC effector that binds to the GTP-bound forms of RHO and RAC1. It probably binds p21 with a tighter specificity in vivo. Displays serine/threonine protein kinase activity. Plays an important role in the regulation of cytokinesis and the development of the central nervous system. Phosphorylates MYL9/MLC2. {ECO:0000269|PubMed:16236794, ECO:0000269|PubMed:16431929, ECO:0000269|PubMed:21457715}.; </t>
        </is>
      </c>
      <c r="E158" t="inlineStr">
        <is>
          <t>.</t>
        </is>
      </c>
      <c r="F158" t="inlineStr">
        <is>
          <t>.</t>
        </is>
      </c>
      <c r="G158" t="inlineStr">
        <is>
          <t>ovary;colon;fovea centralis;choroid;skin;retina;bone marrow;uterus;optic nerve;frontal lobe;oesophagus;endometrium;bone;testis;germinal center;brain;bladder;unclassifiable (Anatomical System);heart;cartilage;nervous;tongue;blood;lens;skeletal muscle;bile duct;lung;placenta;macula lutea;visual apparatus;liver;spleen;head and neck;cervix;kidney;stomach;</t>
        </is>
      </c>
      <c r="H158" t="inlineStr">
        <is>
          <t>amygdala;dorsal root ganglion;occipital lobe;thalamus;medulla oblongata;superior cervical ganglion;pons;caudate nucleus;atrioventricular node;subthalamic nucleus;prefrontal cortex;globus pallidus;ciliary ganglion;trigeminal ganglion;cingulate cortex;parietal lobe;cerebellum;</t>
        </is>
      </c>
      <c r="I158" t="inlineStr">
        <is>
          <t>.</t>
        </is>
      </c>
      <c r="J158" t="inlineStr">
        <is>
          <t>.</t>
        </is>
      </c>
      <c r="K158" t="inlineStr">
        <is>
          <t>.</t>
        </is>
      </c>
      <c r="L158" t="inlineStr">
        <is>
          <t>.</t>
        </is>
      </c>
      <c r="M158" t="inlineStr">
        <is>
          <t>.</t>
        </is>
      </c>
      <c r="N158" t="inlineStr">
        <is>
          <t>.</t>
        </is>
      </c>
      <c r="O158" t="inlineStr">
        <is>
          <t>.</t>
        </is>
      </c>
    </row>
    <row r="159">
      <c r="A159" t="inlineStr">
        <is>
          <t>CLCN7</t>
        </is>
      </c>
      <c r="B159" t="inlineStr">
        <is>
          <t>0.981282976462541</t>
        </is>
      </c>
      <c r="C159" t="inlineStr">
        <is>
          <t>chloride voltage-gated channel 7</t>
        </is>
      </c>
      <c r="D159" t="inlineStr">
        <is>
          <t xml:space="preserve">FUNCTION: Slowly voltage-gated channel mediating the exchange of chloride ions against protons. Functions as antiporter and contributes to the acidification of the lysosome lumen. {ECO:0000269|PubMed:18449189, ECO:0000269|PubMed:21527911}.; </t>
        </is>
      </c>
      <c r="E159" t="inlineStr">
        <is>
          <t xml:space="preserve">DISEASE: Osteopetrosis, autosomal dominant 2 (OPTA2) [MIM:166600]: A rare genetic disease characterized by abnormally dense bone, due to defective resorption of immature bone. Osteopetrosis occurs in two forms: a severe autosomal recessive form occurring in utero, infancy, or childhood, and a benign autosomal dominant form occurring in adolescence or adulthood. OPTA2 is the most common form of osteopetrosis, occurring in adolescence or adulthood. It is characterized by sclerosis, predominantly involving the spine, the pelvis and the skull base. {ECO:0000269|PubMed:11741829, ECO:0000269|PubMed:14584882, ECO:0000269|PubMed:19953639}. Note=The disease is caused by mutations affecting the gene represented in this entry.; </t>
        </is>
      </c>
      <c r="F159" t="inlineStr">
        <is>
          <t xml:space="preserve">TISSUE SPECIFICITY: Brain, testis, muscle and kidney.; </t>
        </is>
      </c>
      <c r="G159" t="inlineStr">
        <is>
          <t>myocardium;ovary;colon;parathyroid;fovea centralis;choroid;skin;retina;bone marrow;prostate;optic nerve;whole body;oesophagus;endometrium;larynx;bone;thyroid;pituitary gland;testis;germinal center;brain;unclassifiable (Anatomical System);lymph node;islets of Langerhans;hypothalamus;blood;lens;pancreas;lung;placenta;macula lutea;visual apparatus;hippocampus;duodenum;liver;spleen;head and neck;cervix;kidney;mammary gland;</t>
        </is>
      </c>
      <c r="H159" t="inlineStr">
        <is>
          <t>amygdala;adrenal gland;prefrontal cortex;adrenal cortex;globus pallidus;trigeminal ganglion;cingulate cortex;</t>
        </is>
      </c>
      <c r="I159">
        <f>HYPERLINK("https://omim.org/entry/166600", "166600")</f>
        <v/>
      </c>
      <c r="J159" t="inlineStr">
        <is>
          <t>.</t>
        </is>
      </c>
      <c r="K159" t="inlineStr">
        <is>
          <t>.</t>
        </is>
      </c>
      <c r="L159" t="inlineStr">
        <is>
          <t>.</t>
        </is>
      </c>
      <c r="M159" t="inlineStr">
        <is>
          <t>.</t>
        </is>
      </c>
      <c r="N159" t="inlineStr">
        <is>
          <t>.</t>
        </is>
      </c>
      <c r="O159" t="inlineStr">
        <is>
          <t>.</t>
        </is>
      </c>
    </row>
    <row r="160">
      <c r="A160" t="inlineStr">
        <is>
          <t>CLCNKA</t>
        </is>
      </c>
      <c r="B160" t="inlineStr">
        <is>
          <t>2.74927659103062e-14</t>
        </is>
      </c>
      <c r="C160" t="inlineStr">
        <is>
          <t>chloride voltage-gated channel Ka</t>
        </is>
      </c>
      <c r="D160" t="inlineStr">
        <is>
          <t xml:space="preserve">FUNCTION: Voltage-gated chloride channel. Chloride channels have several functions including the regulation of cell volume; membrane potential stabilization, signal transduction and transepithelial transport. May be important in urinary concentrating mechanisms.; </t>
        </is>
      </c>
      <c r="E160" t="inlineStr">
        <is>
          <t>.</t>
        </is>
      </c>
      <c r="F160" t="inlineStr">
        <is>
          <t xml:space="preserve">TISSUE SPECIFICITY: Expressed predominantly in the kidney. All nephron segments expressing BSND also express CLCNK proteins. {ECO:0000269|PubMed:11734858}.; </t>
        </is>
      </c>
      <c r="G160" t="inlineStr">
        <is>
          <t>prostate;lung;ovary;heart;thyroid;placenta;parathyroid;spleen;kidney;brain;</t>
        </is>
      </c>
      <c r="H160" t="inlineStr">
        <is>
          <t>.</t>
        </is>
      </c>
      <c r="I160" t="inlineStr">
        <is>
          <t>.</t>
        </is>
      </c>
      <c r="J160" t="inlineStr">
        <is>
          <t>.</t>
        </is>
      </c>
      <c r="K160" t="inlineStr">
        <is>
          <t>.</t>
        </is>
      </c>
      <c r="L160" t="inlineStr">
        <is>
          <t>.</t>
        </is>
      </c>
      <c r="M160" t="inlineStr">
        <is>
          <t>.</t>
        </is>
      </c>
      <c r="N160" t="inlineStr">
        <is>
          <t>.</t>
        </is>
      </c>
      <c r="O160" t="inlineStr">
        <is>
          <t>.</t>
        </is>
      </c>
    </row>
    <row r="161">
      <c r="A161" t="inlineStr">
        <is>
          <t>CLCNKB</t>
        </is>
      </c>
      <c r="B161" t="inlineStr">
        <is>
          <t>7.80835912699469e-12</t>
        </is>
      </c>
      <c r="C161" t="inlineStr">
        <is>
          <t>chloride voltage-gated channel Kb</t>
        </is>
      </c>
      <c r="D161" t="inlineStr">
        <is>
          <t xml:space="preserve">FUNCTION: Voltage-gated chloride channel. Chloride channels have several functions including the regulation of cell volume; membrane potential stabilization, signal transduction and transepithelial transport. May be important in urinary concentrating mechanisms. {ECO:0000269|PubMed:11734858}.; </t>
        </is>
      </c>
      <c r="E161" t="inlineStr">
        <is>
          <t xml:space="preserve">DISEASE: Bartter syndrome 4B (BS4B) [MIM:613090]: A digenic, recessive disorder characterized by impaired salt reabsorption in the thick ascending loop of Henle with pronounced salt wasting, hypokalemic metabolic alkalosis, and varying degrees of hypercalciuria. Bartter syndrome type 4B is associated with sensorineural deafness. {ECO:0000269|PubMed:15044642, ECO:0000269|PubMed:18310267}. Note=The disease is caused by mutations affecting distinct genetic loci, including the gene represented in this entry. Loss-of-function of both CLCNKA and CLCNKB results in the disease phenotype (PubMed:18310267). {ECO:0000269|PubMed:18310267}.; </t>
        </is>
      </c>
      <c r="F161" t="inlineStr">
        <is>
          <t xml:space="preserve">TISSUE SPECIFICITY: Expressed predominantly in the kidney. {ECO:0000269|PubMed:11734858}.; </t>
        </is>
      </c>
      <c r="G161" t="inlineStr">
        <is>
          <t>unclassifiable (Anatomical System);prostate;ovary;heart;thyroid;placenta;parathyroid;kidney;brain;</t>
        </is>
      </c>
      <c r="H161" t="inlineStr">
        <is>
          <t>superior cervical ganglion;thyroid;globus pallidus;atrioventricular node;kidney;</t>
        </is>
      </c>
      <c r="I161">
        <f>HYPERLINK("https://omim.org/entry/613090", "613090")</f>
        <v/>
      </c>
      <c r="J161" t="inlineStr">
        <is>
          <t>.</t>
        </is>
      </c>
      <c r="K161" t="inlineStr">
        <is>
          <t>.</t>
        </is>
      </c>
      <c r="L161" t="inlineStr">
        <is>
          <t>.</t>
        </is>
      </c>
      <c r="M161" t="inlineStr">
        <is>
          <t>.</t>
        </is>
      </c>
      <c r="N161" t="inlineStr">
        <is>
          <t>.</t>
        </is>
      </c>
      <c r="O161" t="inlineStr">
        <is>
          <t>.</t>
        </is>
      </c>
    </row>
    <row r="162">
      <c r="A162" t="inlineStr">
        <is>
          <t>CLK3</t>
        </is>
      </c>
      <c r="B162" t="inlineStr">
        <is>
          <t>0.928146533223461</t>
        </is>
      </c>
      <c r="C162" t="inlineStr">
        <is>
          <t>CDC like kinase 3</t>
        </is>
      </c>
      <c r="D162" t="inlineStr">
        <is>
          <t xml:space="preserve">FUNCTION: Dual specificity kinase acting on both serine/threonine and tyrosine-containing substrates. Phosphorylates serine- and arginine-rich (SR) proteins of the spliceosomal complex. May be a constituent of a network of regulatory mechanisms that enable SR proteins to control RNA splicing and can cause redistribution of SR proteins from speckles to a diffuse nucleoplasmic distribution. Phosphorylates SRSF1 and SRSF3. Regulates the alternative splicing of tissue factor (F3) pre-mRNA in endothelial cells. {ECO:0000269|PubMed:19168442, ECO:0000269|PubMed:9637771}.; </t>
        </is>
      </c>
      <c r="E162" t="inlineStr">
        <is>
          <t>.</t>
        </is>
      </c>
      <c r="F162" t="inlineStr">
        <is>
          <t xml:space="preserve">TISSUE SPECIFICITY: Endothelial cells. {ECO:0000269|PubMed:19168442}.; </t>
        </is>
      </c>
      <c r="G162" t="inlineStr">
        <is>
          <t>lymphoreticular;medulla oblongata;ovary;sympathetic chain;colon;parathyroid;fovea centralis;choroid;skin;retina;bone marrow;uterus;prostate;optic nerve;whole body;frontal lobe;cerebral cortex;endometrium;larynx;bone;thyroid;testis;germinal center;spinal ganglion;brain;bladder;tonsil;unclassifiable (Anatomical System);cartilage;heart;islets of Langerhans;hypothalamus;pineal body;muscle;blood;lens;skeletal muscle;breast;pancreas;lung;placenta;macula lutea;visual apparatus;liver;spleen;head and neck;cervix;kidney;mammary gland;aorta;stomach;</t>
        </is>
      </c>
      <c r="H162" t="inlineStr">
        <is>
          <t>superior cervical ganglion;testis - seminiferous tubule;testis;skeletal muscle;</t>
        </is>
      </c>
      <c r="I162" t="inlineStr">
        <is>
          <t>.</t>
        </is>
      </c>
      <c r="J162" t="inlineStr">
        <is>
          <t>.</t>
        </is>
      </c>
      <c r="K162" t="inlineStr">
        <is>
          <t>.</t>
        </is>
      </c>
      <c r="L162" t="inlineStr">
        <is>
          <t>.</t>
        </is>
      </c>
      <c r="M162" t="inlineStr">
        <is>
          <t>.</t>
        </is>
      </c>
      <c r="N162" t="inlineStr">
        <is>
          <t>.</t>
        </is>
      </c>
      <c r="O162" t="inlineStr">
        <is>
          <t>.</t>
        </is>
      </c>
    </row>
    <row r="163">
      <c r="A163" t="inlineStr">
        <is>
          <t>CLMN</t>
        </is>
      </c>
      <c r="B163" t="inlineStr">
        <is>
          <t>2.06352661935763e-07</t>
        </is>
      </c>
      <c r="C163" t="inlineStr">
        <is>
          <t>calmin (calponin-like, transmembrane)</t>
        </is>
      </c>
      <c r="D163" t="inlineStr">
        <is>
          <t>.</t>
        </is>
      </c>
      <c r="E163" t="inlineStr">
        <is>
          <t>.</t>
        </is>
      </c>
      <c r="F163" t="inlineStr">
        <is>
          <t xml:space="preserve">TISSUE SPECIFICITY: Widely expressed at intermediate level. {ECO:0000269|PubMed:10574461}.; </t>
        </is>
      </c>
      <c r="G163" t="inlineStr">
        <is>
          <t>lymphoreticular;ovary;sympathetic chain;colon;fovea centralis;skin;retina;prostate;whole body;oesophagus;cerebral cortex;testis;spinal ganglion;brain;unclassifiable (Anatomical System);cartilage;islets of Langerhans;muscle;blood;breast;lung;placenta;macula lutea;hippocampus;visual apparatus;liver;spleen;mammary gland;stomach;</t>
        </is>
      </c>
      <c r="H163" t="inlineStr">
        <is>
          <t>testis - interstitial;thalamus;testis - seminiferous tubule;hypothalamus;testis;kidney;</t>
        </is>
      </c>
      <c r="I163" t="inlineStr">
        <is>
          <t>.</t>
        </is>
      </c>
      <c r="J163" t="inlineStr">
        <is>
          <t>.</t>
        </is>
      </c>
      <c r="K163" t="inlineStr">
        <is>
          <t>.</t>
        </is>
      </c>
      <c r="L163" t="inlineStr">
        <is>
          <t>.</t>
        </is>
      </c>
      <c r="M163" t="inlineStr">
        <is>
          <t>.</t>
        </is>
      </c>
      <c r="N163" t="inlineStr">
        <is>
          <t>.</t>
        </is>
      </c>
      <c r="O163" t="inlineStr">
        <is>
          <t>.</t>
        </is>
      </c>
    </row>
    <row r="164">
      <c r="A164" t="inlineStr">
        <is>
          <t>CLN6</t>
        </is>
      </c>
      <c r="B164" t="inlineStr">
        <is>
          <t>0.381706051281562</t>
        </is>
      </c>
      <c r="C164" t="inlineStr">
        <is>
          <t>ceroid-lipofuscinosis, neuronal 6, late infantile, variant</t>
        </is>
      </c>
      <c r="D164" t="inlineStr">
        <is>
          <t>.</t>
        </is>
      </c>
      <c r="E164" t="inlineStr">
        <is>
          <t xml:space="preserve">DISEASE: Ceroid lipofuscinosis, neuronal, 6 (CLN6) [MIM:601780]: A form of neuronal ceroid lipofuscinosis. Neuronal ceroid lipofuscinoses are progressive neurodegenerative, lysosomal storage diseases characterized by intracellular accumulation of autofluorescent liposomal material, and clinically by seizures, dementia, visual loss, and/or cerebral atrophy. The lipopigment patterns observed most often in neuronal ceroid lipofuscinosis type 6 comprise mixed combinations of granular, curvilinear, and fingerprint profiles. {ECO:0000269|PubMed:11727201, ECO:0000269|PubMed:11791207, ECO:0000269|PubMed:12673792, ECO:0000269|PubMed:12815591, ECO:0000269|PubMed:19201763, ECO:0000269|PubMed:21990111, ECO:0000269|Ref.2}. Note=The disease is caused by mutations affecting the gene represented in this entry.; DISEASE: Ceroid lipofuscinosis, neuronal, 4A (CLN4A) [MIM:204300]: An adult-onset neuronal ceroid lipofuscinosis. Neuronal ceroid lipofuscinoses are progressive neurodegenerative, lysosomal storage diseases characterized by intracellular accumulation of autofluorescent liposomal material, and clinically by seizures, dementia, visual loss, and/or cerebral atrophy. CLN4A has no visual involvement and is characterized by progressive myoclonic epilepsy. {ECO:0000269|PubMed:21549341}. Note=The disease is caused by mutations affecting the gene represented in this entry.; </t>
        </is>
      </c>
      <c r="F164" t="inlineStr">
        <is>
          <t>.</t>
        </is>
      </c>
      <c r="G164" t="inlineStr">
        <is>
          <t>ovary;colon;choroid;skin;retina;bone marrow;uterus;larynx;bone;testis;germinal center;brain;bladder;pineal gland;tonsil;unclassifiable (Anatomical System);cartilage;heart;urinary;skeletal muscle;bile duct;pancreas;lung;placenta;visual apparatus;liver;duodenum;spleen;head and neck;cervix;kidney;mammary gland;stomach;</t>
        </is>
      </c>
      <c r="H164" t="inlineStr">
        <is>
          <t>kidney;parietal lobe;cingulate cortex;</t>
        </is>
      </c>
      <c r="I164">
        <f>HYPERLINK("https://omim.org/entry/601780", "601780")</f>
        <v/>
      </c>
      <c r="J164">
        <f>HYPERLINK("https://omim.org/entry/204300", "204300")</f>
        <v/>
      </c>
      <c r="K164" t="inlineStr">
        <is>
          <t>.</t>
        </is>
      </c>
      <c r="L164" t="inlineStr">
        <is>
          <t>.</t>
        </is>
      </c>
      <c r="M164" t="inlineStr">
        <is>
          <t>.</t>
        </is>
      </c>
      <c r="N164" t="inlineStr">
        <is>
          <t>.</t>
        </is>
      </c>
      <c r="O164" t="inlineStr">
        <is>
          <t>.</t>
        </is>
      </c>
    </row>
    <row r="165">
      <c r="A165" t="inlineStr">
        <is>
          <t>CLNK</t>
        </is>
      </c>
      <c r="B165" t="inlineStr">
        <is>
          <t>1.34591221879556e-20</t>
        </is>
      </c>
      <c r="C165" t="inlineStr">
        <is>
          <t>cytokine dependent hematopoietic cell linker</t>
        </is>
      </c>
      <c r="D165" t="inlineStr">
        <is>
          <t xml:space="preserve">FUNCTION: Plays a role in the regulation of immunoreceptor signaling, including PLC-gamma-mediated B-cell antigen receptor (BCR) signaling and FC-epsilon R1-mediated mast cell degranulation. Involved in phosphorylation of LAT (By similarity). {ECO:0000250}.; </t>
        </is>
      </c>
      <c r="E165" t="inlineStr">
        <is>
          <t>.</t>
        </is>
      </c>
      <c r="F165" t="inlineStr">
        <is>
          <t>.</t>
        </is>
      </c>
      <c r="G165" t="inlineStr">
        <is>
          <t>kidney;</t>
        </is>
      </c>
      <c r="H165" t="inlineStr">
        <is>
          <t>superior cervical ganglion;ciliary ganglion;pons;trigeminal ganglion;skeletal muscle;</t>
        </is>
      </c>
      <c r="I165" t="inlineStr">
        <is>
          <t>.</t>
        </is>
      </c>
      <c r="J165" t="inlineStr">
        <is>
          <t>.</t>
        </is>
      </c>
      <c r="K165" t="inlineStr">
        <is>
          <t>.</t>
        </is>
      </c>
      <c r="L165" t="inlineStr">
        <is>
          <t>.</t>
        </is>
      </c>
      <c r="M165" t="inlineStr">
        <is>
          <t>.</t>
        </is>
      </c>
      <c r="N165" t="inlineStr">
        <is>
          <t>.</t>
        </is>
      </c>
      <c r="O165" t="inlineStr">
        <is>
          <t>.</t>
        </is>
      </c>
    </row>
    <row r="166">
      <c r="A166" t="inlineStr">
        <is>
          <t>CLPB</t>
        </is>
      </c>
      <c r="B166" t="inlineStr">
        <is>
          <t>9.1324224431567e-06</t>
        </is>
      </c>
      <c r="C166" t="inlineStr">
        <is>
          <t>ClpB homolog, mitochondrial AAA ATPase chaperonin</t>
        </is>
      </c>
      <c r="D166" t="inlineStr">
        <is>
          <t xml:space="preserve">FUNCTION: May function as a regulatory ATPase and be related to secretion/protein trafficking process.; </t>
        </is>
      </c>
      <c r="E166" t="inlineStr">
        <is>
          <t>.</t>
        </is>
      </c>
      <c r="F166" t="inlineStr">
        <is>
          <t xml:space="preserve">TISSUE SPECIFICITY: Widely expressed (at protein level) (PubMed:25597511). Expressed in fetal, as well as in adult tissues, with highest levels in adult brain, including thalamus, hippocampus, occipital cortex and parietal cortex. Low expression in granulocytes (PubMed:25597510). {ECO:0000269|PubMed:25597510, ECO:0000269|PubMed:25597511}.; </t>
        </is>
      </c>
      <c r="G166" t="inlineStr">
        <is>
          <t>medulla oblongata;ovary;salivary gland;intestine;colon;skin;retina;bone marrow;uterus;prostate;frontal lobe;thyroid;bone;testis;bladder;brain;unclassifiable (Anatomical System);lymph node;cartilage;tongue;muscle;adrenal cortex;pharynx;blood;bile duct;breast;pancreas;lung;placenta;visual apparatus;liver;head and neck;kidney;mammary gland;stomach;</t>
        </is>
      </c>
      <c r="H166" t="inlineStr">
        <is>
          <t>testis - interstitial;testis - seminiferous tubule;testis;</t>
        </is>
      </c>
      <c r="I166" t="inlineStr">
        <is>
          <t>.</t>
        </is>
      </c>
      <c r="J166" t="inlineStr">
        <is>
          <t>.</t>
        </is>
      </c>
      <c r="K166" t="inlineStr">
        <is>
          <t>.</t>
        </is>
      </c>
      <c r="L166" t="inlineStr">
        <is>
          <t>.</t>
        </is>
      </c>
      <c r="M166" t="inlineStr">
        <is>
          <t>.</t>
        </is>
      </c>
      <c r="N166" t="inlineStr">
        <is>
          <t>.</t>
        </is>
      </c>
      <c r="O166" t="inlineStr">
        <is>
          <t>.</t>
        </is>
      </c>
    </row>
    <row r="167">
      <c r="A167" t="inlineStr">
        <is>
          <t>CNST</t>
        </is>
      </c>
      <c r="B167" t="inlineStr">
        <is>
          <t>0.925062821549835</t>
        </is>
      </c>
      <c r="C167" t="inlineStr">
        <is>
          <t>consortin, connexin sorting protein</t>
        </is>
      </c>
      <c r="D167" t="inlineStr">
        <is>
          <t xml:space="preserve">FUNCTION: Required for targeting of connexins to the plasma membrane. {ECO:0000269|PubMed:19864490}.; </t>
        </is>
      </c>
      <c r="E167" t="inlineStr">
        <is>
          <t>.</t>
        </is>
      </c>
      <c r="F167" t="inlineStr">
        <is>
          <t>.</t>
        </is>
      </c>
      <c r="G167" t="inlineStr">
        <is>
          <t>.</t>
        </is>
      </c>
      <c r="H167" t="inlineStr">
        <is>
          <t>.</t>
        </is>
      </c>
      <c r="I167" t="inlineStr">
        <is>
          <t>.</t>
        </is>
      </c>
      <c r="J167" t="inlineStr">
        <is>
          <t>.</t>
        </is>
      </c>
      <c r="K167" t="inlineStr">
        <is>
          <t>.</t>
        </is>
      </c>
      <c r="L167" t="inlineStr">
        <is>
          <t>.</t>
        </is>
      </c>
      <c r="M167" t="inlineStr">
        <is>
          <t>.</t>
        </is>
      </c>
      <c r="N167" t="inlineStr">
        <is>
          <t>.</t>
        </is>
      </c>
      <c r="O167" t="inlineStr">
        <is>
          <t>.</t>
        </is>
      </c>
    </row>
    <row r="168">
      <c r="A168" t="inlineStr">
        <is>
          <t>CNTN4</t>
        </is>
      </c>
      <c r="B168" t="inlineStr">
        <is>
          <t>0.996606387924368</t>
        </is>
      </c>
      <c r="C168" t="inlineStr">
        <is>
          <t>contactin 4</t>
        </is>
      </c>
      <c r="D168" t="inlineStr">
        <is>
          <t xml:space="preserve">FUNCTION: Contactins mediate cell surface interactions during nervous system development. Has some neurite outgrowth-promoting activity. May be involved in synaptogenesis.; </t>
        </is>
      </c>
      <c r="E168" t="inlineStr">
        <is>
          <t xml:space="preserve">DISEASE: Note=A chromosomal aberration involving CNTN4 has been found in a boy with characteristic physical features of 3p deletion syndrome (3PDS). Translocation t(3;10)(p26;q26). 3PDS is a rare contiguous gene disorder involving the loss of the telomeric portion of the short arm of chromosome 3 and characterized by developmental delay, growth retardation, and dysmorphic features. {ECO:0000269|PubMed:15106122}.; </t>
        </is>
      </c>
      <c r="F168" t="inlineStr">
        <is>
          <t xml:space="preserve">TISSUE SPECIFICITY: Mainly expressed in brain. Highly expressed in cerebellum and weakly expressed in corpus callosum, caudate nucleus, amygdala and spinal cord. Also expressed in testis, pancreas, thyroid, uterus, small intestine and kidney. Not expressed in skeletal muscle. Isoform 2 is weakly expressed in cerebral cortex. {ECO:0000269|PubMed:11013081, ECO:0000269|PubMed:14571131}.; </t>
        </is>
      </c>
      <c r="G168" t="inlineStr">
        <is>
          <t>unclassifiable (Anatomical System);ovary;islets of Langerhans;colon;parathyroid;retina;prostate;whole body;lung;frontal lobe;nasopharynx;bone;placenta;visual apparatus;alveolus;testis;kidney;brain;aorta;</t>
        </is>
      </c>
      <c r="H168" t="inlineStr">
        <is>
          <t>dorsal root ganglion;testis - interstitial;subthalamic nucleus;appendix;ciliary ganglion;atrioventricular node;trigeminal ganglion;skin;</t>
        </is>
      </c>
      <c r="I168" t="inlineStr">
        <is>
          <t>.</t>
        </is>
      </c>
      <c r="J168" t="inlineStr">
        <is>
          <t>.</t>
        </is>
      </c>
      <c r="K168" t="inlineStr">
        <is>
          <t>.</t>
        </is>
      </c>
      <c r="L168" t="inlineStr">
        <is>
          <t>.</t>
        </is>
      </c>
      <c r="M168" t="inlineStr">
        <is>
          <t>.</t>
        </is>
      </c>
      <c r="N168" t="inlineStr">
        <is>
          <t>.</t>
        </is>
      </c>
      <c r="O168" t="inlineStr">
        <is>
          <t>.</t>
        </is>
      </c>
    </row>
    <row r="169">
      <c r="A169" t="inlineStr">
        <is>
          <t>CNTN4-AS1</t>
        </is>
      </c>
      <c r="B169" t="inlineStr">
        <is>
          <t>.</t>
        </is>
      </c>
      <c r="C169" t="inlineStr">
        <is>
          <t>CNTN4 antisense RNA 1</t>
        </is>
      </c>
      <c r="D169" t="inlineStr">
        <is>
          <t>.</t>
        </is>
      </c>
      <c r="E169" t="inlineStr">
        <is>
          <t>.</t>
        </is>
      </c>
      <c r="F169" t="inlineStr">
        <is>
          <t>.</t>
        </is>
      </c>
      <c r="G169" t="inlineStr">
        <is>
          <t>.</t>
        </is>
      </c>
      <c r="H169" t="inlineStr">
        <is>
          <t>.</t>
        </is>
      </c>
      <c r="I169" t="inlineStr">
        <is>
          <t>.</t>
        </is>
      </c>
      <c r="J169" t="inlineStr">
        <is>
          <t>.</t>
        </is>
      </c>
      <c r="K169" t="inlineStr">
        <is>
          <t>.</t>
        </is>
      </c>
      <c r="L169" t="inlineStr">
        <is>
          <t>.</t>
        </is>
      </c>
      <c r="M169" t="inlineStr">
        <is>
          <t>.</t>
        </is>
      </c>
      <c r="N169" t="inlineStr">
        <is>
          <t>.</t>
        </is>
      </c>
      <c r="O169" t="inlineStr">
        <is>
          <t>.</t>
        </is>
      </c>
    </row>
    <row r="170">
      <c r="A170" t="inlineStr">
        <is>
          <t>CNTNAP3</t>
        </is>
      </c>
      <c r="B170" t="inlineStr">
        <is>
          <t>0.0725663655548519</t>
        </is>
      </c>
      <c r="C170" t="inlineStr">
        <is>
          <t>contactin associated protein-like 3</t>
        </is>
      </c>
      <c r="D170" t="inlineStr">
        <is>
          <t>.</t>
        </is>
      </c>
      <c r="E170" t="inlineStr">
        <is>
          <t>.</t>
        </is>
      </c>
      <c r="F170" t="inlineStr">
        <is>
          <t>.</t>
        </is>
      </c>
      <c r="G170" t="inlineStr">
        <is>
          <t>unclassifiable (Anatomical System);hypothalamus;blood;skin;retina;bone marrow;lung;frontal lobe;cochlea;placenta;bone;visual apparatus;liver;kidney;brain;aorta;</t>
        </is>
      </c>
      <c r="H170" t="inlineStr">
        <is>
          <t>.</t>
        </is>
      </c>
      <c r="I170" t="inlineStr">
        <is>
          <t>.</t>
        </is>
      </c>
      <c r="J170" t="inlineStr">
        <is>
          <t>.</t>
        </is>
      </c>
      <c r="K170" t="inlineStr">
        <is>
          <t>.</t>
        </is>
      </c>
      <c r="L170" t="inlineStr">
        <is>
          <t>.</t>
        </is>
      </c>
      <c r="M170" t="inlineStr">
        <is>
          <t>.</t>
        </is>
      </c>
      <c r="N170" t="inlineStr">
        <is>
          <t>.</t>
        </is>
      </c>
      <c r="O170" t="inlineStr">
        <is>
          <t>.</t>
        </is>
      </c>
    </row>
    <row r="171">
      <c r="A171" t="inlineStr">
        <is>
          <t>COBLL1</t>
        </is>
      </c>
      <c r="B171" t="inlineStr">
        <is>
          <t>0.0121973641922403</t>
        </is>
      </c>
      <c r="C171" t="inlineStr">
        <is>
          <t>cordon-bleu WH2 repeat protein like 1</t>
        </is>
      </c>
      <c r="D171" t="inlineStr">
        <is>
          <t>.</t>
        </is>
      </c>
      <c r="E171" t="inlineStr">
        <is>
          <t>.</t>
        </is>
      </c>
      <c r="F171" t="inlineStr">
        <is>
          <t>.</t>
        </is>
      </c>
      <c r="G171" t="inlineStr">
        <is>
          <t>lymphoreticular;ovary;sympathetic chain;colon;parathyroid;skin;retina;uterus;prostate;endometrium;larynx;thyroid;testis;dura mater;germinal center;brain;bladder;gall bladder;unclassifiable (Anatomical System);meninges;lymph node;heart;lacrimal gland;pancreas;pia mater;lung;placenta;liver;spleen;head and neck;cervix;kidney;mammary gland;stomach;</t>
        </is>
      </c>
      <c r="H171" t="inlineStr">
        <is>
          <t>dorsal root ganglion;superior cervical ganglion;placenta;globus pallidus;appendix;ciliary ganglion;atrioventricular node;kidney;trigeminal ganglion;parietal lobe;skeletal muscle;</t>
        </is>
      </c>
      <c r="I171" t="inlineStr">
        <is>
          <t>.</t>
        </is>
      </c>
      <c r="J171" t="inlineStr">
        <is>
          <t>.</t>
        </is>
      </c>
      <c r="K171" t="inlineStr">
        <is>
          <t>.</t>
        </is>
      </c>
      <c r="L171" t="inlineStr">
        <is>
          <t>.</t>
        </is>
      </c>
      <c r="M171" t="inlineStr">
        <is>
          <t>.</t>
        </is>
      </c>
      <c r="N171" t="inlineStr">
        <is>
          <t>.</t>
        </is>
      </c>
      <c r="O171" t="inlineStr">
        <is>
          <t>.</t>
        </is>
      </c>
    </row>
    <row r="172">
      <c r="A172" t="inlineStr">
        <is>
          <t>COL11A1</t>
        </is>
      </c>
      <c r="B172" t="inlineStr">
        <is>
          <t>0.999980608468386</t>
        </is>
      </c>
      <c r="C172" t="inlineStr">
        <is>
          <t>collagen type XI alpha 1</t>
        </is>
      </c>
      <c r="D172" t="inlineStr">
        <is>
          <t xml:space="preserve">FUNCTION: May play an important role in fibrillogenesis by controlling lateral growth of collagen II fibrils.; </t>
        </is>
      </c>
      <c r="E172" t="inlineStr">
        <is>
          <t xml:space="preserve">DISEASE: Stickler syndrome 2 (STL2) [MIM:604841]: An autosomal dominant form of Stickler syndrome, an inherited disorder that associates ocular signs with more or less complete forms of Pierre Robin sequence, bone disorders and sensorineural deafness. Ocular disorders may include juvenile cataract, myopia, strabismus, vitreoretinal or chorioretinal degeneration, retinal detachment, and chronic uveitis. Pierre Robin sequence includes an opening in the roof of the mouth (a cleft palate), a large tongue (macroglossia), and a small lower jaw (micrognathia). Bones are affected by slight platyspondylisis and large, often defective epiphyses. Juvenile joint laxity is followed by early signs of arthrosis. The degree of hearing loss varies among affected individuals and may become more severe over time. Syndrome expressivity is variable. {ECO:0000269|PubMed:20513134, ECO:0000269|PubMed:8872475}. Note=The disease is caused by mutations affecting the gene represented in this entry.; DISEASE: Marshall syndrome (MRSHS) [MIM:154780]: An autosomal dominant disorder characterized by ocular abnormalities, deafness, craniofacial anomalies, and anhidrotic ectodermal dysplasia. Clinical features include short stature; flat or retruded midface with short, depressed nose, flat nasal bridge and anteverted nares; cleft palate with or without the Pierre Robin sequence; appearance of large eyes with ocular hypertelorism; cataracts, either congenital or juvenile; esotropia; high myopia; sensorineural hearing loss; spondyloepiphyseal abnormalities; calcification of the falx cerebri; ectodermal abnormalities, including defects in sweating and dental structures. {ECO:0000269|PubMed:10486316}. Note=The disease is caused by mutations affecting the gene represented in this entry.; DISEASE: Fibrochondrogenesis 1 (FBCG1) [MIM:228520]: A severe short-limbed skeletal dysplasia characterized by broad long-bone metaphyses, pear-shaped vertebral bodies, and characteristic morphology of the growth plate, in which the chondrocytes have a fibroblastic appearance and there are regions of fibrous cartilage extracellular matrix. Clinical features include a flat midface with a small nose and anteverted nares, significant shortening of all limb segments but relatively normal hands and feet, and a small bell-shaped thorax with a protuberant abdomen. {ECO:0000269|PubMed:21035103}. Note=The disease is caused by mutations affecting the gene represented in this entry.; </t>
        </is>
      </c>
      <c r="F172" t="inlineStr">
        <is>
          <t xml:space="preserve">TISSUE SPECIFICITY: Cartilage, placenta and some tumor or virally transformed cell lines. Isoforms using exon IIA or IIB are found in the cartilage while isoforms using only exon IIB are found in the tendon.; </t>
        </is>
      </c>
      <c r="G172" t="inlineStr">
        <is>
          <t>unclassifiable (Anatomical System);cartilage;heart;tongue;adrenal cortex;colon;skin;skeletal muscle;retina;bone marrow;breast;uterus;pancreas;whole body;lung;cochlea;larynx;bone;placenta;visual apparatus;testis;head and neck;brain;mammary gland;stomach;</t>
        </is>
      </c>
      <c r="H172" t="inlineStr">
        <is>
          <t>amygdala;superior cervical ganglion;adipose tissue;trachea;fetal brain;prefrontal cortex;ciliary ganglion;skeletal muscle;parietal lobe;</t>
        </is>
      </c>
      <c r="I172">
        <f>HYPERLINK("https://omim.org/entry/604841", "604841")</f>
        <v/>
      </c>
      <c r="J172">
        <f>HYPERLINK("https://omim.org/entry/154780", "154780")</f>
        <v/>
      </c>
      <c r="K172">
        <f>HYPERLINK("https://omim.org/entry/228520", "228520")</f>
        <v/>
      </c>
      <c r="L172" t="inlineStr">
        <is>
          <t>.</t>
        </is>
      </c>
      <c r="M172" t="inlineStr">
        <is>
          <t>.</t>
        </is>
      </c>
      <c r="N172" t="inlineStr">
        <is>
          <t>.</t>
        </is>
      </c>
      <c r="O172" t="inlineStr">
        <is>
          <t>.</t>
        </is>
      </c>
    </row>
    <row r="173">
      <c r="A173" t="inlineStr">
        <is>
          <t>COL18A1</t>
        </is>
      </c>
      <c r="B173" t="inlineStr">
        <is>
          <t>1.23766303264373e-05</t>
        </is>
      </c>
      <c r="C173" t="inlineStr">
        <is>
          <t>collagen type XVIII alpha 1</t>
        </is>
      </c>
      <c r="D173" t="inlineStr">
        <is>
          <t xml:space="preserve">FUNCTION: COLA18A probably plays a major role in determining the retinal structure as well as in the closure of the neural tube.; </t>
        </is>
      </c>
      <c r="E173" t="inlineStr">
        <is>
          <t xml:space="preserve">DISEASE: Knobloch syndrome 1 (KNO1) [MIM:267750]: A developmental disorder primarily characterized by typical eye abnormalities, including high myopia, cataracts, dislocated lens, vitreoretinal degeneration, and retinal detachment, with occipital skull defects, which can range from occipital encephalocele to occult cutis aplasia. {ECO:0000269|PubMed:10942434, ECO:0000269|PubMed:23667181}. Note=The disease is caused by mutations affecting the gene represented in this entry.; </t>
        </is>
      </c>
      <c r="F173" t="inlineStr">
        <is>
          <t xml:space="preserve">TISSUE SPECIFICITY: Present in multiple organs with highest levels in liver, lung and kidney.; </t>
        </is>
      </c>
      <c r="G173" t="inlineStr">
        <is>
          <t>myocardium;ovary;salivary gland;colon;parathyroid;fovea centralis;choroid;skin;retina;bone marrow;uterus;prostate;optic nerve;cerebral cortex;endometrium;larynx;bone;thyroid;iris;pituitary gland;testis;amniotic fluid;spinal ganglion;brain;artery;unclassifiable (Anatomical System);lymph node;cartilage;heart;islets of Langerhans;hypothalamus;blood;lens;breast;bile duct;pancreas;lung;epididymis;placenta;macula lutea;visual apparatus;liver;spleen;head and neck;kidney;mammary gland;aorta;stomach;peripheral nerve;</t>
        </is>
      </c>
      <c r="H173" t="inlineStr">
        <is>
          <t>liver;trigeminal ganglion;</t>
        </is>
      </c>
      <c r="I173">
        <f>HYPERLINK("https://omim.org/entry/267750", "267750")</f>
        <v/>
      </c>
      <c r="J173" t="inlineStr">
        <is>
          <t>.</t>
        </is>
      </c>
      <c r="K173" t="inlineStr">
        <is>
          <t>.</t>
        </is>
      </c>
      <c r="L173" t="inlineStr">
        <is>
          <t>.</t>
        </is>
      </c>
      <c r="M173" t="inlineStr">
        <is>
          <t>.</t>
        </is>
      </c>
      <c r="N173" t="inlineStr">
        <is>
          <t>.</t>
        </is>
      </c>
      <c r="O173" t="inlineStr">
        <is>
          <t>.</t>
        </is>
      </c>
    </row>
    <row r="174">
      <c r="A174" t="inlineStr">
        <is>
          <t>COL20A1</t>
        </is>
      </c>
      <c r="B174" t="inlineStr">
        <is>
          <t>1.26872087443005e-24</t>
        </is>
      </c>
      <c r="C174" t="inlineStr">
        <is>
          <t>collagen type XX alpha 1</t>
        </is>
      </c>
      <c r="D174" t="inlineStr">
        <is>
          <t xml:space="preserve">FUNCTION: Probable collagen protein.; </t>
        </is>
      </c>
      <c r="E174" t="inlineStr">
        <is>
          <t>.</t>
        </is>
      </c>
      <c r="F174" t="inlineStr">
        <is>
          <t xml:space="preserve">TISSUE SPECIFICITY: High expression in heart, lung, liver, skeletal muscle, kidney, pancreas, spleen, testis, ovary, subthalamic nucleus and fetal liver. Weak expression in other tissues tested.; </t>
        </is>
      </c>
      <c r="G174" t="inlineStr">
        <is>
          <t>lung;testis;choroid;brain;</t>
        </is>
      </c>
      <c r="H174" t="inlineStr">
        <is>
          <t>dorsal root ganglion;subthalamic nucleus;occipital lobe;adrenal gland;testis;ciliary ganglion;atrioventricular node;pons;trigeminal ganglion;</t>
        </is>
      </c>
      <c r="I174" t="inlineStr">
        <is>
          <t>.</t>
        </is>
      </c>
      <c r="J174" t="inlineStr">
        <is>
          <t>.</t>
        </is>
      </c>
      <c r="K174" t="inlineStr">
        <is>
          <t>.</t>
        </is>
      </c>
      <c r="L174" t="inlineStr">
        <is>
          <t>.</t>
        </is>
      </c>
      <c r="M174" t="inlineStr">
        <is>
          <t>.</t>
        </is>
      </c>
      <c r="N174" t="inlineStr">
        <is>
          <t>.</t>
        </is>
      </c>
      <c r="O174" t="inlineStr">
        <is>
          <t>.</t>
        </is>
      </c>
    </row>
    <row r="175">
      <c r="A175" t="inlineStr">
        <is>
          <t>COL5A1</t>
        </is>
      </c>
      <c r="B175" t="inlineStr">
        <is>
          <t>0.999999999999752</t>
        </is>
      </c>
      <c r="C175" t="inlineStr">
        <is>
          <t>collagen type V alpha 1</t>
        </is>
      </c>
      <c r="D175" t="inlineStr">
        <is>
          <t xml:space="preserve">FUNCTION: Type V collagen is a member of group I collagen (fibrillar forming collagen). It is a minor connective tissue component of nearly ubiquitous distribution. Type V collagen binds to DNA, heparan sulfate, thrombospondin, heparin, and insulin.; </t>
        </is>
      </c>
      <c r="E175" t="inlineStr">
        <is>
          <t xml:space="preserve">DISEASE: Ehlers-Danlos syndrome, classic type (EDS) [MIM:130000]: A connective tissue disorder characterized by hyperextensible skin, atrophic cutaneous scars due to tissue fragility and joint hyperlaxity. {ECO:0000269|PubMed:10602121, ECO:0000269|PubMed:11992482, ECO:0000269|PubMed:15580559, ECO:0000269|PubMed:18972565, ECO:0000269|PubMed:9042913}. Note=The disease is caused by mutations affecting the gene represented in this entry.; </t>
        </is>
      </c>
      <c r="F175" t="inlineStr">
        <is>
          <t>.</t>
        </is>
      </c>
      <c r="G175" t="inlineStr">
        <is>
          <t>colon;fovea centralis;choroid;skin;retina;bone marrow;uterus;prostate;optic nerve;whole body;frontal lobe;cochlea;endometrium;synovium;larynx;bone;testis;amniotic fluid;brain;unclassifiable (Anatomical System);cartilage;heart;islets of Langerhans;lens;breast;pancreas;lung;epididymis;nasopharynx;trabecular meshwork;placenta;macula lutea;visual apparatus;liver;hypopharynx;spleen;head and neck;kidney;mammary gland;stomach;</t>
        </is>
      </c>
      <c r="H175" t="inlineStr">
        <is>
          <t>uterus;adipose tissue;smooth muscle;heart;placenta;fetal lung;ciliary ganglion;atrioventricular node;</t>
        </is>
      </c>
      <c r="I175">
        <f>HYPERLINK("https://omim.org/entry/130000", "130000")</f>
        <v/>
      </c>
      <c r="J175" t="inlineStr">
        <is>
          <t>.</t>
        </is>
      </c>
      <c r="K175" t="inlineStr">
        <is>
          <t>.</t>
        </is>
      </c>
      <c r="L175" t="inlineStr">
        <is>
          <t>.</t>
        </is>
      </c>
      <c r="M175" t="inlineStr">
        <is>
          <t>.</t>
        </is>
      </c>
      <c r="N175" t="inlineStr">
        <is>
          <t>.</t>
        </is>
      </c>
      <c r="O175" t="inlineStr">
        <is>
          <t>.</t>
        </is>
      </c>
    </row>
    <row r="176">
      <c r="A176" t="inlineStr">
        <is>
          <t>COL5A3</t>
        </is>
      </c>
      <c r="B176" t="inlineStr">
        <is>
          <t>7.11903366992312e-07</t>
        </is>
      </c>
      <c r="C176" t="inlineStr">
        <is>
          <t>collagen type V alpha 3</t>
        </is>
      </c>
      <c r="D176" t="inlineStr">
        <is>
          <t xml:space="preserve">FUNCTION: Type V collagen is a member of group I collagen (fibrillar forming collagen). It is a minor connective tissue component of nearly ubiquitous distribution. Type V collagen binds to DNA, heparan sulfate, thrombospondin, heparin, and insulin.; </t>
        </is>
      </c>
      <c r="E176" t="inlineStr">
        <is>
          <t>.</t>
        </is>
      </c>
      <c r="F176" t="inlineStr">
        <is>
          <t>.</t>
        </is>
      </c>
      <c r="G176" t="inlineStr">
        <is>
          <t>unclassifiable (Anatomical System);medulla oblongata;cartilage;heart;ovary;muscle;urinary;colon;parathyroid;choroid;skin;retina;whole body;lung;adrenal gland;bone;placenta;liver;testis;spleen;kidney;spinal ganglion;brain;mammary gland;</t>
        </is>
      </c>
      <c r="H176" t="inlineStr">
        <is>
          <t>amygdala;dorsal root ganglion;subthalamic nucleus;occipital lobe;superior cervical ganglion;adipose tissue;prefrontal cortex;globus pallidus;pons;caudate nucleus;cingulate cortex;</t>
        </is>
      </c>
      <c r="I176" t="inlineStr">
        <is>
          <t>.</t>
        </is>
      </c>
      <c r="J176" t="inlineStr">
        <is>
          <t>.</t>
        </is>
      </c>
      <c r="K176" t="inlineStr">
        <is>
          <t>.</t>
        </is>
      </c>
      <c r="L176" t="inlineStr">
        <is>
          <t>.</t>
        </is>
      </c>
      <c r="M176" t="inlineStr">
        <is>
          <t>.</t>
        </is>
      </c>
      <c r="N176" t="inlineStr">
        <is>
          <t>.</t>
        </is>
      </c>
      <c r="O176" t="inlineStr">
        <is>
          <t>.</t>
        </is>
      </c>
    </row>
    <row r="177">
      <c r="A177" t="inlineStr">
        <is>
          <t>COL6A2</t>
        </is>
      </c>
      <c r="B177" t="inlineStr">
        <is>
          <t>0.00213375739441823</t>
        </is>
      </c>
      <c r="C177" t="inlineStr">
        <is>
          <t>collagen type VI alpha 2</t>
        </is>
      </c>
      <c r="D177" t="inlineStr">
        <is>
          <t xml:space="preserve">FUNCTION: Collagen VI acts as a cell-binding protein.; </t>
        </is>
      </c>
      <c r="E177" t="inlineStr">
        <is>
          <t xml:space="preserve">DISEASE: Bethlem myopathy 1 (BTHLM1) [MIM:158810]: A benign proximal myopathy characterized by early childhood onset and joint contractures most frequently affecting the elbows and ankles. {ECO:0000269|PubMed:11865138, ECO:0000269|PubMed:15689448, ECO:0000269|PubMed:17886299, ECO:0000269|PubMed:8782832}. Note=The disease is caused by mutations affecting the gene represented in this entry.; DISEASE: Ullrich congenital muscular dystrophy 1 (UCMD1) [MIM:254090]: A congenital myopathy characterized by muscle weakness and multiple joint contractures, generally noted at birth or early infancy. The clinical course is more severe than in Bethlem myopathy. {ECO:0000269|PubMed:15563506, ECO:0000269|PubMed:15689448}. Note=The disease is caused by mutations affecting the gene represented in this entry.; DISEASE: Myosclerosis autosomal recessive (MYOSAR) [MIM:255600]: A condition characterized by chronic inflammation of skeletal muscle with hyperplasia of the interstitial connective tissue. The clinical picture includes slender muscles with firm 'woody' consistency and restriction of movement of many joints because of muscle contractures. Note=The disease is caused by mutations affecting the gene represented in this entry.; </t>
        </is>
      </c>
      <c r="F177" t="inlineStr">
        <is>
          <t>.</t>
        </is>
      </c>
      <c r="G177" t="inlineStr">
        <is>
          <t>smooth muscle;salivary gland;colon;skin;retina;uterus;prostate;endometrium;cerebral cortex;thyroid;bone;iris;testis;spinal ganglion;bladder;brain;unclassifiable (Anatomical System);tongue;urinary;lung;placenta;visual apparatus;liver;spleen;head and neck;kidney;mammary gland;stomach;</t>
        </is>
      </c>
      <c r="H177" t="inlineStr">
        <is>
          <t>superior cervical ganglion;smooth muscle;adipose tissue;caudate nucleus;atrioventricular node;pons;skeletal muscle;uterus;uterus corpus;subthalamic nucleus;placenta;globus pallidus;ciliary ganglion;kidney;</t>
        </is>
      </c>
      <c r="I177">
        <f>HYPERLINK("https://omim.org/entry/158810", "158810")</f>
        <v/>
      </c>
      <c r="J177">
        <f>HYPERLINK("https://omim.org/entry/254090", "254090")</f>
        <v/>
      </c>
      <c r="K177">
        <f>HYPERLINK("https://omim.org/entry/255600", "255600")</f>
        <v/>
      </c>
      <c r="L177" t="inlineStr">
        <is>
          <t>.</t>
        </is>
      </c>
      <c r="M177" t="inlineStr">
        <is>
          <t>.</t>
        </is>
      </c>
      <c r="N177" t="inlineStr">
        <is>
          <t>.</t>
        </is>
      </c>
      <c r="O177" t="inlineStr">
        <is>
          <t>.</t>
        </is>
      </c>
    </row>
    <row r="178">
      <c r="A178" t="inlineStr">
        <is>
          <t>COL6A3</t>
        </is>
      </c>
      <c r="B178" t="inlineStr">
        <is>
          <t>7.79330849282056e-11</t>
        </is>
      </c>
      <c r="C178" t="inlineStr">
        <is>
          <t>collagen type VI alpha 3</t>
        </is>
      </c>
      <c r="D178" t="inlineStr">
        <is>
          <t xml:space="preserve">FUNCTION: Collagen VI acts as a cell-binding protein.; </t>
        </is>
      </c>
      <c r="E178" t="inlineStr">
        <is>
          <t xml:space="preserve">DISEASE: Bethlem myopathy 1 (BTHLM1) [MIM:158810]: A benign proximal myopathy characterized by early childhood onset and joint contractures most frequently affecting the elbows and ankles. {ECO:0000269|PubMed:10399756, ECO:0000269|PubMed:15689448, ECO:0000269|PubMed:17886299, ECO:0000269|PubMed:9536084}. Note=The disease is caused by mutations affecting the gene represented in this entry.; DISEASE: Ullrich congenital muscular dystrophy 1 (UCMD1) [MIM:254090]: A congenital myopathy characterized by muscle weakness and multiple joint contractures, generally noted at birth or early infancy. The clinical course is more severe than in Bethlem myopathy. {ECO:0000269|PubMed:15689448}. Note=The disease is caused by mutations affecting the gene represented in this entry.; DISEASE: Dystonia 27 (DYT27) [MIM:616411]: A form of dystonia, a disorder defined by the presence of sustained involuntary muscle contraction, often leading to abnormal postures. DYT27 is an autosomal recessive form characterized by segmental isolated dystonia involving the face, neck, bulbar muscles, and upper limbs. {ECO:0000269|PubMed:26004199}. Note=The disease is caused by mutations affecting the gene represented in this entry.; </t>
        </is>
      </c>
      <c r="F178" t="inlineStr">
        <is>
          <t>.</t>
        </is>
      </c>
      <c r="G178" t="inlineStr">
        <is>
          <t>smooth muscle;ovary;colon;skin;bone marrow;uterus;prostate;optic nerve;cochlea;endometrium;thyroid;bone;testis;amniotic fluid;brain;gall bladder;unclassifiable (Anatomical System);heart;cartilage;islets of Langerhans;breast;pancreas;lung;placenta;visual apparatus;liver;spleen;kidney;mammary gland;stomach;aorta;peripheral nerve;</t>
        </is>
      </c>
      <c r="H178" t="inlineStr">
        <is>
          <t>uterus;uterus corpus;smooth muscle;adipose tissue;heart;placenta;testis;appendix;fetal lung;atrioventricular node;fetal thyroid;</t>
        </is>
      </c>
      <c r="I178">
        <f>HYPERLINK("https://omim.org/entry/158810", "158810")</f>
        <v/>
      </c>
      <c r="J178">
        <f>HYPERLINK("https://omim.org/entry/254090", "254090")</f>
        <v/>
      </c>
      <c r="K178">
        <f>HYPERLINK("https://omim.org/entry/616411", "616411")</f>
        <v/>
      </c>
      <c r="L178" t="inlineStr">
        <is>
          <t>.</t>
        </is>
      </c>
      <c r="M178" t="inlineStr">
        <is>
          <t>.</t>
        </is>
      </c>
      <c r="N178" t="inlineStr">
        <is>
          <t>.</t>
        </is>
      </c>
      <c r="O178" t="inlineStr">
        <is>
          <t>.</t>
        </is>
      </c>
    </row>
    <row r="179">
      <c r="A179" t="inlineStr">
        <is>
          <t>CORO7</t>
        </is>
      </c>
      <c r="B179" t="inlineStr">
        <is>
          <t>7.31151184071541e-12</t>
        </is>
      </c>
      <c r="C179" t="inlineStr">
        <is>
          <t>coronin 7</t>
        </is>
      </c>
      <c r="D179" t="inlineStr">
        <is>
          <t xml:space="preserve">FUNCTION: F-actin regulator involved in anterograde Golgi to endosome transport: upon ubiquitination via 'Lys-33'-linked ubiquitin chains by the BCR(KLHL20) E3 ubiquitin ligase complex, interacts with EPS15 and localizes to the trans-Golgi network, where it promotes actin polymerization, thereby facilitating post- Golgi trafficking. May play a role in the maintenance of the Golgi apparatus morphology. {ECO:0000269|PubMed:16905771, ECO:0000269|PubMed:24768539}.; </t>
        </is>
      </c>
      <c r="E179" t="inlineStr">
        <is>
          <t>.</t>
        </is>
      </c>
      <c r="F179" t="inlineStr">
        <is>
          <t xml:space="preserve">TISSUE SPECIFICITY: Widely expressed. Expressed in the spleen, peripheral leukocytes, testes, brain, thymus and small intestine. {ECO:0000269|PubMed:21130766}.; </t>
        </is>
      </c>
      <c r="G179" t="inlineStr">
        <is>
          <t>lymphoreticular;ovary;salivary gland;colon;skin;bone marrow;prostate;optic nerve;frontal lobe;endometrium;testis;brain;unclassifiable (Anatomical System);lymph node;heart;islets of Langerhans;hypothalamus;muscle;blood;skeletal muscle;pancreas;lung;placenta;visual apparatus;hippocampus;spleen;kidney;</t>
        </is>
      </c>
      <c r="H179" t="inlineStr">
        <is>
          <t>adrenal cortex;white blood cells;ciliary ganglion;caudate nucleus;whole blood;</t>
        </is>
      </c>
      <c r="I179" t="inlineStr">
        <is>
          <t>.</t>
        </is>
      </c>
      <c r="J179" t="inlineStr">
        <is>
          <t>.</t>
        </is>
      </c>
      <c r="K179" t="inlineStr">
        <is>
          <t>.</t>
        </is>
      </c>
      <c r="L179" t="inlineStr">
        <is>
          <t>.</t>
        </is>
      </c>
      <c r="M179" t="inlineStr">
        <is>
          <t>.</t>
        </is>
      </c>
      <c r="N179" t="inlineStr">
        <is>
          <t>.</t>
        </is>
      </c>
      <c r="O179" t="inlineStr">
        <is>
          <t>.</t>
        </is>
      </c>
    </row>
    <row r="180">
      <c r="A180" t="inlineStr">
        <is>
          <t>CORO7-PAM16</t>
        </is>
      </c>
      <c r="B180" t="inlineStr">
        <is>
          <t>1.62821439778502e-12</t>
        </is>
      </c>
      <c r="C180" t="inlineStr">
        <is>
          <t>CORO7-PAM16 readthrough</t>
        </is>
      </c>
      <c r="D180" t="inlineStr">
        <is>
          <t xml:space="preserve">FUNCTION: F-actin regulator involved in anterograde Golgi to endosome transport: upon ubiquitination via 'Lys-33'-linked ubiquitin chains by the BCR(KLHL20) E3 ubiquitin ligase complex, interacts with EPS15 and localizes to the trans-Golgi network, where it promotes actin polymerization, thereby facilitating post- Golgi trafficking. May play a role in the maintenance of the Golgi apparatus morphology. {ECO:0000269|PubMed:16905771, ECO:0000269|PubMed:24768539}.; </t>
        </is>
      </c>
      <c r="E180" t="inlineStr">
        <is>
          <t>.</t>
        </is>
      </c>
      <c r="F180" t="inlineStr">
        <is>
          <t xml:space="preserve">TISSUE SPECIFICITY: Widely expressed. Expressed in the spleen, peripheral leukocytes, testes, brain, thymus and small intestine. {ECO:0000269|PubMed:21130766}.; </t>
        </is>
      </c>
      <c r="G180" t="inlineStr">
        <is>
          <t>.</t>
        </is>
      </c>
      <c r="H180" t="inlineStr">
        <is>
          <t>.</t>
        </is>
      </c>
      <c r="I180" t="inlineStr">
        <is>
          <t>.</t>
        </is>
      </c>
      <c r="J180" t="inlineStr">
        <is>
          <t>.</t>
        </is>
      </c>
      <c r="K180" t="inlineStr">
        <is>
          <t>.</t>
        </is>
      </c>
      <c r="L180" t="inlineStr">
        <is>
          <t>.</t>
        </is>
      </c>
      <c r="M180" t="inlineStr">
        <is>
          <t>.</t>
        </is>
      </c>
      <c r="N180" t="inlineStr">
        <is>
          <t>.</t>
        </is>
      </c>
      <c r="O180" t="inlineStr">
        <is>
          <t>.</t>
        </is>
      </c>
    </row>
    <row r="181">
      <c r="A181" t="inlineStr">
        <is>
          <t>CP</t>
        </is>
      </c>
      <c r="B181" t="inlineStr">
        <is>
          <t>0.000168752233046611</t>
        </is>
      </c>
      <c r="C181" t="inlineStr">
        <is>
          <t>ceruloplasmin (ferroxidase)</t>
        </is>
      </c>
      <c r="D181" t="inlineStr">
        <is>
          <t xml:space="preserve">FUNCTION: Ceruloplasmin is a blue, copper-binding (6-7 atoms per molecule) glycoprotein. It has ferroxidase activity oxidizing Fe(2+) to Fe(3+) without releasing radical oxygen species. It is involved in iron transport across the cell membrane. Provides Cu(2+) ions for the ascorbate-mediated deaminase degradation of the heparan sulfate chains of GPC1. May also play a role in fetal lung development or pulmonary antioxidant defense (By similarity). {ECO:0000250}.; </t>
        </is>
      </c>
      <c r="E181" t="inlineStr">
        <is>
          <t xml:space="preserve">DISEASE: Note=Ceruloplasmin levels are decreased in Wilson disease, in which copper cannot be incorporated into ceruloplasmin in liver because of defects in the copper-transporting ATPase 2.; </t>
        </is>
      </c>
      <c r="F181" t="inlineStr">
        <is>
          <t xml:space="preserve">TISSUE SPECIFICITY: Expressed by the liver and secreted in plasma.; </t>
        </is>
      </c>
      <c r="G181" t="inlineStr">
        <is>
          <t>ovary;fovea centralis;choroid;bone marrow;retina;uterus;prostate;optic nerve;whole body;endometrium;testis;brain;gall bladder;unclassifiable (Anatomical System);cartilage;lacrimal gland;hypothalamus;blood;lens;skeletal muscle;breast;lung;trabecular meshwork;macula lutea;visual apparatus;liver;spleen;kidney;stomach;</t>
        </is>
      </c>
      <c r="H181" t="inlineStr">
        <is>
          <t>fetal liver;appendix;ciliary ganglion;atrioventricular node;trigeminal ganglion;</t>
        </is>
      </c>
      <c r="I181" t="inlineStr">
        <is>
          <t>.</t>
        </is>
      </c>
      <c r="J181" t="inlineStr">
        <is>
          <t>.</t>
        </is>
      </c>
      <c r="K181" t="inlineStr">
        <is>
          <t>.</t>
        </is>
      </c>
      <c r="L181" t="inlineStr">
        <is>
          <t>.</t>
        </is>
      </c>
      <c r="M181" t="inlineStr">
        <is>
          <t>.</t>
        </is>
      </c>
      <c r="N181" t="inlineStr">
        <is>
          <t>.</t>
        </is>
      </c>
      <c r="O181" t="inlineStr">
        <is>
          <t>.</t>
        </is>
      </c>
    </row>
    <row r="182">
      <c r="A182" t="inlineStr">
        <is>
          <t>CPA3</t>
        </is>
      </c>
      <c r="B182" t="inlineStr">
        <is>
          <t>1.2834341428345e-12</t>
        </is>
      </c>
      <c r="C182" t="inlineStr">
        <is>
          <t>carboxypeptidase A3</t>
        </is>
      </c>
      <c r="D182" t="inlineStr">
        <is>
          <t>.</t>
        </is>
      </c>
      <c r="E182" t="inlineStr">
        <is>
          <t>.</t>
        </is>
      </c>
      <c r="F182" t="inlineStr">
        <is>
          <t>.</t>
        </is>
      </c>
      <c r="G182" t="inlineStr">
        <is>
          <t>unclassifiable (Anatomical System);heart;islets of Langerhans;skin;retina;bone marrow;uterus;prostate;lung;endometrium;cerebral cortex;nasopharynx;kidney;stomach;</t>
        </is>
      </c>
      <c r="H182" t="inlineStr">
        <is>
          <t>superior cervical ganglion;trigeminal ganglion;</t>
        </is>
      </c>
      <c r="I182" t="inlineStr">
        <is>
          <t>.</t>
        </is>
      </c>
      <c r="J182" t="inlineStr">
        <is>
          <t>.</t>
        </is>
      </c>
      <c r="K182" t="inlineStr">
        <is>
          <t>.</t>
        </is>
      </c>
      <c r="L182" t="inlineStr">
        <is>
          <t>.</t>
        </is>
      </c>
      <c r="M182" t="inlineStr">
        <is>
          <t>.</t>
        </is>
      </c>
      <c r="N182" t="inlineStr">
        <is>
          <t>.</t>
        </is>
      </c>
      <c r="O182" t="inlineStr">
        <is>
          <t>.</t>
        </is>
      </c>
    </row>
    <row r="183">
      <c r="A183" t="inlineStr">
        <is>
          <t>CR1</t>
        </is>
      </c>
      <c r="B183" t="inlineStr">
        <is>
          <t>9.34032929712518e-08</t>
        </is>
      </c>
      <c r="C183" t="inlineStr">
        <is>
          <t>complement component 3b/4b receptor 1 (Knops blood group)</t>
        </is>
      </c>
      <c r="D183" t="inlineStr">
        <is>
          <t xml:space="preserve">FUNCTION: Mediates cellular binding of particles and immune complexes that have activated complement.; </t>
        </is>
      </c>
      <c r="E183" t="inlineStr">
        <is>
          <t>.</t>
        </is>
      </c>
      <c r="F183" t="inlineStr">
        <is>
          <t xml:space="preserve">TISSUE SPECIFICITY: Present on erythrocytes, leukocytes, glomerular podocytes, and splenic follicular dendritic cells.; </t>
        </is>
      </c>
      <c r="G183" t="inlineStr">
        <is>
          <t>.</t>
        </is>
      </c>
      <c r="H183" t="inlineStr">
        <is>
          <t>.</t>
        </is>
      </c>
      <c r="I183" t="inlineStr">
        <is>
          <t>.</t>
        </is>
      </c>
      <c r="J183" t="inlineStr">
        <is>
          <t>.</t>
        </is>
      </c>
      <c r="K183" t="inlineStr">
        <is>
          <t>.</t>
        </is>
      </c>
      <c r="L183" t="inlineStr">
        <is>
          <t>.</t>
        </is>
      </c>
      <c r="M183" t="inlineStr">
        <is>
          <t>.</t>
        </is>
      </c>
      <c r="N183" t="inlineStr">
        <is>
          <t>.</t>
        </is>
      </c>
      <c r="O183" t="inlineStr">
        <is>
          <t>.</t>
        </is>
      </c>
    </row>
    <row r="184">
      <c r="A184" t="inlineStr">
        <is>
          <t>CRBN</t>
        </is>
      </c>
      <c r="B184" t="inlineStr">
        <is>
          <t>0.0384944384873777</t>
        </is>
      </c>
      <c r="C184" t="inlineStr">
        <is>
          <t>cereblon</t>
        </is>
      </c>
      <c r="D184" t="inlineStr">
        <is>
          <t xml:space="preserve">FUNCTION: Substrate recognition component of a DCX (DDB1-CUL4-X- box) E3 protein ligase complex that mediates the ubiquitination and subsequent proteasomal degradation of target proteins, such as MEIS2. Normal degradation of key regulatory proteins is required for normal limb outgrowth and expression of the fibroblast growth factor FGF8. May play a role in memory and learning by regulating the assembly and neuronal surface expression of large-conductance calcium-activated potassium channels in brain regions involved in memory and learning via its interaction with KCNT1. Binding of pomalidomide and other thalidomide-related drugs changes the substrate specificity of the human protein, leading to decreased degradation of MEIS2 and other target proteins and increased degradation of MYC, IRF4, IKZF1 and IKZF3. {ECO:0000269|PubMed:18414909, ECO:0000269|PubMed:20223979, ECO:0000269|PubMed:24328678, ECO:0000269|PubMed:25043012, ECO:0000269|PubMed:25108355, ECO:0000305}.; </t>
        </is>
      </c>
      <c r="E184" t="inlineStr">
        <is>
          <t xml:space="preserve">DISEASE: Mental retardation, autosomal recessive 2A (MRT2A) [MIM:607417]: A disorder characterized by significantly below average general intellectual functioning associated with impairments in adaptive behavior and manifested during the developmental period. Non-syndromic mental retardation patients do not manifest other clinical signs. MRT2A patients display mild mental retardation with a standard IQ ranged from 50 to 70. IQ scores are lower in males than females. Developmental milestones are mildly delayed. There are no dysmorphic or autistic features. {ECO:0000269|PubMed:15557513}. Note=The disease is caused by mutations affecting the gene represented in this entry.; </t>
        </is>
      </c>
      <c r="F184" t="inlineStr">
        <is>
          <t xml:space="preserve">TISSUE SPECIFICITY: Widely expressed. Highly expressed in brain. {ECO:0000269|PubMed:15557513, ECO:0000269|PubMed:17380424}.; </t>
        </is>
      </c>
      <c r="G184" t="inlineStr">
        <is>
          <t>medulla oblongata;ovary;colon;parathyroid;skin;retina;bone marrow;uterus;prostate;whole body;endometrium;oesophagus;bone;thyroid;pituitary gland;testis;germinal center;brain;bladder;unclassifiable (Anatomical System);lymph node;cartilage;heart;tongue;hypothalamus;pharynx;blood;skeletal muscle;breast;bile duct;pancreas;lung;adrenal gland;nasopharynx;placenta;visual apparatus;hippocampus;liver;cervix;spleen;head and neck;kidney;mammary gland;aorta;stomach;</t>
        </is>
      </c>
      <c r="H184" t="inlineStr">
        <is>
          <t>dorsal root ganglion;amygdala;occipital lobe;subthalamic nucleus;testis - seminiferous tubule;prefrontal cortex;white blood cells;cingulate cortex;parietal lobe;</t>
        </is>
      </c>
      <c r="I184">
        <f>HYPERLINK("https://omim.org/entry/607417", "607417")</f>
        <v/>
      </c>
      <c r="J184" t="inlineStr">
        <is>
          <t>.</t>
        </is>
      </c>
      <c r="K184" t="inlineStr">
        <is>
          <t>.</t>
        </is>
      </c>
      <c r="L184" t="inlineStr">
        <is>
          <t>.</t>
        </is>
      </c>
      <c r="M184" t="inlineStr">
        <is>
          <t>.</t>
        </is>
      </c>
      <c r="N184" t="inlineStr">
        <is>
          <t>.</t>
        </is>
      </c>
      <c r="O184" t="inlineStr">
        <is>
          <t>.</t>
        </is>
      </c>
    </row>
    <row r="185">
      <c r="A185" t="inlineStr">
        <is>
          <t>CRIPAK</t>
        </is>
      </c>
      <c r="B185" t="inlineStr">
        <is>
          <t>2.43127197997244e-12</t>
        </is>
      </c>
      <c r="C185" t="inlineStr">
        <is>
          <t>cysteine rich PAK1 inhibitor</t>
        </is>
      </c>
      <c r="D185" t="inlineStr">
        <is>
          <t xml:space="preserve">FUNCTION: Negative regulator of PAK1. It has been suggested that the lost of CRIPAK in breast tumors might contribute to hormonal independence. {ECO:0000269|PubMed:16278681}.; </t>
        </is>
      </c>
      <c r="E185" t="inlineStr">
        <is>
          <t>.</t>
        </is>
      </c>
      <c r="F185" t="inlineStr">
        <is>
          <t xml:space="preserve">TISSUE SPECIFICITY: Widely expressed with a highest expression observed in trachea, prostate and adrenal glands. Expressed in many cancer cell lines including breast cancer cells. {ECO:0000269|PubMed:16278681}.; </t>
        </is>
      </c>
      <c r="G185" t="inlineStr">
        <is>
          <t>heart;ovary;blood;skin;uterus;pancreas;lung;endometrium;bone;visual apparatus;liver;pituitary gland;testis;spleen;brain;stomach;</t>
        </is>
      </c>
      <c r="H185" t="inlineStr">
        <is>
          <t>.</t>
        </is>
      </c>
      <c r="I185" t="inlineStr">
        <is>
          <t>.</t>
        </is>
      </c>
      <c r="J185" t="inlineStr">
        <is>
          <t>.</t>
        </is>
      </c>
      <c r="K185" t="inlineStr">
        <is>
          <t>.</t>
        </is>
      </c>
      <c r="L185" t="inlineStr">
        <is>
          <t>.</t>
        </is>
      </c>
      <c r="M185" t="inlineStr">
        <is>
          <t>.</t>
        </is>
      </c>
      <c r="N185" t="inlineStr">
        <is>
          <t>.</t>
        </is>
      </c>
      <c r="O185" t="inlineStr">
        <is>
          <t>.</t>
        </is>
      </c>
    </row>
    <row r="186">
      <c r="A186" t="inlineStr">
        <is>
          <t>CRYAA</t>
        </is>
      </c>
      <c r="B186" t="inlineStr">
        <is>
          <t>0.521020324207416</t>
        </is>
      </c>
      <c r="C186" t="inlineStr">
        <is>
          <t>crystallin alpha A</t>
        </is>
      </c>
      <c r="D186" t="inlineStr">
        <is>
          <t xml:space="preserve">FUNCTION: Contributes to the transparency and refractive index of the lens. Has chaperone-like activity, preventing aggregation of various proteins under a wide range of stress conditions. {ECO:0000269|PubMed:22120592}.; </t>
        </is>
      </c>
      <c r="E186" t="inlineStr">
        <is>
          <t xml:space="preserve">DISEASE: Note=Alpha-crystallin A 1-172 is found at nearly twofold higher levels in diabetic lenses than in age-matched control lenses. {ECO:0000269|PubMed:12356833}.; DISEASE: Cataract 9, multiple types (CTRCT9) [MIM:604219]: An opacification of the crystalline lens of the eye that frequently results in visual impairment or blindness. Opacities vary in morphology, are often confined to a portion of the lens, and may be static or progressive. In general, the more posteriorly located and dense an opacity, the greater the impact on visual function. CTRCT9 includes nuclear, zonular central nuclear, anterior polar, cortical, embryonal, anterior subcapsular, fan-shaped, and total cataracts, among others. In some cases cataract is associated with microcornea without any other systemic anomaly or dysmorphism. Microcornea is defined by a corneal diameter inferior to 10 mm in both meridians in an otherwise normal eye. {ECO:0000269|PubMed:14512969, ECO:0000269|PubMed:16453125, ECO:0000269|PubMed:18302245, ECO:0000269|PubMed:18407550, ECO:0000269|PubMed:23508780, ECO:0000269|PubMed:9467006}. Note=The disease is caused by mutations affecting the gene represented in this entry.; </t>
        </is>
      </c>
      <c r="F186" t="inlineStr">
        <is>
          <t xml:space="preserve">TISSUE SPECIFICITY: Expressed in eye lens. {ECO:0000269|PubMed:12356833}.; </t>
        </is>
      </c>
      <c r="G186" t="inlineStr">
        <is>
          <t>unclassifiable (Anatomical System);colon;fovea centralis;choroid;lens;retina;optic nerve;whole body;visual apparatus;macula lutea;liver;iris;kidney;stomach;thymus;</t>
        </is>
      </c>
      <c r="H186" t="inlineStr">
        <is>
          <t>superior cervical ganglion;kidney;atrioventricular node;</t>
        </is>
      </c>
      <c r="I186">
        <f>HYPERLINK("https://omim.org/entry/604219", "604219")</f>
        <v/>
      </c>
      <c r="J186" t="inlineStr">
        <is>
          <t>.</t>
        </is>
      </c>
      <c r="K186" t="inlineStr">
        <is>
          <t>.</t>
        </is>
      </c>
      <c r="L186" t="inlineStr">
        <is>
          <t>.</t>
        </is>
      </c>
      <c r="M186" t="inlineStr">
        <is>
          <t>.</t>
        </is>
      </c>
      <c r="N186" t="inlineStr">
        <is>
          <t>.</t>
        </is>
      </c>
      <c r="O186" t="inlineStr">
        <is>
          <t>.</t>
        </is>
      </c>
    </row>
    <row r="187">
      <c r="A187" t="inlineStr">
        <is>
          <t>CSMD1</t>
        </is>
      </c>
      <c r="B187" t="inlineStr">
        <is>
          <t>.</t>
        </is>
      </c>
      <c r="C187" t="inlineStr">
        <is>
          <t>CUB and Sushi multiple domains 1</t>
        </is>
      </c>
      <c r="D187" t="inlineStr">
        <is>
          <t xml:space="preserve">FUNCTION: Potential suppressor of squamous cell carcinomas.; </t>
        </is>
      </c>
      <c r="E187" t="inlineStr">
        <is>
          <t>.</t>
        </is>
      </c>
      <c r="F187" t="inlineStr">
        <is>
          <t xml:space="preserve">TISSUE SPECIFICITY: Weakly expressed in most tissues, except in brain. Expressed at intermediate level in brain, including cerebellum, substantia nigra, hippocampus and fetal brain. {ECO:0000269|PubMed:11572484}.; </t>
        </is>
      </c>
      <c r="G187" t="inlineStr">
        <is>
          <t>unclassifiable (Anatomical System);lung;placenta;liver;testis;spleen;mammary gland;bone marrow;</t>
        </is>
      </c>
      <c r="H187" t="inlineStr">
        <is>
          <t>dorsal root ganglion;superior cervical ganglion;subthalamic nucleus;testis - seminiferous tubule;globus pallidus;ciliary ganglion;atrioventricular node;pons;trigeminal ganglion;skeletal muscle;skin;</t>
        </is>
      </c>
      <c r="I187" t="inlineStr">
        <is>
          <t>.</t>
        </is>
      </c>
      <c r="J187" t="inlineStr">
        <is>
          <t>.</t>
        </is>
      </c>
      <c r="K187" t="inlineStr">
        <is>
          <t>.</t>
        </is>
      </c>
      <c r="L187" t="inlineStr">
        <is>
          <t>.</t>
        </is>
      </c>
      <c r="M187" t="inlineStr">
        <is>
          <t>.</t>
        </is>
      </c>
      <c r="N187" t="inlineStr">
        <is>
          <t>.</t>
        </is>
      </c>
      <c r="O187" t="inlineStr">
        <is>
          <t>.</t>
        </is>
      </c>
    </row>
    <row r="188">
      <c r="A188" t="inlineStr">
        <is>
          <t>CSMD2</t>
        </is>
      </c>
      <c r="B188" t="inlineStr">
        <is>
          <t>.</t>
        </is>
      </c>
      <c r="C188" t="inlineStr">
        <is>
          <t>CUB and Sushi multiple domains 2</t>
        </is>
      </c>
      <c r="D188" t="inlineStr">
        <is>
          <t>.</t>
        </is>
      </c>
      <c r="E188" t="inlineStr">
        <is>
          <t>.</t>
        </is>
      </c>
      <c r="F188" t="inlineStr">
        <is>
          <t xml:space="preserve">TISSUE SPECIFICITY: Weakly expressed in most tissues, except in brain. Expressed at intermediate level in brain, including cerebellum, substantia nigra, hippocampus and fetal brain. Overexpressed in some head and neck cancer cell lines. {ECO:0000269|PubMed:11572484, ECO:0000269|PubMed:12906867}.; </t>
        </is>
      </c>
      <c r="G188" t="inlineStr">
        <is>
          <t>unclassifiable (Anatomical System);medulla oblongata;cartilage;colon;choroid;fovea centralis;lens;skeletal muscle;retina;pancreas;optic nerve;frontal lobe;macula lutea;brain;</t>
        </is>
      </c>
      <c r="H188" t="inlineStr">
        <is>
          <t>dorsal root ganglion;subthalamic nucleus;superior cervical ganglion;globus pallidus;ciliary ganglion;pons;atrioventricular node;trigeminal ganglion;skin;skeletal muscle;</t>
        </is>
      </c>
      <c r="I188" t="inlineStr">
        <is>
          <t>.</t>
        </is>
      </c>
      <c r="J188" t="inlineStr">
        <is>
          <t>.</t>
        </is>
      </c>
      <c r="K188" t="inlineStr">
        <is>
          <t>.</t>
        </is>
      </c>
      <c r="L188" t="inlineStr">
        <is>
          <t>.</t>
        </is>
      </c>
      <c r="M188" t="inlineStr">
        <is>
          <t>.</t>
        </is>
      </c>
      <c r="N188" t="inlineStr">
        <is>
          <t>.</t>
        </is>
      </c>
      <c r="O188" t="inlineStr">
        <is>
          <t>.</t>
        </is>
      </c>
    </row>
    <row r="189">
      <c r="A189" t="inlineStr">
        <is>
          <t>CSMD3</t>
        </is>
      </c>
      <c r="B189" t="inlineStr">
        <is>
          <t>0.999999995922049</t>
        </is>
      </c>
      <c r="C189" t="inlineStr">
        <is>
          <t>CUB and Sushi multiple domains 3</t>
        </is>
      </c>
      <c r="D189" t="inlineStr">
        <is>
          <t>.</t>
        </is>
      </c>
      <c r="E189" t="inlineStr">
        <is>
          <t>.</t>
        </is>
      </c>
      <c r="F189" t="inlineStr">
        <is>
          <t xml:space="preserve">TISSUE SPECIFICITY: Weakly expressed in most tissues, except in brain. Expressed at intermediate level in brain, including cerebellum, substantia nigra, thalamus, spinal cord, hippocampus and fetal brain. Also expressed in testis. {ECO:0000269|PubMed:11572484, ECO:0000269|PubMed:12943675}.; </t>
        </is>
      </c>
      <c r="G189" t="inlineStr">
        <is>
          <t>unclassifiable (Anatomical System);optic nerve;lung;whole body;placenta;macula lutea;liver;testis;spleen;fovea centralis;choroid;lens;brain;retina;</t>
        </is>
      </c>
      <c r="H189" t="inlineStr">
        <is>
          <t>dorsal root ganglion;superior cervical ganglion;subthalamic nucleus;cerebellum peduncles;temporal lobe;prefrontal cortex;globus pallidus;ciliary ganglion;atrioventricular node;trigeminal ganglion;skeletal muscle;parietal lobe;cingulate cortex;</t>
        </is>
      </c>
      <c r="I189" t="inlineStr">
        <is>
          <t>.</t>
        </is>
      </c>
      <c r="J189" t="inlineStr">
        <is>
          <t>.</t>
        </is>
      </c>
      <c r="K189" t="inlineStr">
        <is>
          <t>.</t>
        </is>
      </c>
      <c r="L189" t="inlineStr">
        <is>
          <t>.</t>
        </is>
      </c>
      <c r="M189" t="inlineStr">
        <is>
          <t>.</t>
        </is>
      </c>
      <c r="N189" t="inlineStr">
        <is>
          <t>.</t>
        </is>
      </c>
      <c r="O189" t="inlineStr">
        <is>
          <t>.</t>
        </is>
      </c>
    </row>
    <row r="190">
      <c r="A190" t="inlineStr">
        <is>
          <t>CTBP2</t>
        </is>
      </c>
      <c r="B190" t="inlineStr">
        <is>
          <t>0.655184958473335</t>
        </is>
      </c>
      <c r="C190" t="inlineStr">
        <is>
          <t>C-terminal binding protein 2</t>
        </is>
      </c>
      <c r="D190" t="inlineStr">
        <is>
          <t xml:space="preserve">FUNCTION: Corepressor targeting diverse transcription regulators. Functions in brown adipose tissue (BAT) differentiation (By similarity). {ECO:0000250}.; </t>
        </is>
      </c>
      <c r="E190" t="inlineStr">
        <is>
          <t>.</t>
        </is>
      </c>
      <c r="F190" t="inlineStr">
        <is>
          <t xml:space="preserve">TISSUE SPECIFICITY: Ubiquitous. Highest levels in heart, skeletal muscle, and pancreas.; </t>
        </is>
      </c>
      <c r="G190" t="inlineStr">
        <is>
          <t>ovary;skin;retina;bone marrow;prostate;optic nerve;endometrium;thyroid;germinal center;bladder;brain;heart;cartilage;tongue;adrenal cortex;pharynx;blood;lens;breast;trabecular meshwork;macula lutea;visual apparatus;liver;spleen;cervix;mammary gland;salivary gland;intestine;colon;parathyroid;fovea centralis;choroid;vein;uterus;whole body;oesophagus;cerebral cortex;larynx;synovium;bone;testis;unclassifiable (Anatomical System);lacrimal gland;islets of Langerhans;hypothalamus;muscle;pancreas;lung;adrenal gland;placenta;head and neck;kidney;stomach;cerebellum;</t>
        </is>
      </c>
      <c r="H190" t="inlineStr">
        <is>
          <t>superior cervical ganglion;ciliary ganglion;trigeminal ganglion;skeletal muscle;</t>
        </is>
      </c>
      <c r="I190" t="inlineStr">
        <is>
          <t>.</t>
        </is>
      </c>
      <c r="J190" t="inlineStr">
        <is>
          <t>.</t>
        </is>
      </c>
      <c r="K190" t="inlineStr">
        <is>
          <t>.</t>
        </is>
      </c>
      <c r="L190" t="inlineStr">
        <is>
          <t>.</t>
        </is>
      </c>
      <c r="M190" t="inlineStr">
        <is>
          <t>.</t>
        </is>
      </c>
      <c r="N190" t="inlineStr">
        <is>
          <t>.</t>
        </is>
      </c>
      <c r="O190" t="inlineStr">
        <is>
          <t>.</t>
        </is>
      </c>
    </row>
    <row r="191">
      <c r="A191" t="inlineStr">
        <is>
          <t>CTDSP2</t>
        </is>
      </c>
      <c r="B191" t="inlineStr">
        <is>
          <t>0.397665011331897</t>
        </is>
      </c>
      <c r="C191" t="inlineStr">
        <is>
          <t>CTD small phosphatase 2</t>
        </is>
      </c>
      <c r="D191" t="inlineStr">
        <is>
          <t xml:space="preserve">FUNCTION: Preferentially catalyzes the dephosphorylation of 'Ser- 5' within the tandem 7 residue repeats in the C-terminal domain (CTD) of the largest RNA polymerase II subunit POLR2A. Negatively regulates RNA polymerase II transcription, possibly by controlling the transition from initiation/capping to processive transcript elongation. Recruited by REST to neuronal genes that contain RE-1 elements, leading to neuronal gene silencing in non-neuronal cells. May contribute to the development of sarcomas. {ECO:0000269|PubMed:12721286, ECO:0000269|PubMed:15681389}.; </t>
        </is>
      </c>
      <c r="E191" t="inlineStr">
        <is>
          <t>.</t>
        </is>
      </c>
      <c r="F191" t="inlineStr">
        <is>
          <t xml:space="preserve">TISSUE SPECIFICITY: Expression is restricted to non-neuronal tissues. Highest expression in pancreas and lowest in liver. {ECO:0000269|PubMed:15681389}.; </t>
        </is>
      </c>
      <c r="G191" t="inlineStr">
        <is>
          <t>.</t>
        </is>
      </c>
      <c r="H191" t="inlineStr">
        <is>
          <t>.</t>
        </is>
      </c>
      <c r="I191" t="inlineStr">
        <is>
          <t>.</t>
        </is>
      </c>
      <c r="J191" t="inlineStr">
        <is>
          <t>.</t>
        </is>
      </c>
      <c r="K191" t="inlineStr">
        <is>
          <t>.</t>
        </is>
      </c>
      <c r="L191" t="inlineStr">
        <is>
          <t>.</t>
        </is>
      </c>
      <c r="M191" t="inlineStr">
        <is>
          <t>.</t>
        </is>
      </c>
      <c r="N191" t="inlineStr">
        <is>
          <t>.</t>
        </is>
      </c>
      <c r="O191" t="inlineStr">
        <is>
          <t>.</t>
        </is>
      </c>
    </row>
    <row r="192">
      <c r="A192" t="inlineStr">
        <is>
          <t>CTNNA2</t>
        </is>
      </c>
      <c r="B192" t="inlineStr">
        <is>
          <t>0.999717952847311</t>
        </is>
      </c>
      <c r="C192" t="inlineStr">
        <is>
          <t>catenin alpha 2</t>
        </is>
      </c>
      <c r="D192" t="inlineStr">
        <is>
          <t xml:space="preserve">FUNCTION: May function as a linker between cadherin adhesion receptors and the cytoskeleton to regulate cell-cell adhesion and differentiation in the nervous system. Regulates morphological plasticity of synapses and cerebellar and hippocampal lamination during development. Functions in the control of startle modulation. {ECO:0000250|UniProtKB:Q61301}.; </t>
        </is>
      </c>
      <c r="E192" t="inlineStr">
        <is>
          <t>.</t>
        </is>
      </c>
      <c r="F192" t="inlineStr">
        <is>
          <t>.</t>
        </is>
      </c>
      <c r="G192" t="inlineStr">
        <is>
          <t>unclassifiable (Anatomical System);islets of Langerhans;hypothalamus;sympathetic chain;fovea centralis;choroid;lens;skeletal muscle;retina;breast;optic nerve;lung;frontal lobe;cochlea;endometrium;macula lutea;hippocampus;testis;brain;</t>
        </is>
      </c>
      <c r="H192" t="inlineStr">
        <is>
          <t>amygdala;dorsal root ganglion;whole brain;occipital lobe;thalamus;superior cervical ganglion;medulla oblongata;testis - interstitial;hypothalamus;temporal lobe;pons;caudate nucleus;subthalamic nucleus;fetal brain;testis - seminiferous tubule;prefrontal cortex;globus pallidus;testis;ciliary ganglion;parietal lobe;cingulate cortex;</t>
        </is>
      </c>
      <c r="I192" t="inlineStr">
        <is>
          <t>.</t>
        </is>
      </c>
      <c r="J192" t="inlineStr">
        <is>
          <t>.</t>
        </is>
      </c>
      <c r="K192" t="inlineStr">
        <is>
          <t>.</t>
        </is>
      </c>
      <c r="L192" t="inlineStr">
        <is>
          <t>.</t>
        </is>
      </c>
      <c r="M192" t="inlineStr">
        <is>
          <t>.</t>
        </is>
      </c>
      <c r="N192" t="inlineStr">
        <is>
          <t>.</t>
        </is>
      </c>
      <c r="O192" t="inlineStr">
        <is>
          <t>.</t>
        </is>
      </c>
    </row>
    <row r="193">
      <c r="A193" t="inlineStr">
        <is>
          <t>CTPS1</t>
        </is>
      </c>
      <c r="B193" t="inlineStr">
        <is>
          <t>0.932192403965688</t>
        </is>
      </c>
      <c r="C193" t="inlineStr">
        <is>
          <t>CTP synthase 1</t>
        </is>
      </c>
      <c r="D193" t="inlineStr">
        <is>
          <t xml:space="preserve">FUNCTION: This enzyme is involved in the de novo synthesis of CTP, a precursor of DNA, RNA and phospholipids. Catalyzes the ATP- dependent amination of UTP to CTP with either L-glutamine or ammonia as a source of nitrogen. This enzyme and its product, CTP, play a crucial role in the proliferation of activated lymphocytes and therefore in immunity. {ECO:0000269|PubMed:16179339, ECO:0000269|PubMed:24870241}.; </t>
        </is>
      </c>
      <c r="E193" t="inlineStr">
        <is>
          <t xml:space="preserve">DISEASE: Immunodeficiency 24 (IMD24) [MIM:615897]: A life- threatening immunodeficiency, characterized by an impaired capacity of activated T and B cells to proliferate in response to antigen receptor-mediated activation. Patients have early onset of severe chronic viral infections, mostly caused by herpes viruses, including EBV and varicella zooster virus (VZV), and also suffer from recurrent encapsulated bacterial infections, a spectrum of infections typical of a combined deficiency of adaptive immunity. {ECO:0000269|PubMed:24870241}. Note=The disease is caused by mutations affecting the gene represented in this entry. A unique and recessive G to C mutation probably affecting a splice donor site at the junction of intron 17-18 and exon 18 has been identified in all patients. It results in expression of an abnormal transcript lacking exon 18 and a complete loss of the expression of the protein. {ECO:0000269|PubMed:24870241}.; </t>
        </is>
      </c>
      <c r="F193" t="inlineStr">
        <is>
          <t xml:space="preserve">TISSUE SPECIFICITY: Widely expressed. {ECO:0000269|PubMed:24870241}.; </t>
        </is>
      </c>
      <c r="G193" t="inlineStr">
        <is>
          <t>.</t>
        </is>
      </c>
      <c r="H193" t="inlineStr">
        <is>
          <t>.</t>
        </is>
      </c>
      <c r="I193">
        <f>HYPERLINK("https://omim.org/entry/615897", "615897")</f>
        <v/>
      </c>
      <c r="J193" t="inlineStr">
        <is>
          <t>.</t>
        </is>
      </c>
      <c r="K193" t="inlineStr">
        <is>
          <t>.</t>
        </is>
      </c>
      <c r="L193" t="inlineStr">
        <is>
          <t>.</t>
        </is>
      </c>
      <c r="M193" t="inlineStr">
        <is>
          <t>.</t>
        </is>
      </c>
      <c r="N193" t="inlineStr">
        <is>
          <t>.</t>
        </is>
      </c>
      <c r="O193" t="inlineStr">
        <is>
          <t>.</t>
        </is>
      </c>
    </row>
    <row r="194">
      <c r="A194" t="inlineStr">
        <is>
          <t>CTTNBP2</t>
        </is>
      </c>
      <c r="B194" t="inlineStr">
        <is>
          <t>2.59915879681031e-06</t>
        </is>
      </c>
      <c r="C194" t="inlineStr">
        <is>
          <t>cortactin binding protein 2</t>
        </is>
      </c>
      <c r="D194" t="inlineStr">
        <is>
          <t xml:space="preserve">FUNCTION: Regulates the dendritic spine distribution of CTTN/cortactin in hippocampal neurons, thus controls dendritic spinogenesis and dendritic spine maintenance. {ECO:0000250}.; </t>
        </is>
      </c>
      <c r="E194" t="inlineStr">
        <is>
          <t>.</t>
        </is>
      </c>
      <c r="F194" t="inlineStr">
        <is>
          <t xml:space="preserve">TISSUE SPECIFICITY: Highest expression in brain. Also expressed in kidney, pancreas, lung, heart, liver, skeletal muscle and placenta. {ECO:0000269|PubMed:11707066}.; </t>
        </is>
      </c>
      <c r="G194" t="inlineStr">
        <is>
          <t>unclassifiable (Anatomical System);ovary;blood;fovea centralis;skeletal muscle;bone marrow;uterus;whole body;lung;endometrium;larynx;trabecular meshwork;placenta;thyroid;macula lutea;testis;head and neck;brain;cerebellum;</t>
        </is>
      </c>
      <c r="H194" t="inlineStr">
        <is>
          <t>superior cervical ganglion;ciliary ganglion;atrioventricular node;trigeminal ganglion;</t>
        </is>
      </c>
      <c r="I194" t="inlineStr">
        <is>
          <t>.</t>
        </is>
      </c>
      <c r="J194" t="inlineStr">
        <is>
          <t>.</t>
        </is>
      </c>
      <c r="K194" t="inlineStr">
        <is>
          <t>.</t>
        </is>
      </c>
      <c r="L194" t="inlineStr">
        <is>
          <t>.</t>
        </is>
      </c>
      <c r="M194" t="inlineStr">
        <is>
          <t>.</t>
        </is>
      </c>
      <c r="N194" t="inlineStr">
        <is>
          <t>.</t>
        </is>
      </c>
      <c r="O194" t="inlineStr">
        <is>
          <t>.</t>
        </is>
      </c>
    </row>
    <row r="195">
      <c r="A195" t="inlineStr">
        <is>
          <t>CUL3</t>
        </is>
      </c>
      <c r="B195" t="inlineStr">
        <is>
          <t>0.974063405438851</t>
        </is>
      </c>
      <c r="C195" t="inlineStr">
        <is>
          <t>cullin 3</t>
        </is>
      </c>
      <c r="D195" t="inlineStr">
        <is>
          <t xml:space="preserve">FUNCTION: Core component of multiple cullin-RING-based BCR (BTB- CUL3-RBX1) E3 ubiquitin-protein ligase complexes which mediate the ubiquitination and subsequent proteasomal degradation of target proteins. As a scaffold protein may contribute to catalysis through positioning of the substrate and the ubiquitin-conjugating enzyme. The E3 ubiquitin-protein ligase activity of the complex is dependent on the neddylation of the cullin subunit and is inhibited by the association of the deneddylated cullin subunit with TIP120A/CAND1 (By similarity). The functional specificity of the BCR complex depends on the BTB domain-containing protein as the substrate recognition component. BCR(KLHL42) is involved in ubiquitination of KATNA1. BCR(SPOP) is involved in ubiquitination of BMI1/PCGF4, BRMS1, H2AFY and DAXX, GLI2 and GLI3. Can also form a cullin-RING-based BCR (BTB-CUL3-RBX1) E3 ubiquitin-protein ligase complex containing homodimeric SPOPL or the heterodimer formed by SPOP and SPOPL; these complexes have lower ubiquitin ligase activity. BCR(KLHL9-KLHL13) controls the dynamic behavior of AURKB on mitotic chromosomes and thereby coordinates faithful mitotic progression and completion of cytokinesis. BCR(KLHL12) is involved in ER-Golgi transport by regulating the size of COPII coats, thereby playing a key role in collagen export, which is required for embryonic stem (ES) cells division: BCR(KLHL12) acts by mediating monoubiquitination of SEC31 (SEC31A or SEC31B). BCR(KLHL3) acts as a regulator of ion transport in the distal nephron; by mediating ubiquitination of WNK4. The BCR(KLHL20) E3 ubiquitin ligase complex is involved in interferon response and anterograde Golgi to endosome transport: it mediates both ubiquitination leading to degradation and 'Lys-33'-linked ubiquitination (PubMed:20389280, PubMed:21840486, PubMed:21670212, PubMed:24768539). The BCR(KLHL21) E3 ubiquitin ligase complex regulates localization of the chromosomal passenger complex (CPC) from chromosomes to the spindle midzone in anaphase and mediates the ubiquitination of AURKB. The BCR(KLHL22) ubiquitin ligase complex mediates monoubiquitination of PLK1, leading to PLK1 dissociation from phosphoreceptor proteins and subsequent removal from kinetochores, allowing silencing of the spindle assembly checkpoint (SAC) and chromosome segregation. The BCR(KLHL25) ubiquitin ligase complex is involved in translational homeostasis by mediating ubiquitination and subsequent degradation of hypophosphorylated EIF4EBP1 (4E-BP1). Involved in ubiquitination of cyclin E and of cyclin D1 (in vitro) thus involved in regulation of G1/S transition. Involved in the ubiquitination of KEAP1, ENC1 and KLHL41. In concert with ATF2 and RBX1, promotes degradation of KAT5 thereby attenuating its ability to acetylate and activate ATM. The BCR(KCTD17) E3 ubiquitin ligase complex mediates ubiquitination and degradation of TCHP, a down-regulator of cilium assembly, thereby inducing ciliogenesis (PubMed:25270598). {ECO:0000250, ECO:0000269|PubMed:10500095, ECO:0000269|PubMed:11311237, ECO:0000269|PubMed:15897469, ECO:0000269|PubMed:15983046, ECO:0000269|PubMed:16524876, ECO:0000269|PubMed:17543862, ECO:0000269|PubMed:18397884, ECO:0000269|PubMed:19261606, ECO:0000269|PubMed:19995937, ECO:0000269|PubMed:20389280, ECO:0000269|PubMed:21670212, ECO:0000269|PubMed:21840486, ECO:0000269|PubMed:22085717, ECO:0000269|PubMed:22358839, ECO:0000269|PubMed:22578813, ECO:0000269|PubMed:22632832, ECO:0000269|PubMed:23387299, ECO:0000269|PubMed:23453970, ECO:0000269|PubMed:23455478, ECO:0000269|PubMed:23576762, ECO:0000269|PubMed:24768539, ECO:0000269|PubMed:25270598}.; </t>
        </is>
      </c>
      <c r="E195" t="inlineStr">
        <is>
          <t xml:space="preserve">DISEASE: Pseudohypoaldosteronism 2E (PHA2E) [MIM:614496]: An autosomal dominant disorder characterized by severe hypertension, hyperkalemia, hyperchloremia, hyperchloremic metabolic acidosis, and correction of physiologic abnormalities by thiazide diuretics. {ECO:0000269|PubMed:22266938}. Note=The disease is caused by mutations affecting the gene represented in this entry.; </t>
        </is>
      </c>
      <c r="F195" t="inlineStr">
        <is>
          <t xml:space="preserve">TISSUE SPECIFICITY: Widely expressed.; </t>
        </is>
      </c>
      <c r="G195" t="inlineStr">
        <is>
          <t>medulla oblongata;ovary;adrenal medulla;skin;retina;bone marrow;prostate;cochlea;endometrium;thyroid;germinal center;bladder;brain;heart;cartilage;adrenal cortex;pharynx;blood;lens;skeletal muscle;breast;macula lutea;visual apparatus;liver;spleen;cervix;mammary gland;salivary gland;intestine;colon;parathyroid;fovea centralis;uterus;whole body;bone;pituitary gland;testis;dura mater;artery;pineal gland;unclassifiable (Anatomical System);meninges;lymph node;islets of Langerhans;hypothalamus;bile duct;pancreas;pia mater;lung;cornea;adrenal gland;placenta;hypopharynx;head and neck;kidney;stomach;aorta;</t>
        </is>
      </c>
      <c r="H195" t="inlineStr">
        <is>
          <t>testis - interstitial;superior cervical ganglion;testis - seminiferous tubule;globus pallidus;testis;ciliary ganglion;pons;trigeminal ganglion;cingulate cortex;skeletal muscle;</t>
        </is>
      </c>
      <c r="I195">
        <f>HYPERLINK("https://omim.org/entry/614496", "614496")</f>
        <v/>
      </c>
      <c r="J195" t="inlineStr">
        <is>
          <t>.</t>
        </is>
      </c>
      <c r="K195" t="inlineStr">
        <is>
          <t>.</t>
        </is>
      </c>
      <c r="L195" t="inlineStr">
        <is>
          <t>.</t>
        </is>
      </c>
      <c r="M195" t="inlineStr">
        <is>
          <t>.</t>
        </is>
      </c>
      <c r="N195" t="inlineStr">
        <is>
          <t>.</t>
        </is>
      </c>
      <c r="O195" t="inlineStr">
        <is>
          <t>.</t>
        </is>
      </c>
    </row>
    <row r="196">
      <c r="A196" t="inlineStr">
        <is>
          <t>CYHR1</t>
        </is>
      </c>
      <c r="B196" t="inlineStr">
        <is>
          <t>0.0538307875149217</t>
        </is>
      </c>
      <c r="C196" t="inlineStr">
        <is>
          <t>cysteine/histidine-rich 1</t>
        </is>
      </c>
      <c r="D196" t="inlineStr">
        <is>
          <t>.</t>
        </is>
      </c>
      <c r="E196" t="inlineStr">
        <is>
          <t>.</t>
        </is>
      </c>
      <c r="F196" t="inlineStr">
        <is>
          <t>.</t>
        </is>
      </c>
      <c r="G196" t="inlineStr">
        <is>
          <t>unclassifiable (Anatomical System);cartilage;ovary;islets of Langerhans;colon;fovea centralis;choroid;retina;pancreas;prostate;optic nerve;lung;endometrium;bone;placenta;macula lutea;hippocampus;pituitary gland;liver;testis;spleen;kidney;brain;stomach;</t>
        </is>
      </c>
      <c r="H196" t="inlineStr">
        <is>
          <t>atrioventricular node;trigeminal ganglion;</t>
        </is>
      </c>
      <c r="I196" t="inlineStr">
        <is>
          <t>.</t>
        </is>
      </c>
      <c r="J196" t="inlineStr">
        <is>
          <t>.</t>
        </is>
      </c>
      <c r="K196" t="inlineStr">
        <is>
          <t>.</t>
        </is>
      </c>
      <c r="L196" t="inlineStr">
        <is>
          <t>.</t>
        </is>
      </c>
      <c r="M196" t="inlineStr">
        <is>
          <t>.</t>
        </is>
      </c>
      <c r="N196" t="inlineStr">
        <is>
          <t>.</t>
        </is>
      </c>
      <c r="O196" t="inlineStr">
        <is>
          <t>.</t>
        </is>
      </c>
    </row>
    <row r="197">
      <c r="A197" t="inlineStr">
        <is>
          <t>CYP2U1</t>
        </is>
      </c>
      <c r="B197" t="inlineStr">
        <is>
          <t>0.0817830150318557</t>
        </is>
      </c>
      <c r="C197" t="inlineStr">
        <is>
          <t>cytochrome P450 family 2 subfamily U member 1</t>
        </is>
      </c>
      <c r="D197" t="inlineStr">
        <is>
          <t xml:space="preserve">FUNCTION: Catalyzes the hydroxylation of arachidonic acid, docosahexaenoic acid and other long chain fatty acids. May modulate the arachidonic acid signaling pathway and play a role in other fatty acid signaling processes. {ECO:0000269|PubMed:14660610}.; </t>
        </is>
      </c>
      <c r="E197" t="inlineStr">
        <is>
          <t xml:space="preserve">DISEASE: Spastic paraplegia 56, autosomal recessive (SPG56) [MIM:615030]: A form of spastic paraplegia, a neurodegenerative disorder characterized by a slow, gradual, progressive weakness and spasticity of the lower limbs. Rate of progression and the severity of symptoms are quite variable. Initial symptoms may include difficulty with balance, weakness and stiffness in the legs, muscle spasms, and dragging the toes when walking. Complicated forms are recognized by additional variable features including spastic quadriparesis, seizures, dementia, amyotrophy, extrapyramidal disturbance, cerebral or cerebellar atrophy, optic atrophy, and peripheral neuropathy, as well as by extra neurological manifestations. In SPG56, upper limbs are often also affected. Some SPG56 patients may have a subclinical axonal neuropathy. {ECO:0000269|PubMed:23176821}. Note=The disease is caused by mutations affecting the gene represented in this entry.; </t>
        </is>
      </c>
      <c r="F197" t="inlineStr">
        <is>
          <t xml:space="preserve">TISSUE SPECIFICITY: Widely expressed with stronger expression in thymus, heart and cerebellum. {ECO:0000269|PubMed:14660610, ECO:0000269|PubMed:14975754, ECO:0000269|PubMed:15752708}.; </t>
        </is>
      </c>
      <c r="G197" t="inlineStr">
        <is>
          <t>unclassifiable (Anatomical System);cartilage;heart;islets of Langerhans;colon;parathyroid;fovea centralis;choroid;lens;skin;retina;uterus;prostate;optic nerve;whole body;lung;endometrium;macula lutea;iris;testis;germinal center;kidney;brain;stomach;thymus;</t>
        </is>
      </c>
      <c r="H197" t="inlineStr">
        <is>
          <t>.</t>
        </is>
      </c>
      <c r="I197">
        <f>HYPERLINK("https://omim.org/entry/615030", "615030")</f>
        <v/>
      </c>
      <c r="J197" t="inlineStr">
        <is>
          <t>.</t>
        </is>
      </c>
      <c r="K197" t="inlineStr">
        <is>
          <t>.</t>
        </is>
      </c>
      <c r="L197" t="inlineStr">
        <is>
          <t>.</t>
        </is>
      </c>
      <c r="M197" t="inlineStr">
        <is>
          <t>.</t>
        </is>
      </c>
      <c r="N197" t="inlineStr">
        <is>
          <t>.</t>
        </is>
      </c>
      <c r="O197" t="inlineStr">
        <is>
          <t>.</t>
        </is>
      </c>
    </row>
    <row r="198">
      <c r="A198" t="inlineStr">
        <is>
          <t>CYP4B1</t>
        </is>
      </c>
      <c r="B198" t="inlineStr">
        <is>
          <t>5.37386386780508e-10</t>
        </is>
      </c>
      <c r="C198" t="inlineStr">
        <is>
          <t>cytochrome P450 family 4 subfamily B member 1</t>
        </is>
      </c>
      <c r="D198" t="inlineStr">
        <is>
          <t xml:space="preserve">FUNCTION: Cytochromes P450 are a group of heme-thiolate monooxygenases. In liver microsomes, this enzyme is involved in an NADPH-dependent electron transport pathway. It oxidizes a variety of structurally unrelated compounds, including steroids, fatty acids, and xenobiotics.; </t>
        </is>
      </c>
      <c r="E198" t="inlineStr">
        <is>
          <t>.</t>
        </is>
      </c>
      <c r="F198" t="inlineStr">
        <is>
          <t xml:space="preserve">TISSUE SPECIFICITY: Detected in the liver and lung (at protein level). {ECO:0000269|PubMed:12695542}.; </t>
        </is>
      </c>
      <c r="G198" t="inlineStr">
        <is>
          <t>unclassifiable (Anatomical System);heart;ovary;cartilage;skin;retina;uterus;prostate;lung;cerebral cortex;nasopharynx;placenta;testis;spinal ganglion;bladder;brain;</t>
        </is>
      </c>
      <c r="H198" t="inlineStr">
        <is>
          <t>dorsal root ganglion;trachea;atrioventricular node;trigeminal ganglion;</t>
        </is>
      </c>
      <c r="I198" t="inlineStr">
        <is>
          <t>.</t>
        </is>
      </c>
      <c r="J198" t="inlineStr">
        <is>
          <t>.</t>
        </is>
      </c>
      <c r="K198" t="inlineStr">
        <is>
          <t>.</t>
        </is>
      </c>
      <c r="L198" t="inlineStr">
        <is>
          <t>.</t>
        </is>
      </c>
      <c r="M198" t="inlineStr">
        <is>
          <t>.</t>
        </is>
      </c>
      <c r="N198" t="inlineStr">
        <is>
          <t>.</t>
        </is>
      </c>
      <c r="O198" t="inlineStr">
        <is>
          <t>.</t>
        </is>
      </c>
    </row>
    <row r="199">
      <c r="A199" t="inlineStr">
        <is>
          <t>DAB2IP</t>
        </is>
      </c>
      <c r="B199" t="inlineStr">
        <is>
          <t>0.999652087746425</t>
        </is>
      </c>
      <c r="C199" t="inlineStr">
        <is>
          <t>DAB2 interacting protein</t>
        </is>
      </c>
      <c r="D199" t="inlineStr">
        <is>
          <t xml:space="preserve">FUNCTION: Functions as a scaffold protein implicated in the regulation of a large spectrum of both general and specialized signaling pathways. Involved in several processes such as innate immune response, inflammation and cell growth inhibition, apoptosis, cell survival, angiogenesis, cell migration and maturation. Plays also a role in cell cycle checkpoint control; reduces G1 phase cyclin levels resulting in G0/G1 cell cycle arrest. Mediates signal transduction by receptor-mediated inflammatory signals, such as the tumor necrosis factor (TNF), interferon (IFN) or lipopolysaccharide (LPS). Modulates the balance between phosphatidylinositol 3-kinase (PI3K)-AKT-mediated cell survival and apoptosis stimulated kinase (MAP3K5)-JNK signaling pathways; sequesters both AKT1 and MAP3K5 and counterbalances the activity of each kinase by modulating their phosphorylation status in response to proinflammatory stimuli. Acts as a regulator of the endoplasmic reticulum (ER) unfolded protein response (UPR) pathway; specifically involved in transduction of the ER stress-response to the JNK cascade through ERN1. Mediates TNF-alpha-induced apoptosis activation by facilitating dissociation of inhibitor 14-3-3 from MAP3K5; recruits the PP2A phosphatase complex which dephosphorylates MAP3K5 on 'Ser-966', leading to the dissociation of 13-3-3 proteins and activation of the MAP3K5-JNK signaling pathway in endothelial cells. Mediates also TNF/TRAF2-induced MAP3K5-JNK activation, while it inhibits CHUK-NF-kappa-B signaling. Acts a negative regulator in the IFN-gamma-mediated JAK-STAT signaling cascade by inhibiting smooth muscle cell (VSMCs) proliferation and intimal expansion, and thus, prevents graft arteriosclerosis (GA). Acts as a GTPase-activating protein (GAP) for the ADP ribosylation factor 6 (ARF6) and Ras. Promotes hydrolysis of the ARF6-bound GTP and thus, negatively regulates phosphatidylinositol 4,5- bisphosphate (PIP2)-dependent TLR4-TIRAP-MyD88 and NF-kappa-B signaling pathways in endothelial cells in response to lipopolysaccharides (LPS). Binds specifically to phosphatidylinositol 4-phosphate (PtdIns4P) and phosphatidylinositol 3-phosphate (PtdIns3P). In response to vascular endothelial growth factor (VEGFA), acts as a negative regulator of the VEGFR2-PI3K-mediated angiogenic signaling pathway by inhibiting endothelial cell migration and tube formation. In the developing brain, promotes both the transition from the multipolar to the bipolar stage and the radial migration of cortical neurons from the ventricular zone toward the superficial layer of the neocortex in a glial-dependent locomotion process. Probable downstream effector of the Reelin signaling pathway; promotes Purkinje cell (PC) dendrites development and formation of cerebellar synapses. Functions also as a tumor suppressor protein in prostate cancer progression; prevents cell proliferation and epithelial-to-mesenchymal transition (EMT) through activation of the glycogen synthase kinase-3 beta (GSK3B)-induced beta-catenin and inhibition of PI3K-AKT and Ras-MAPK survival downstream signaling cascades, respectively. {ECO:0000269|PubMed:12813029, ECO:0000269|PubMed:17389591, ECO:0000269|PubMed:18292600, ECO:0000269|PubMed:19033661, ECO:0000269|PubMed:19903888, ECO:0000269|PubMed:19948740, ECO:0000269|PubMed:20080667, ECO:0000269|PubMed:20154697, ECO:0000269|PubMed:21700930, ECO:0000269|PubMed:22696229}.; </t>
        </is>
      </c>
      <c r="E199" t="inlineStr">
        <is>
          <t xml:space="preserve">DISEASE: Note=A chromosomal aberration involving DAB2IP is found in a patient with acute myeloid leukemia (AML). Translocation t(9;11)(q34;q23) with KMT2A/MLL1. May give rise to a KMT2A/MLL1- DAB2IP fusion protein lacking the PH domain (PubMed:14978793). {ECO:0000269|PubMed:14978793}.; </t>
        </is>
      </c>
      <c r="F199" t="inlineStr">
        <is>
          <t xml:space="preserve">TISSUE SPECIFICITY: Expressed in endothelial and vascular smooth muscle cells (VSMCs). Expressed in prostate epithelial but poorly in prostate cancer cells. Poorly expressed in medulloblastoma cells compared to cerebellar precursor proliferating progenitor cells (at protein level). Low expression in prostate. Down- regulated in prostate cancer. {ECO:0000269|PubMed:11944990, ECO:0000269|PubMed:17389591, ECO:0000269|PubMed:21700930, ECO:0000269|PubMed:22696229}.; </t>
        </is>
      </c>
      <c r="G199" t="inlineStr">
        <is>
          <t>ovary;salivary gland;sympathetic chain;intestine;colon;parathyroid;fovea centralis;choroid;vein;skin;retina;uterus;optic nerve;endometrium;bone;thyroid;testis;pineal gland;brain;unclassifiable (Anatomical System);cartilage;heart;islets of Langerhans;pharynx;blood;lens;skeletal muscle;breast;pancreas;lung;cornea;epididymis;placenta;macula lutea;visual apparatus;hippocampus;liver;spleen;cervix;kidney;mammary gland;stomach;</t>
        </is>
      </c>
      <c r="H199" t="inlineStr">
        <is>
          <t>dorsal root ganglion;subthalamic nucleus;superior cervical ganglion;cerebellum peduncles;globus pallidus;ciliary ganglion;atrioventricular node;trigeminal ganglion;skeletal muscle;cerebellum;</t>
        </is>
      </c>
      <c r="I199" t="inlineStr">
        <is>
          <t>.</t>
        </is>
      </c>
      <c r="J199" t="inlineStr">
        <is>
          <t>.</t>
        </is>
      </c>
      <c r="K199" t="inlineStr">
        <is>
          <t>.</t>
        </is>
      </c>
      <c r="L199" t="inlineStr">
        <is>
          <t>.</t>
        </is>
      </c>
      <c r="M199" t="inlineStr">
        <is>
          <t>.</t>
        </is>
      </c>
      <c r="N199" t="inlineStr">
        <is>
          <t>.</t>
        </is>
      </c>
      <c r="O199" t="inlineStr">
        <is>
          <t>.</t>
        </is>
      </c>
    </row>
    <row r="200">
      <c r="A200" t="inlineStr">
        <is>
          <t>DAPK3</t>
        </is>
      </c>
      <c r="B200" t="inlineStr">
        <is>
          <t>0.0611344951968641</t>
        </is>
      </c>
      <c r="C200" t="inlineStr">
        <is>
          <t>death-associated protein kinase 3</t>
        </is>
      </c>
      <c r="D200" t="inlineStr">
        <is>
          <t xml:space="preserve">FUNCTION: Serine/threonine kinase which is involved in the regulation of apoptosis, autophagy, transcription, translation and actin cytoskeleton reorganization. Involved in the regulation of smooth muscle contraction. Regulates both type I (caspase- dependent) apoptotic and type II (caspase-independent) autophagic cell deaths signal, depending on the cellular setting. Involved in regulation of starvation-induced autophagy. Regulates myosin phosphorylation in both smooth muscle and non-muscle cells. In smooth muscle, regulates myosin either directly by phosphorylating MYL12B and MYL9 or through inhibition of smooth muscle myosin phosphatase (SMPP1M) via phosphorylation of PPP1R12A; the inhibition of SMPP1M functions to enhance muscle responsiveness to Ca(2+) and promote a contractile state. Phosphorylates MYL12B in non-muscle cells leading to reorganization of actin cytoskeleton. Isoform 2 can phosphorylate myosin, PPP1R12A and MYL12B. Overexpression leads to condensation of actin stress fibers into thick bundles. Involved in actin filament focal adhesion dynamics. The function in both reorganization of actin cytoskeleton and focal adhesion dissolution is modulated by RhoD. Positively regulates canonical Wnt/beta-catenin signaling through interaction with NLK and TCF7L2. Phosphorylates RPL13A on 'Ser-77' upon interferon-gamma activation which is causing RPL13A release from the ribosome, RPL13A association with the GAIT complex and its subsequent involvement in transcript-selective translation inhibition. Enhances transcription from AR-responsive promoters in a hormone- and kinase-dependent manner. Involved in regulation of cell cycle progression and cell proliferation. May be a tumor suppressor. {ECO:0000269|PubMed:10356987, ECO:0000269|PubMed:11384979, ECO:0000269|PubMed:11781833, ECO:0000269|PubMed:12917339, ECO:0000269|PubMed:15096528, ECO:0000269|PubMed:15367680, ECO:0000269|PubMed:16219639, ECO:0000269|PubMed:17126281, ECO:0000269|PubMed:17158456, ECO:0000269|PubMed:18084323, ECO:0000269|PubMed:18995835, ECO:0000269|PubMed:21169990, ECO:0000269|PubMed:21408167, ECO:0000269|PubMed:21454679, ECO:0000269|PubMed:21487036, ECO:0000269|PubMed:23454120}.; </t>
        </is>
      </c>
      <c r="E200" t="inlineStr">
        <is>
          <t>.</t>
        </is>
      </c>
      <c r="F200" t="inlineStr">
        <is>
          <t xml:space="preserve">TISSUE SPECIFICITY: Widely expressed. Isoform 1 and isoform 2 are expressed in the bladder smooth muscle. {ECO:0000269|PubMed:15292222, ECO:0000269|PubMed:17126281}.; </t>
        </is>
      </c>
      <c r="G200" t="inlineStr">
        <is>
          <t>ovary;colon;fovea centralis;choroid;skin;retina;uterus;prostate;optic nerve;frontal lobe;bone;iris;testis;germinal center;brain;unclassifiable (Anatomical System);heart;cartilage;islets of Langerhans;blood;lens;skeletal muscle;lung;placenta;macula lutea;liver;hypopharynx;head and neck;cervix;kidney;mammary gland;stomach;thymus;</t>
        </is>
      </c>
      <c r="H200" t="inlineStr">
        <is>
          <t>superior cervical ganglion;atrioventricular node;skeletal muscle;</t>
        </is>
      </c>
      <c r="I200" t="inlineStr">
        <is>
          <t>.</t>
        </is>
      </c>
      <c r="J200" t="inlineStr">
        <is>
          <t>.</t>
        </is>
      </c>
      <c r="K200" t="inlineStr">
        <is>
          <t>.</t>
        </is>
      </c>
      <c r="L200" t="inlineStr">
        <is>
          <t>.</t>
        </is>
      </c>
      <c r="M200" t="inlineStr">
        <is>
          <t>.</t>
        </is>
      </c>
      <c r="N200" t="inlineStr">
        <is>
          <t>.</t>
        </is>
      </c>
      <c r="O200" t="inlineStr">
        <is>
          <t>.</t>
        </is>
      </c>
    </row>
    <row r="201">
      <c r="A201" t="inlineStr">
        <is>
          <t>DCAF4</t>
        </is>
      </c>
      <c r="B201" t="inlineStr">
        <is>
          <t>0.00364518370773562</t>
        </is>
      </c>
      <c r="C201" t="inlineStr">
        <is>
          <t>DDB1 and CUL4 associated factor 4</t>
        </is>
      </c>
      <c r="D201" t="inlineStr">
        <is>
          <t xml:space="preserve">FUNCTION: May function as a substrate receptor for CUL4-DDB1 E3 ubiquitin-protein ligase complex. {ECO:0000269|PubMed:16949367, ECO:0000269|PubMed:16964240}.; </t>
        </is>
      </c>
      <c r="E201" t="inlineStr">
        <is>
          <t>.</t>
        </is>
      </c>
      <c r="F201" t="inlineStr">
        <is>
          <t>.</t>
        </is>
      </c>
      <c r="G201" t="inlineStr">
        <is>
          <t>unclassifiable (Anatomical System);lymph node;cartilage;islets of Langerhans;muscle;colon;skin;bile duct;uterus;pancreas;lung;endometrium;visual apparatus;hippocampus;liver;testis;amniotic fluid;cervix;kidney;brain;stomach;</t>
        </is>
      </c>
      <c r="H201" t="inlineStr">
        <is>
          <t>.</t>
        </is>
      </c>
      <c r="I201" t="inlineStr">
        <is>
          <t>.</t>
        </is>
      </c>
      <c r="J201" t="inlineStr">
        <is>
          <t>.</t>
        </is>
      </c>
      <c r="K201" t="inlineStr">
        <is>
          <t>.</t>
        </is>
      </c>
      <c r="L201" t="inlineStr">
        <is>
          <t>.</t>
        </is>
      </c>
      <c r="M201" t="inlineStr">
        <is>
          <t>.</t>
        </is>
      </c>
      <c r="N201" t="inlineStr">
        <is>
          <t>.</t>
        </is>
      </c>
      <c r="O201" t="inlineStr">
        <is>
          <t>.</t>
        </is>
      </c>
    </row>
    <row r="202">
      <c r="A202" t="inlineStr">
        <is>
          <t>DCC</t>
        </is>
      </c>
      <c r="B202" t="inlineStr">
        <is>
          <t>0.99999895681268</t>
        </is>
      </c>
      <c r="C202" t="inlineStr">
        <is>
          <t>DCC netrin 1 receptor</t>
        </is>
      </c>
      <c r="D202" t="inlineStr">
        <is>
          <t xml:space="preserve">FUNCTION: Receptor for netrin required for axon guidance. Mediates axon attraction of neuronal growth cones in the developing nervous system upon ligand binding. Its association with UNC5 proteins may trigger signaling for axon repulsion. It also acts as a dependence receptor required for apoptosis induction when not associated with netrin ligand. Implicated as a tumor suppressor gene. {ECO:0000269|PubMed:8187090, ECO:0000269|PubMed:8861902}.; </t>
        </is>
      </c>
      <c r="E202" t="inlineStr">
        <is>
          <t xml:space="preserve">DISEASE: Mirror movements 1 (MRMV1) [MIM:157600]: A disorder characterized by contralateral involuntary movements that mirror voluntary ones. While mirror movements are occasionally found in young children, persistence beyond the age of 10 is abnormal. Mirror movements occur more commonly in the upper extremities. {ECO:0000269|PubMed:20431009}. Note=The disease is caused by mutations affecting the gene represented in this entry.; </t>
        </is>
      </c>
      <c r="F202" t="inlineStr">
        <is>
          <t xml:space="preserve">TISSUE SPECIFICITY: Found in axons of the central and peripheral nervous system and in differentiated cell types of the intestine. Not expressed in colorectal tumor cells that lost their capacity to differentiate into mucus producing cells. {ECO:0000269|PubMed:7926722}.; </t>
        </is>
      </c>
      <c r="G202" t="inlineStr">
        <is>
          <t>unclassifiable (Anatomical System);lung;testis;skeletal muscle;</t>
        </is>
      </c>
      <c r="H202" t="inlineStr">
        <is>
          <t>superior cervical ganglion;atrioventricular node;</t>
        </is>
      </c>
      <c r="I202">
        <f>HYPERLINK("https://omim.org/entry/157600", "157600")</f>
        <v/>
      </c>
      <c r="J202" t="inlineStr">
        <is>
          <t>.</t>
        </is>
      </c>
      <c r="K202" t="inlineStr">
        <is>
          <t>.</t>
        </is>
      </c>
      <c r="L202" t="inlineStr">
        <is>
          <t>.</t>
        </is>
      </c>
      <c r="M202" t="inlineStr">
        <is>
          <t>.</t>
        </is>
      </c>
      <c r="N202" t="inlineStr">
        <is>
          <t>.</t>
        </is>
      </c>
      <c r="O202" t="inlineStr">
        <is>
          <t>.</t>
        </is>
      </c>
    </row>
    <row r="203">
      <c r="A203" t="inlineStr">
        <is>
          <t>DCLRE1A</t>
        </is>
      </c>
      <c r="B203" t="inlineStr">
        <is>
          <t>4.67768893872676e-08</t>
        </is>
      </c>
      <c r="C203" t="inlineStr">
        <is>
          <t>DNA cross-link repair 1A</t>
        </is>
      </c>
      <c r="D203" t="inlineStr">
        <is>
          <t xml:space="preserve">FUNCTION: May be required for DNA interstrand cross-link repair. Also required for checkpoint mediated cell cycle arrest in early prophase in response to mitotic spindle poisons. {ECO:0000269|PubMed:15542852}.; </t>
        </is>
      </c>
      <c r="E203" t="inlineStr">
        <is>
          <t>.</t>
        </is>
      </c>
      <c r="F203" t="inlineStr">
        <is>
          <t xml:space="preserve">TISSUE SPECIFICITY: Expressed in brain, heart, kidney, liver, pancreas, placenta and skeletal muscle. {ECO:0000269|PubMed:12446782}.; </t>
        </is>
      </c>
      <c r="G203" t="inlineStr">
        <is>
          <t>ovary;colon;parathyroid;skin;retina;bone marrow;uterus;prostate;larynx;bone;testis;amniotic fluid;germinal center;brain;unclassifiable (Anatomical System);lymph node;heart;blood;skeletal muscle;breast;lung;placenta;visual apparatus;liver;spleen;head and neck;cervix;stomach;</t>
        </is>
      </c>
      <c r="H203" t="inlineStr">
        <is>
          <t>.</t>
        </is>
      </c>
      <c r="I203" t="inlineStr">
        <is>
          <t>.</t>
        </is>
      </c>
      <c r="J203" t="inlineStr">
        <is>
          <t>.</t>
        </is>
      </c>
      <c r="K203" t="inlineStr">
        <is>
          <t>.</t>
        </is>
      </c>
      <c r="L203" t="inlineStr">
        <is>
          <t>.</t>
        </is>
      </c>
      <c r="M203" t="inlineStr">
        <is>
          <t>.</t>
        </is>
      </c>
      <c r="N203" t="inlineStr">
        <is>
          <t>.</t>
        </is>
      </c>
      <c r="O203" t="inlineStr">
        <is>
          <t>.</t>
        </is>
      </c>
    </row>
    <row r="204">
      <c r="A204" t="inlineStr">
        <is>
          <t>DCLRE1C</t>
        </is>
      </c>
      <c r="B204" t="inlineStr">
        <is>
          <t>0.00286935735912744</t>
        </is>
      </c>
      <c r="C204" t="inlineStr">
        <is>
          <t>DNA cross-link repair 1C</t>
        </is>
      </c>
      <c r="D204" t="inlineStr">
        <is>
          <t xml:space="preserve">FUNCTION: Required for V(D)J recombination, the process by which exons encoding the antigen-binding domains of immunoglobulins and T-cell receptor proteins are assembled from individual V, (D), and J gene segments. V(D)J recombination is initiated by the lymphoid specific RAG endonuclease complex, which generates site specific DNA double strand breaks (DSBs). These DSBs present two types of DNA end structures: hairpin sealed coding ends and phosphorylated blunt signal ends. These ends are independently repaired by the non homologous end joining (NHEJ) pathway to form coding and signal joints respectively. This protein exhibits single-strand specific 5'-3' exonuclease activity in isolation and acquires endonucleolytic activity on 5' and 3' hairpins and overhangs when in a complex with PRKDC. The latter activity is required specifically for the resolution of closed hairpins prior to the formation of the coding joint. May also be required for the repair of complex DSBs induced by ionizing radiation, which require substantial end-processing prior to religation by NHEJ. {ECO:0000269|PubMed:11336668, ECO:0000269|PubMed:11955432, ECO:0000269|PubMed:12055248, ECO:0000269|PubMed:14744996, ECO:0000269|PubMed:15071507, ECO:0000269|PubMed:15456891, ECO:0000269|PubMed:15468306, ECO:0000269|PubMed:15574326, ECO:0000269|PubMed:15574327, ECO:0000269|PubMed:15811628, ECO:0000269|PubMed:15936993}.; </t>
        </is>
      </c>
      <c r="E204" t="inlineStr">
        <is>
          <t xml:space="preserve">DISEASE: Severe combined immunodeficiency autosomal recessive T- cell-negative/B-cell-negative/NK-cell-positive with sensitivity to ionizing radiation (RSSCID) [MIM:602450]: A form of severe combined immunodeficiency, a genetically and clinically heterogeneous group of rare congenital disorders characterized by impairment of both humoral and cell-mediated immunity, leukopenia, and low or absent antibody levels. Patients present in infancy with recurrent, persistent infections by opportunistic organisms. The common characteristic of all types of SCID is absence of T- cell-mediated cellular immunity due to a defect in T-cell development. Individuals affected by RS-SCID show defects in the DNA repair machinery necessary for coding joint formation and the completion of V(D)J recombination. A subset of cells from such patients show increased radiosensitivity. {ECO:0000269|PubMed:11336668, ECO:0000269|PubMed:12406895, ECO:0000269|PubMed:12569164, ECO:0000269|PubMed:12592555, ECO:0000269|PubMed:12921762}. Note=The disease is caused by mutations affecting the gene represented in this entry.; DISEASE: Severe combined immunodeficiency Athabaskan type (SCIDA) [MIM:602450]: A variety of SCID with sensitivity to ionizing radiation. A founder mutation has been detected in Athabascan- speaking native Americans, being inherited as an autosomal recessive trait. Affected individuals exhibit clinical symptoms and defects in DNA repair comparable to those seen in RS-SCID. {ECO:0000269|PubMed:12055248}. Note=The disease is caused by mutations affecting the gene represented in this entry.; DISEASE: Omenn syndrome (OS) [MIM:603554]: Severe immunodeficiency characterized by the presence of activated, anergic, oligoclonal T-cells, hypereosinophilia, and high IgE levels. {ECO:0000269|PubMed:15731174}. Note=The disease is caused by mutations affecting the gene represented in this entry.; </t>
        </is>
      </c>
      <c r="F204" t="inlineStr">
        <is>
          <t xml:space="preserve">TISSUE SPECIFICITY: Ubiquitously expressed, with highest levels in the kidney, lung, pancreas and placenta (at the mRNA level). Expression is not increased in thymus or bone marrow, sites of V(D)J recombination. {ECO:0000269|PubMed:11336668}.; </t>
        </is>
      </c>
      <c r="G204" t="inlineStr">
        <is>
          <t>fovea centralis;choroid;retina;uterus;prostate;optic nerve;frontal lobe;endometrium;thyroid;testis;germinal center;brain;tonsil;unclassifiable (Anatomical System);heart;lacrimal gland;islets of Langerhans;blood;lens;lung;placenta;macula lutea;liver;spleen;head and neck;cervix;kidney;</t>
        </is>
      </c>
      <c r="H204" t="inlineStr">
        <is>
          <t>dorsal root ganglion;superior cervical ganglion;subthalamic nucleus;tongue;ciliary ganglion;white blood cells;atrioventricular node;trigeminal ganglion;parietal lobe;skin;skeletal muscle;</t>
        </is>
      </c>
      <c r="I204">
        <f>HYPERLINK("https://omim.org/entry/602450", "602450")</f>
        <v/>
      </c>
      <c r="J204">
        <f>HYPERLINK("https://omim.org/entry/602450", "602450")</f>
        <v/>
      </c>
      <c r="K204">
        <f>HYPERLINK("https://omim.org/entry/603554", "603554")</f>
        <v/>
      </c>
      <c r="L204" t="inlineStr">
        <is>
          <t>.</t>
        </is>
      </c>
      <c r="M204" t="inlineStr">
        <is>
          <t>.</t>
        </is>
      </c>
      <c r="N204" t="inlineStr">
        <is>
          <t>.</t>
        </is>
      </c>
      <c r="O204" t="inlineStr">
        <is>
          <t>.</t>
        </is>
      </c>
    </row>
    <row r="205">
      <c r="A205" t="inlineStr">
        <is>
          <t>DCLRE1CP1</t>
        </is>
      </c>
      <c r="B205" t="inlineStr">
        <is>
          <t>.</t>
        </is>
      </c>
      <c r="C205" t="inlineStr">
        <is>
          <t>DNA cross-link repair 1C pseudogene 1</t>
        </is>
      </c>
      <c r="D205" t="inlineStr">
        <is>
          <t>.</t>
        </is>
      </c>
      <c r="E205" t="inlineStr">
        <is>
          <t>.</t>
        </is>
      </c>
      <c r="F205" t="inlineStr">
        <is>
          <t>.</t>
        </is>
      </c>
      <c r="G205" t="inlineStr">
        <is>
          <t>.</t>
        </is>
      </c>
      <c r="H205" t="inlineStr">
        <is>
          <t>.</t>
        </is>
      </c>
      <c r="I205" t="inlineStr">
        <is>
          <t>.</t>
        </is>
      </c>
      <c r="J205" t="inlineStr">
        <is>
          <t>.</t>
        </is>
      </c>
      <c r="K205" t="inlineStr">
        <is>
          <t>.</t>
        </is>
      </c>
      <c r="L205" t="inlineStr">
        <is>
          <t>.</t>
        </is>
      </c>
      <c r="M205" t="inlineStr">
        <is>
          <t>.</t>
        </is>
      </c>
      <c r="N205" t="inlineStr">
        <is>
          <t>.</t>
        </is>
      </c>
      <c r="O205" t="inlineStr">
        <is>
          <t>.</t>
        </is>
      </c>
    </row>
    <row r="206">
      <c r="A206" t="inlineStr">
        <is>
          <t>DDX39B</t>
        </is>
      </c>
      <c r="B206" t="inlineStr">
        <is>
          <t>0.997728044454765</t>
        </is>
      </c>
      <c r="C206" t="inlineStr">
        <is>
          <t>DEAD-box helicase 39B</t>
        </is>
      </c>
      <c r="D206" t="inlineStr">
        <is>
          <t xml:space="preserve">FUNCTION: Involved in nuclear export of spliced and unspliced mRNA. Assembling component of the TREX complex which is thought to couple mRNA transcription, processing and nuclear export, and specifically associates with spliced mRNA and not with unspliced pre-mRNA. TREX is recruited to spliced mRNAs by a transcription- independent mechanism, binds to mRNA upstream of the exon-junction complex (EJC) and is recruited in a splicing- and cap-dependent manner to a region near the 5' end of the mRNA where it functions in mRNA export to the cytoplasm via the TAP/NFX1 pathway. May undergo several rounds of ATP hydrolysis during assembly of TREX to drive subsequent loading of components such as ALYREF/THOC and CHTOP onto mRNA. The TREX complex is essential for the export of Kaposi's sarcoma-associated herpesvirus (KSHV) intronless mRNAs and infectious virus production. Also associates with pre-mRNA independent of ALYREF/THOC4 and the THO complex. Involved in the nuclear export of intronless mRNA; the ATP-bound form is proposed to recruit export adapter ALYREF/THOC4 to intronless mRNA; its ATPase activity is cooperatively stimulated by RNA and ALYREF/THOC4 and ATP hydrolysis is thought to trigger the dissociation from RNA to allow the association of ALYREF/THOC4 and the NXF1-NXT1 heterodimer. Involved in transcription elongation and genome stability.; </t>
        </is>
      </c>
      <c r="E206" t="inlineStr">
        <is>
          <t>.</t>
        </is>
      </c>
      <c r="F206" t="inlineStr">
        <is>
          <t>.</t>
        </is>
      </c>
      <c r="G206" t="inlineStr">
        <is>
          <t>.</t>
        </is>
      </c>
      <c r="H206" t="inlineStr">
        <is>
          <t>.</t>
        </is>
      </c>
      <c r="I206" t="inlineStr">
        <is>
          <t>.</t>
        </is>
      </c>
      <c r="J206" t="inlineStr">
        <is>
          <t>.</t>
        </is>
      </c>
      <c r="K206" t="inlineStr">
        <is>
          <t>.</t>
        </is>
      </c>
      <c r="L206" t="inlineStr">
        <is>
          <t>.</t>
        </is>
      </c>
      <c r="M206" t="inlineStr">
        <is>
          <t>.</t>
        </is>
      </c>
      <c r="N206" t="inlineStr">
        <is>
          <t>.</t>
        </is>
      </c>
      <c r="O206" t="inlineStr">
        <is>
          <t>.</t>
        </is>
      </c>
    </row>
    <row r="207">
      <c r="A207" t="inlineStr">
        <is>
          <t>DDX56</t>
        </is>
      </c>
      <c r="B207" t="inlineStr">
        <is>
          <t>3.51574131414912e-06</t>
        </is>
      </c>
      <c r="C207" t="inlineStr">
        <is>
          <t>DEAD-box helicase 56</t>
        </is>
      </c>
      <c r="D207" t="inlineStr">
        <is>
          <t xml:space="preserve">FUNCTION: May play a role in later stages of the processing of the pre-ribosomal particles leading to mature 60S ribosomal subunits. Has intrinsic ATPase activity.; </t>
        </is>
      </c>
      <c r="E207" t="inlineStr">
        <is>
          <t>.</t>
        </is>
      </c>
      <c r="F207" t="inlineStr">
        <is>
          <t xml:space="preserve">TISSUE SPECIFICITY: Detected in heart, brain, liver, pancreas, placenta and lung.; </t>
        </is>
      </c>
      <c r="G207" t="inlineStr">
        <is>
          <t>myocardium;medulla oblongata;ovary;skin;retina;prostate;optic nerve;frontal lobe;endometrium;thyroid;germinal center;bladder;brain;heart;cartilage;pharynx;blood;lens;breast;epididymis;macula lutea;visual apparatus;liver;spleen;cervix;mammary gland;salivary gland;intestine;colon;parathyroid;fovea centralis;choroid;uterus;whole body;larynx;bone;pituitary gland;testis;unclassifiable (Anatomical System);lymph node;trophoblast;lacrimal gland;islets of Langerhans;muscle;bile duct;pancreas;lung;adrenal gland;nasopharynx;placenta;duodenum;head and neck;kidney;stomach;thymus;</t>
        </is>
      </c>
      <c r="H207" t="inlineStr">
        <is>
          <t>dorsal root ganglion;superior cervical ganglion;medulla oblongata;subthalamic nucleus;ciliary ganglion;pons;trigeminal ganglion;parietal lobe;</t>
        </is>
      </c>
      <c r="I207" t="inlineStr">
        <is>
          <t>.</t>
        </is>
      </c>
      <c r="J207" t="inlineStr">
        <is>
          <t>.</t>
        </is>
      </c>
      <c r="K207" t="inlineStr">
        <is>
          <t>.</t>
        </is>
      </c>
      <c r="L207" t="inlineStr">
        <is>
          <t>.</t>
        </is>
      </c>
      <c r="M207" t="inlineStr">
        <is>
          <t>.</t>
        </is>
      </c>
      <c r="N207" t="inlineStr">
        <is>
          <t>.</t>
        </is>
      </c>
      <c r="O207" t="inlineStr">
        <is>
          <t>.</t>
        </is>
      </c>
    </row>
    <row r="208">
      <c r="A208" t="inlineStr">
        <is>
          <t>DENND2A</t>
        </is>
      </c>
      <c r="B208" t="inlineStr">
        <is>
          <t>0.972231280413339</t>
        </is>
      </c>
      <c r="C208" t="inlineStr">
        <is>
          <t>DENN domain containing 2A</t>
        </is>
      </c>
      <c r="D208" t="inlineStr">
        <is>
          <t xml:space="preserve">FUNCTION: Guanine nucleotide exchange factor (GEF) which may activate RAB9A and RAB9B. Promotes the exchange of GDP to GTP, converting inactive GDP-bound Rab proteins into their active GTP- bound form. May play a role in late endosomes back to trans-Golgi network/TGN transport. {ECO:0000269|PubMed:20937701}.; </t>
        </is>
      </c>
      <c r="E208" t="inlineStr">
        <is>
          <t>.</t>
        </is>
      </c>
      <c r="F208" t="inlineStr">
        <is>
          <t>.</t>
        </is>
      </c>
      <c r="G208" t="inlineStr">
        <is>
          <t>ovary;adrenal medulla;skin;retina;uterus;prostate;optic nerve;whole body;endometrium;bone;pituitary gland;testis;brain;unclassifiable (Anatomical System);heart;skeletal muscle;breast;lung;placenta;hippocampus;visual apparatus;liver;spleen;kidney;stomach;cerebellum;</t>
        </is>
      </c>
      <c r="H208" t="inlineStr">
        <is>
          <t>ciliary ganglion;pons;</t>
        </is>
      </c>
      <c r="I208" t="inlineStr">
        <is>
          <t>.</t>
        </is>
      </c>
      <c r="J208" t="inlineStr">
        <is>
          <t>.</t>
        </is>
      </c>
      <c r="K208" t="inlineStr">
        <is>
          <t>.</t>
        </is>
      </c>
      <c r="L208" t="inlineStr">
        <is>
          <t>.</t>
        </is>
      </c>
      <c r="M208" t="inlineStr">
        <is>
          <t>.</t>
        </is>
      </c>
      <c r="N208" t="inlineStr">
        <is>
          <t>.</t>
        </is>
      </c>
      <c r="O208" t="inlineStr">
        <is>
          <t>.</t>
        </is>
      </c>
    </row>
    <row r="209">
      <c r="A209" t="inlineStr">
        <is>
          <t>DFFA</t>
        </is>
      </c>
      <c r="B209" t="inlineStr">
        <is>
          <t>0.00021837065189826</t>
        </is>
      </c>
      <c r="C209" t="inlineStr">
        <is>
          <t>DNA fragmentation factor subunit alpha</t>
        </is>
      </c>
      <c r="D209" t="inlineStr">
        <is>
          <t xml:space="preserve">FUNCTION: Inhibitor of the caspase-activated DNase (DFF40).; </t>
        </is>
      </c>
      <c r="E209" t="inlineStr">
        <is>
          <t>.</t>
        </is>
      </c>
      <c r="F209" t="inlineStr">
        <is>
          <t>.</t>
        </is>
      </c>
      <c r="G209" t="inlineStr">
        <is>
          <t>.</t>
        </is>
      </c>
      <c r="H209" t="inlineStr">
        <is>
          <t>.</t>
        </is>
      </c>
      <c r="I209" t="inlineStr">
        <is>
          <t>.</t>
        </is>
      </c>
      <c r="J209" t="inlineStr">
        <is>
          <t>.</t>
        </is>
      </c>
      <c r="K209" t="inlineStr">
        <is>
          <t>.</t>
        </is>
      </c>
      <c r="L209" t="inlineStr">
        <is>
          <t>.</t>
        </is>
      </c>
      <c r="M209" t="inlineStr">
        <is>
          <t>.</t>
        </is>
      </c>
      <c r="N209" t="inlineStr">
        <is>
          <t>.</t>
        </is>
      </c>
      <c r="O209" t="inlineStr">
        <is>
          <t>.</t>
        </is>
      </c>
    </row>
    <row r="210">
      <c r="A210" t="inlineStr">
        <is>
          <t>DGKH</t>
        </is>
      </c>
      <c r="B210" t="inlineStr">
        <is>
          <t>0.818123800274802</t>
        </is>
      </c>
      <c r="C210" t="inlineStr">
        <is>
          <t>diacylglycerol kinase eta</t>
        </is>
      </c>
      <c r="D210" t="inlineStr">
        <is>
          <t xml:space="preserve">FUNCTION: Phosphorylates diacylglycerol (DAG) to generate phosphatidic acid (PA). Plays a key role in promoting cell growth. Activates the Ras/B-Raf/C-Raf/MEK/ERK signaling pathway induced by EGF. Regulates the recruitment of RAF1 and BRAF from cytoplasm to membranes and their heterodimerization. {ECO:0000269|PubMed:12810723, ECO:0000269|PubMed:19710016}.; </t>
        </is>
      </c>
      <c r="E210" t="inlineStr">
        <is>
          <t>.</t>
        </is>
      </c>
      <c r="F210" t="inlineStr">
        <is>
          <t xml:space="preserve">TISSUE SPECIFICITY: Isoform 2 is ubiquitously expressed. Isoform 1 is expressed only in testis, kidney and colon. {ECO:0000269|PubMed:12810723}.; </t>
        </is>
      </c>
      <c r="G210" t="inlineStr">
        <is>
          <t>unclassifiable (Anatomical System);heart;ovary;blood;skin;uterus;breast;prostate;lung;hypopharynx;head and neck;brain;pineal gland;</t>
        </is>
      </c>
      <c r="H210" t="inlineStr">
        <is>
          <t>superior cervical ganglion;ciliary ganglion;atrioventricular node;skeletal muscle;</t>
        </is>
      </c>
      <c r="I210" t="inlineStr">
        <is>
          <t>.</t>
        </is>
      </c>
      <c r="J210" t="inlineStr">
        <is>
          <t>.</t>
        </is>
      </c>
      <c r="K210" t="inlineStr">
        <is>
          <t>.</t>
        </is>
      </c>
      <c r="L210" t="inlineStr">
        <is>
          <t>.</t>
        </is>
      </c>
      <c r="M210" t="inlineStr">
        <is>
          <t>.</t>
        </is>
      </c>
      <c r="N210" t="inlineStr">
        <is>
          <t>.</t>
        </is>
      </c>
      <c r="O210" t="inlineStr">
        <is>
          <t>.</t>
        </is>
      </c>
    </row>
    <row r="211">
      <c r="A211" t="inlineStr">
        <is>
          <t>DHCR7</t>
        </is>
      </c>
      <c r="B211" t="inlineStr">
        <is>
          <t>5.04266438763907e-08</t>
        </is>
      </c>
      <c r="C211" t="inlineStr">
        <is>
          <t>7-dehydrocholesterol reductase</t>
        </is>
      </c>
      <c r="D211" t="inlineStr">
        <is>
          <t xml:space="preserve">FUNCTION: Production of cholesterol by reduction of C7-C8 double bond of 7-dehydrocholesterol (7-DHC).; </t>
        </is>
      </c>
      <c r="E211" t="inlineStr">
        <is>
          <t>.</t>
        </is>
      </c>
      <c r="F211" t="inlineStr">
        <is>
          <t xml:space="preserve">TISSUE SPECIFICITY: Most abundant in adrenal gland, liver, testis, and brain. {ECO:0000269|PubMed:9878250}.; </t>
        </is>
      </c>
      <c r="G211" t="inlineStr">
        <is>
          <t>ovary;sympathetic chain;colon;parathyroid;choroid;skin;retina;bone marrow;uterus;prostate;optic nerve;whole body;frontal lobe;endometrium;bone;thyroid;iris;testis;germinal center;brain;bladder;unclassifiable (Anatomical System);amygdala;lymph node;cartilage;heart;islets of Langerhans;pineal body;adrenal cortex;blood;lens;breast;pancreas;lung;placenta;visual apparatus;duodenum;liver;spleen;head and neck;cervix;kidney;mammary gland;stomach;aorta;thymus;</t>
        </is>
      </c>
      <c r="H211" t="inlineStr">
        <is>
          <t>superior cervical ganglion;fetal liver;adrenal gland;adrenal cortex;liver;</t>
        </is>
      </c>
      <c r="I211" t="inlineStr">
        <is>
          <t>.</t>
        </is>
      </c>
      <c r="J211" t="inlineStr">
        <is>
          <t>.</t>
        </is>
      </c>
      <c r="K211" t="inlineStr">
        <is>
          <t>.</t>
        </is>
      </c>
      <c r="L211" t="inlineStr">
        <is>
          <t>.</t>
        </is>
      </c>
      <c r="M211" t="inlineStr">
        <is>
          <t>.</t>
        </is>
      </c>
      <c r="N211" t="inlineStr">
        <is>
          <t>.</t>
        </is>
      </c>
      <c r="O211" t="inlineStr">
        <is>
          <t>.</t>
        </is>
      </c>
    </row>
    <row r="212">
      <c r="A212" t="inlineStr">
        <is>
          <t>DHDDS</t>
        </is>
      </c>
      <c r="B212" t="inlineStr">
        <is>
          <t>0.704700922518414</t>
        </is>
      </c>
      <c r="C212" t="inlineStr">
        <is>
          <t>dehydrodolichyl diphosphate synthase subunit</t>
        </is>
      </c>
      <c r="D212" t="inlineStr">
        <is>
          <t xml:space="preserve">FUNCTION: With DHDDS, forms the dehydrodolichyl diphosphate syntase (DDS) complex, an essential component of the dolichol monophosphate (Dol-P) biosynthetic machinery. Adds multiple copies of isopentenyl pyrophosphate (IPP) to farnesyl pyrophosphate (FPP) to produce dehydrodolichyl diphosphate (Dedol-PP), a precusrosor of dolichol which is utilized as a sugar carrier in protein glycosylation in the endoplasmic reticulum (ER). Regulates the glycosylation and stability of nascent NPC2, thereby promoting trafficking of LDL-derived cholesterol. {ECO:0000269|PubMed:25066056, ECO:0000303|PubMed:21572394}.; </t>
        </is>
      </c>
      <c r="E212" t="inlineStr">
        <is>
          <t>.</t>
        </is>
      </c>
      <c r="F212" t="inlineStr">
        <is>
          <t xml:space="preserve">TISSUE SPECIFICITY: Expressed at high levels in testis and kidney. Expressed in epididymis (at protein level). Slightly expressed in heart, spleen and thymus. {ECO:0000269|PubMed:20736409}.; </t>
        </is>
      </c>
      <c r="G212" t="inlineStr">
        <is>
          <t>ovary;salivary gland;sympathetic chain;intestine;colon;parathyroid;fovea centralis;choroid;skin;retina;bone marrow;uterus;prostate;optic nerve;frontal lobe;thyroid;bone;testis;germinal center;bladder;brain;unclassifiable (Anatomical System);cartilage;heart;tongue;islets of Langerhans;muscle;urinary;pharynx;blood;lens;skeletal muscle;breast;lung;cornea;epididymis;mesenchyma;nasopharynx;placenta;macula lutea;visual apparatus;hippocampus;liver;head and neck;kidney;mammary gland;stomach;</t>
        </is>
      </c>
      <c r="H212" t="inlineStr">
        <is>
          <t>cerebellum peduncles;trigeminal ganglion;skeletal muscle;</t>
        </is>
      </c>
      <c r="I212" t="inlineStr">
        <is>
          <t>.</t>
        </is>
      </c>
      <c r="J212" t="inlineStr">
        <is>
          <t>.</t>
        </is>
      </c>
      <c r="K212" t="inlineStr">
        <is>
          <t>.</t>
        </is>
      </c>
      <c r="L212" t="inlineStr">
        <is>
          <t>.</t>
        </is>
      </c>
      <c r="M212" t="inlineStr">
        <is>
          <t>.</t>
        </is>
      </c>
      <c r="N212" t="inlineStr">
        <is>
          <t>.</t>
        </is>
      </c>
      <c r="O212" t="inlineStr">
        <is>
          <t>.</t>
        </is>
      </c>
    </row>
    <row r="213">
      <c r="A213" t="inlineStr">
        <is>
          <t>DIDO1</t>
        </is>
      </c>
      <c r="B213" t="inlineStr">
        <is>
          <t>0.99999076875449</t>
        </is>
      </c>
      <c r="C213" t="inlineStr">
        <is>
          <t>death inducer-obliterator 1</t>
        </is>
      </c>
      <c r="D213" t="inlineStr">
        <is>
          <t xml:space="preserve">FUNCTION: Putative transcription factor, weakly pro-apoptotic when overexpressed (By similarity). Tumor suppressor. Required for early embryonic stem cell development. {ECO:0000250, ECO:0000269|PubMed:16127461}.; </t>
        </is>
      </c>
      <c r="E213" t="inlineStr">
        <is>
          <t>.</t>
        </is>
      </c>
      <c r="F213" t="inlineStr">
        <is>
          <t xml:space="preserve">TISSUE SPECIFICITY: Ubiquitous.; </t>
        </is>
      </c>
      <c r="G213" t="inlineStr">
        <is>
          <t>lymphoreticular;ovary;salivary gland;intestine;colon;fovea centralis;choroid;skin;retina;bone marrow;uterus;optic nerve;whole body;frontal lobe;cerebral cortex;endometrium;bone;thyroid;pituitary gland;testis;germinal center;brain;gall bladder;unclassifiable (Anatomical System);lymph node;heart;tongue;muscle;pharynx;blood;lens;skeletal muscle;breast;pancreas;lung;cornea;epididymis;placenta;macula lutea;visual apparatus;hypopharynx;liver;spleen;head and neck;cervix;kidney;mammary gland;stomach;thymus;</t>
        </is>
      </c>
      <c r="H213" t="inlineStr">
        <is>
          <t>dorsal root ganglion;superior cervical ganglion;testis - seminiferous tubule;placenta;testis;ciliary ganglion;pons;atrioventricular node;trigeminal ganglion;skeletal muscle;</t>
        </is>
      </c>
      <c r="I213" t="inlineStr">
        <is>
          <t>.</t>
        </is>
      </c>
      <c r="J213" t="inlineStr">
        <is>
          <t>.</t>
        </is>
      </c>
      <c r="K213" t="inlineStr">
        <is>
          <t>.</t>
        </is>
      </c>
      <c r="L213" t="inlineStr">
        <is>
          <t>.</t>
        </is>
      </c>
      <c r="M213" t="inlineStr">
        <is>
          <t>.</t>
        </is>
      </c>
      <c r="N213" t="inlineStr">
        <is>
          <t>.</t>
        </is>
      </c>
      <c r="O213" t="inlineStr">
        <is>
          <t>.</t>
        </is>
      </c>
    </row>
    <row r="214">
      <c r="A214" t="inlineStr">
        <is>
          <t>DIEXF</t>
        </is>
      </c>
      <c r="B214" t="inlineStr">
        <is>
          <t>0.0492348597469146</t>
        </is>
      </c>
      <c r="C214" t="inlineStr">
        <is>
          <t>digestive organ expansion factor homolog (zebrafish)</t>
        </is>
      </c>
      <c r="D214" t="inlineStr">
        <is>
          <t xml:space="preserve">FUNCTION: Regulates the p53 pathway to control the expansion growth of digestive organs. {ECO:0000250}.; </t>
        </is>
      </c>
      <c r="E214" t="inlineStr">
        <is>
          <t>.</t>
        </is>
      </c>
      <c r="F214" t="inlineStr">
        <is>
          <t>.</t>
        </is>
      </c>
      <c r="G214" t="inlineStr">
        <is>
          <t>.</t>
        </is>
      </c>
      <c r="H214" t="inlineStr">
        <is>
          <t>.</t>
        </is>
      </c>
      <c r="I214" t="inlineStr">
        <is>
          <t>.</t>
        </is>
      </c>
      <c r="J214" t="inlineStr">
        <is>
          <t>.</t>
        </is>
      </c>
      <c r="K214" t="inlineStr">
        <is>
          <t>.</t>
        </is>
      </c>
      <c r="L214" t="inlineStr">
        <is>
          <t>.</t>
        </is>
      </c>
      <c r="M214" t="inlineStr">
        <is>
          <t>.</t>
        </is>
      </c>
      <c r="N214" t="inlineStr">
        <is>
          <t>.</t>
        </is>
      </c>
      <c r="O214" t="inlineStr">
        <is>
          <t>.</t>
        </is>
      </c>
    </row>
    <row r="215">
      <c r="A215" t="inlineStr">
        <is>
          <t>DIP2A</t>
        </is>
      </c>
      <c r="B215" t="inlineStr">
        <is>
          <t>0.726099073608303</t>
        </is>
      </c>
      <c r="C215" t="inlineStr">
        <is>
          <t>disco interacting protein 2 homolog A</t>
        </is>
      </c>
      <c r="D215" t="inlineStr">
        <is>
          <t xml:space="preserve">FUNCTION: May provide positional cues for axon pathfinding and patterning in the central nervous system.; </t>
        </is>
      </c>
      <c r="E215" t="inlineStr">
        <is>
          <t>.</t>
        </is>
      </c>
      <c r="F215" t="inlineStr">
        <is>
          <t xml:space="preserve">TISSUE SPECIFICITY: Low expression in all tissues tested.; </t>
        </is>
      </c>
      <c r="G215" t="inlineStr">
        <is>
          <t>smooth muscle;sympathetic chain;colon;retina;bone marrow;uterus;prostate;optic nerve;frontal lobe;endometrium;thyroid;testis;brain;unclassifiable (Anatomical System);cartilage;islets of Langerhans;oral cavity;blood;skeletal muscle;breast;pancreas;lung;placenta;visual apparatus;liver;spleen;head and neck;mammary gland;stomach;</t>
        </is>
      </c>
      <c r="H215" t="inlineStr">
        <is>
          <t>dorsal root ganglion;subthalamic nucleus;superior cervical ganglion;adrenal cortex;globus pallidus;ciliary ganglion;atrioventricular node;trigeminal ganglion;</t>
        </is>
      </c>
      <c r="I215" t="inlineStr">
        <is>
          <t>.</t>
        </is>
      </c>
      <c r="J215" t="inlineStr">
        <is>
          <t>.</t>
        </is>
      </c>
      <c r="K215" t="inlineStr">
        <is>
          <t>.</t>
        </is>
      </c>
      <c r="L215" t="inlineStr">
        <is>
          <t>.</t>
        </is>
      </c>
      <c r="M215" t="inlineStr">
        <is>
          <t>.</t>
        </is>
      </c>
      <c r="N215" t="inlineStr">
        <is>
          <t>.</t>
        </is>
      </c>
      <c r="O215" t="inlineStr">
        <is>
          <t>.</t>
        </is>
      </c>
    </row>
    <row r="216">
      <c r="A216" t="inlineStr">
        <is>
          <t>DIP2B</t>
        </is>
      </c>
      <c r="B216" t="inlineStr">
        <is>
          <t>0.999668381879693</t>
        </is>
      </c>
      <c r="C216" t="inlineStr">
        <is>
          <t>disco interacting protein 2 homolog B</t>
        </is>
      </c>
      <c r="D216" t="inlineStr">
        <is>
          <t>.</t>
        </is>
      </c>
      <c r="E216" t="inlineStr">
        <is>
          <t>.</t>
        </is>
      </c>
      <c r="F216" t="inlineStr">
        <is>
          <t xml:space="preserve">TISSUE SPECIFICITY: Moderately expressed in adult brain, placenta, skeletal muscle, heart, kidney, pancreas, lung, spleen and colon. Expression was weaker in adult liver, kidney, spleen, and ovary, and in fetal brain and liver. In the brain, it is expressed in the cerebral cortex; the frontal, parietal, occipital and temporal lobes; the paracentral gyrus; the pons; the corpus callosum and the hippocampus. Highest expression levels in the brain were found in the cerebral cortex and the frontal and parietal lobes. {ECO:0000269|PubMed:10819331, ECO:0000269|PubMed:17236128}.; </t>
        </is>
      </c>
      <c r="G216" t="inlineStr">
        <is>
          <t>ovary;salivary gland;colon;parathyroid;skin;retina;uterus;prostate;optic nerve;whole body;frontal lobe;cochlea;endometrium;larynx;bone;thyroid;testis;germinal center;brain;bladder;unclassifiable (Anatomical System);lymph node;cartilage;heart;islets of Langerhans;hypothalamus;pharynx;blood;skeletal muscle;breast;pancreas;lung;trabecular meshwork;placenta;visual apparatus;duodenum;liver;spleen;head and neck;kidney;mammary gland;stomach;</t>
        </is>
      </c>
      <c r="H216" t="inlineStr">
        <is>
          <t>dorsal root ganglion;whole brain;thalamus;superior cervical ganglion;occipital lobe;medulla oblongata;cerebellum peduncles;hypothalamus;atrioventricular node;caudate nucleus;skeletal muscle;subthalamic nucleus;prefrontal cortex;globus pallidus;ciliary ganglion;trigeminal ganglion;parietal lobe;cingulate cortex;cerebellum;</t>
        </is>
      </c>
      <c r="I216" t="inlineStr">
        <is>
          <t>.</t>
        </is>
      </c>
      <c r="J216" t="inlineStr">
        <is>
          <t>.</t>
        </is>
      </c>
      <c r="K216" t="inlineStr">
        <is>
          <t>.</t>
        </is>
      </c>
      <c r="L216" t="inlineStr">
        <is>
          <t>.</t>
        </is>
      </c>
      <c r="M216" t="inlineStr">
        <is>
          <t>.</t>
        </is>
      </c>
      <c r="N216" t="inlineStr">
        <is>
          <t>.</t>
        </is>
      </c>
      <c r="O216" t="inlineStr">
        <is>
          <t>.</t>
        </is>
      </c>
    </row>
    <row r="217">
      <c r="A217" t="inlineStr">
        <is>
          <t>DLG5</t>
        </is>
      </c>
      <c r="B217" t="inlineStr">
        <is>
          <t>0.999998542279994</t>
        </is>
      </c>
      <c r="C217" t="inlineStr">
        <is>
          <t>discs large homolog 5</t>
        </is>
      </c>
      <c r="D217" t="inlineStr">
        <is>
          <t xml:space="preserve">FUNCTION: May play a role at the plasma membrane in the maintenance of the structure of epithelial cells and in the transmission of extracellular signals to the membrane and cytoskeleton. {ECO:0000269|PubMed:11876824}.; </t>
        </is>
      </c>
      <c r="E217" t="inlineStr">
        <is>
          <t>.</t>
        </is>
      </c>
      <c r="F217" t="inlineStr">
        <is>
          <t xml:space="preserve">TISSUE SPECIFICITY: Highly expressed in the placenta and prostate. Expressed at a lower level in the thyroid, spinal cord, trachea, adrenal gland, skeletal muscle, pancreas, heart, brain, liver and kidney. A short splice product shows more limited expression, being absent from at least the brain. {ECO:0000269|PubMed:11876824, ECO:0000269|PubMed:12657639, ECO:0000269|PubMed:9738934}.; </t>
        </is>
      </c>
      <c r="G217" t="inlineStr">
        <is>
          <t>.</t>
        </is>
      </c>
      <c r="H217" t="inlineStr">
        <is>
          <t>.</t>
        </is>
      </c>
      <c r="I217" t="inlineStr">
        <is>
          <t>.</t>
        </is>
      </c>
      <c r="J217" t="inlineStr">
        <is>
          <t>.</t>
        </is>
      </c>
      <c r="K217" t="inlineStr">
        <is>
          <t>.</t>
        </is>
      </c>
      <c r="L217" t="inlineStr">
        <is>
          <t>.</t>
        </is>
      </c>
      <c r="M217" t="inlineStr">
        <is>
          <t>.</t>
        </is>
      </c>
      <c r="N217" t="inlineStr">
        <is>
          <t>.</t>
        </is>
      </c>
      <c r="O217" t="inlineStr">
        <is>
          <t>.</t>
        </is>
      </c>
    </row>
    <row r="218">
      <c r="A218" t="inlineStr">
        <is>
          <t>DMP1</t>
        </is>
      </c>
      <c r="B218" t="inlineStr">
        <is>
          <t>0.000223014124025285</t>
        </is>
      </c>
      <c r="C218" t="inlineStr">
        <is>
          <t>dentin matrix acidic phosphoprotein 1</t>
        </is>
      </c>
      <c r="D218" t="inlineStr">
        <is>
          <t xml:space="preserve">FUNCTION: May have a dual function during osteoblast differentiation. In the nucleus of undifferentiated osteoblasts, unphosphorylated form acts as a transcriptional component for activation of osteoblast-specific genes like osteocalcin. During the osteoblast to osteocyte transition phase it is phosphorylated and exported into the extracellular matrix, where it regulates nucleation of hydroxyapatite. {ECO:0000269|PubMed:12615915}.; </t>
        </is>
      </c>
      <c r="E218" t="inlineStr">
        <is>
          <t xml:space="preserve">DISEASE: Hypophosphatemic rickets, autosomal recessive, 1 (ARHR1) [MIM:241520]: A hereditary form of hypophosphatemic rickets, a disorder of proximal renal tubule function that causes phosphate loss, hypophosphatemia and skeletal deformities, including rickets and osteomalacia unresponsive to vitamin D. Symptoms are bone pain, fractures and growth abnormalities. {ECO:0000269|PubMed:17033621, ECO:0000269|PubMed:17033625}. Note=The disease is caused by mutations affecting the gene represented in this entry.; </t>
        </is>
      </c>
      <c r="F218" t="inlineStr">
        <is>
          <t xml:space="preserve">TISSUE SPECIFICITY: Expressed in tooth particularly in odontoblast, ameloblast and cementoblast.; </t>
        </is>
      </c>
      <c r="G218" t="inlineStr">
        <is>
          <t>whole body;</t>
        </is>
      </c>
      <c r="H218" t="inlineStr">
        <is>
          <t>superior cervical ganglion;testis - seminiferous tubule;temporal lobe;ciliary ganglion;atrioventricular node;trigeminal ganglion;skeletal muscle;</t>
        </is>
      </c>
      <c r="I218">
        <f>HYPERLINK("https://omim.org/entry/241520", "241520")</f>
        <v/>
      </c>
      <c r="J218" t="inlineStr">
        <is>
          <t>.</t>
        </is>
      </c>
      <c r="K218" t="inlineStr">
        <is>
          <t>.</t>
        </is>
      </c>
      <c r="L218" t="inlineStr">
        <is>
          <t>.</t>
        </is>
      </c>
      <c r="M218" t="inlineStr">
        <is>
          <t>.</t>
        </is>
      </c>
      <c r="N218" t="inlineStr">
        <is>
          <t>.</t>
        </is>
      </c>
      <c r="O218" t="inlineStr">
        <is>
          <t>.</t>
        </is>
      </c>
    </row>
    <row r="219">
      <c r="A219" t="inlineStr">
        <is>
          <t>DMPK</t>
        </is>
      </c>
      <c r="B219" t="inlineStr">
        <is>
          <t>0.0330811788641306</t>
        </is>
      </c>
      <c r="C219" t="inlineStr">
        <is>
          <t>dystrophia myotonica protein kinase</t>
        </is>
      </c>
      <c r="D219" t="inlineStr">
        <is>
          <t xml:space="preserve">FUNCTION: Non-receptor serine/threonine protein kinase which is necessary for the maintenance of skeletal muscle structure and function. May play a role in myocyte differentiation and survival by regulating the integrity of the nuclear envelope and the expression of muscle-specific genes. May also phosphorylate PPP1R12A and inhibit the myosin phosphatase activity to regulate myosin phosphorylation. Also critical to the modulation of cardiac contractility and to the maintenance of proper cardiac conduction activity probably through the regulation of cellular calcium homeostasis. Phosphorylates PLN, a regulator of calcium pumps and may regulate sarcoplasmic reticulum calcium uptake in myocytes. May also phosphorylate FXYD1/PLM which is able to induce chloride currents. May also play a role in synaptic plasticity. {ECO:0000269|PubMed:10811636, ECO:0000269|PubMed:10913253, ECO:0000269|PubMed:11287000, ECO:0000269|PubMed:15598648, ECO:0000269|PubMed:21457715, ECO:0000269|PubMed:21949239}.; </t>
        </is>
      </c>
      <c r="E219" t="inlineStr">
        <is>
          <t xml:space="preserve">DISEASE: Dystrophia myotonica 1 (DM1) [MIM:160900]: A muscular disorder characterized by myotonia, muscle wasting in the distal extremities, cataract, hypogonadism, defective endocrine functions, male baldness and cardiac arrhythmias. {ECO:0000269|PubMed:1302022, ECO:0000269|PubMed:1310900, ECO:0000269|PubMed:1546326, ECO:0000269|PubMed:19514047}. Note=The disease is caused by mutations affecting the gene represented in this entry. The causative mutation is a CTG expansion in the 3'- UTR of the DMPK gene. A length exceeding 50 CTG repeats is pathogenic, while normal individuals have 5 to 37 repeats. Intermediate alleles with 35-49 triplets are not disease-causing but show instability in intergenerational transmissions. Disease severity varies with the number of repeats: mildly affected persons have 50 to 150 repeats, patients with classic DM have 100 to 1,000 repeats, and those with congenital onset can have more than 2,000 repeats. {ECO:0000269|PubMed:1310900, ECO:0000269|PubMed:19514047}.; </t>
        </is>
      </c>
      <c r="F219" t="inlineStr">
        <is>
          <t xml:space="preserve">TISSUE SPECIFICITY: Most isoforms are expressed in many tissues including heart, skeletal muscle, liver and brain, except for isoform 2 which is only found in the heart and skeletal muscle, and isoform 14 which is only found in the brain, with high levels in the striatum, cerebellar cortex and pons. {ECO:0000269|PubMed:7488138}.; </t>
        </is>
      </c>
      <c r="G219" t="inlineStr">
        <is>
          <t>ovary;colon;skin;retina;uterus;prostate;frontal lobe;larynx;thyroid;iris;testis;germinal center;brain;spinal ganglion;tonsil;unclassifiable (Anatomical System);muscle;lens;lung;mesenchyma;placenta;liver;head and neck;cervix;kidney;stomach;</t>
        </is>
      </c>
      <c r="H219" t="inlineStr">
        <is>
          <t>superior cervical ganglion;atrioventricular node;pons;trigeminal ganglion;skeletal muscle;</t>
        </is>
      </c>
      <c r="I219">
        <f>HYPERLINK("https://omim.org/entry/160900", "160900")</f>
        <v/>
      </c>
      <c r="J219" t="inlineStr">
        <is>
          <t>.</t>
        </is>
      </c>
      <c r="K219" t="inlineStr">
        <is>
          <t>.</t>
        </is>
      </c>
      <c r="L219" t="inlineStr">
        <is>
          <t>.</t>
        </is>
      </c>
      <c r="M219" t="inlineStr">
        <is>
          <t>.</t>
        </is>
      </c>
      <c r="N219" t="inlineStr">
        <is>
          <t>.</t>
        </is>
      </c>
      <c r="O219" t="inlineStr">
        <is>
          <t>.</t>
        </is>
      </c>
    </row>
    <row r="220">
      <c r="A220" t="inlineStr">
        <is>
          <t>DMXL2</t>
        </is>
      </c>
      <c r="B220" t="inlineStr">
        <is>
          <t>0.999999999395933</t>
        </is>
      </c>
      <c r="C220" t="inlineStr">
        <is>
          <t>Dmx like 2</t>
        </is>
      </c>
      <c r="D220" t="inlineStr">
        <is>
          <t xml:space="preserve">FUNCTION: May serve as a scaffold protein for MADD and RAB3GA on synaptic vesicles (PubMed:11809763). Plays a role in the brain as a key controller of neuronal and endocrine homeostatic processes (By similarity). {ECO:0000250|UniProtKB:Q8BPN8, ECO:0000269|PubMed:11809763}.; </t>
        </is>
      </c>
      <c r="E220" t="inlineStr">
        <is>
          <t xml:space="preserve">DISEASE: Polyendocrine-polyneuropathy syndrome (PEPNS) [MIM:616113]: A progressive endocrine and neurodevelopmental disorder manifesting early in childhood with growth retardation and recurrent episodes of profound asymptomatic hypoglycemia. PEPNS is characterized by central hypothyroidism, hypogonadotropic hypogonadism, incomplete puberty, progressive non-autoimmune insulin-dependent diabetes mellitus, peripheral demyelinating sensorimotor polyneuropathy, and cerebellar and pyramidal signs. {ECO:0000269|PubMed:25248098}. Note=The disease is caused by mutations affecting the gene represented in this entry.; </t>
        </is>
      </c>
      <c r="F220" t="inlineStr">
        <is>
          <t>.</t>
        </is>
      </c>
      <c r="G220" t="inlineStr">
        <is>
          <t>unclassifiable (Anatomical System);heart;islets of Langerhans;hypothalamus;muscle;blood;skeletal muscle;bone marrow;breast;uterus;prostate;lung;frontal lobe;endometrium;larynx;placenta;pituitary gland;liver;testis;head and neck;germinal center;kidney;brain;aorta;stomach;</t>
        </is>
      </c>
      <c r="H220" t="inlineStr">
        <is>
          <t>amygdala;dorsal root ganglion;superior cervical ganglion;ciliary ganglion;atrioventricular node;trigeminal ganglion;</t>
        </is>
      </c>
      <c r="I220">
        <f>HYPERLINK("https://omim.org/entry/616113", "616113")</f>
        <v/>
      </c>
      <c r="J220" t="inlineStr">
        <is>
          <t>.</t>
        </is>
      </c>
      <c r="K220" t="inlineStr">
        <is>
          <t>.</t>
        </is>
      </c>
      <c r="L220" t="inlineStr">
        <is>
          <t>.</t>
        </is>
      </c>
      <c r="M220" t="inlineStr">
        <is>
          <t>.</t>
        </is>
      </c>
      <c r="N220" t="inlineStr">
        <is>
          <t>.</t>
        </is>
      </c>
      <c r="O220" t="inlineStr">
        <is>
          <t>.</t>
        </is>
      </c>
    </row>
    <row r="221">
      <c r="A221" t="inlineStr">
        <is>
          <t>DNAAF3</t>
        </is>
      </c>
      <c r="B221" t="inlineStr">
        <is>
          <t>3.21577634646308e-06</t>
        </is>
      </c>
      <c r="C221" t="inlineStr">
        <is>
          <t>dynein (axonemal) assembly factor 3</t>
        </is>
      </c>
      <c r="D221" t="inlineStr">
        <is>
          <t xml:space="preserve">FUNCTION: Required for the assembly of axonemal inner and outer dynein arms. Involved in preassembly of dyneins into complexes before their transport into cilia. {ECO:0000269|PubMed:22387996}.; </t>
        </is>
      </c>
      <c r="E221" t="inlineStr">
        <is>
          <t xml:space="preserve">DISEASE: Ciliary dyskinesia, primary, 2 (CILD2) [MIM:606763]: A disorder characterized by abnormalities of motile cilia. Respiratory infections leading to chronic inflammation and bronchiectasis are recurrent, due to defects in the respiratory cilia; reduced fertility is often observed in male patients due to abnormalities of sperm tails. Half of the patients exhibit randomization of left-right body asymmetry and situs inversus, due to dysfunction of monocilia at the embryonic node. Primary ciliary dyskinesia associated with situs inversus is referred to as Kartagener syndrome. {ECO:0000269|PubMed:22387996}. Note=The disease is caused by mutations affecting the gene represented in this entry.; </t>
        </is>
      </c>
      <c r="F221" t="inlineStr">
        <is>
          <t>.</t>
        </is>
      </c>
      <c r="G221" t="inlineStr">
        <is>
          <t>.</t>
        </is>
      </c>
      <c r="H221" t="inlineStr">
        <is>
          <t>.</t>
        </is>
      </c>
      <c r="I221">
        <f>HYPERLINK("https://omim.org/entry/606763", "606763")</f>
        <v/>
      </c>
      <c r="J221" t="inlineStr">
        <is>
          <t>.</t>
        </is>
      </c>
      <c r="K221" t="inlineStr">
        <is>
          <t>.</t>
        </is>
      </c>
      <c r="L221" t="inlineStr">
        <is>
          <t>.</t>
        </is>
      </c>
      <c r="M221" t="inlineStr">
        <is>
          <t>.</t>
        </is>
      </c>
      <c r="N221" t="inlineStr">
        <is>
          <t>.</t>
        </is>
      </c>
      <c r="O221" t="inlineStr">
        <is>
          <t>.</t>
        </is>
      </c>
    </row>
    <row r="222">
      <c r="A222" t="inlineStr">
        <is>
          <t>DNAH5</t>
        </is>
      </c>
      <c r="B222" t="inlineStr">
        <is>
          <t>5.78867795702671e-37</t>
        </is>
      </c>
      <c r="C222" t="inlineStr">
        <is>
          <t>dynein axonemal heavy chain 5</t>
        </is>
      </c>
      <c r="D222" t="inlineStr">
        <is>
          <t xml:space="preserve">FUNCTION: Force generating protein of respiratory cilia. Produces force towards the minus ends of microtubules. Dynein has ATPase activity; the force-producing power stroke is thought to occur on release of ADP. Required for structural and functional integrity of the cilia of ependymal cells lining the brain ventricles.; </t>
        </is>
      </c>
      <c r="E222" t="inlineStr">
        <is>
          <t xml:space="preserve">DISEASE: Ciliary dyskinesia, primary, 3 (CILD3) [MIM:608644]: A disorder characterized by abnormalities of motile cilia. Respiratory infections leading to chronic inflammation and bronchiectasis are recurrent, due to defects in the respiratory cilia; reduced fertility is often observed in male patients due to abnormalities of sperm tails. Half of the patients exhibit randomization of left-right body asymmetry and situs inversus, due to dysfunction of monocilia at the embryonic node. Primary ciliary dyskinesia associated with situs inversus is referred to as Kartagener syndrome. {ECO:0000269|PubMed:11062149, ECO:0000269|PubMed:16627867, ECO:0000269|PubMed:25186273}. Note=The disease is caused by mutations affecting the gene represented in this entry.; DISEASE: Kartagener syndrome (KTGS) [MIM:244400]: An autosomal recessive disorder characterized by the association of primary ciliary dyskinesia with situs inversus. Clinical features include recurrent respiratory infections, bronchiectasis, infertility, and lateral transposition of the viscera of the thorax and abdomen. The situs inversus is most often total, although it can be partial in some cases (isolated dextrocardia or isolated transposition of abdominal viscera). {ECO:0000269|PubMed:11788826}. Note=The disease is caused by mutations affecting the gene represented in this entry.; </t>
        </is>
      </c>
      <c r="F222" t="inlineStr">
        <is>
          <t>.</t>
        </is>
      </c>
      <c r="G222" t="inlineStr">
        <is>
          <t>unclassifiable (Anatomical System);endometrium;islets of Langerhans;bone;amnion;blood;kidney;mammary gland;corpus callosum;</t>
        </is>
      </c>
      <c r="H222" t="inlineStr">
        <is>
          <t>dorsal root ganglion;superior cervical ganglion;ciliary ganglion;atrioventricular node;skeletal muscle;</t>
        </is>
      </c>
      <c r="I222">
        <f>HYPERLINK("https://omim.org/entry/608644", "608644")</f>
        <v/>
      </c>
      <c r="J222">
        <f>HYPERLINK("https://omim.org/entry/244400", "244400")</f>
        <v/>
      </c>
      <c r="K222" t="inlineStr">
        <is>
          <t>.</t>
        </is>
      </c>
      <c r="L222" t="inlineStr">
        <is>
          <t>.</t>
        </is>
      </c>
      <c r="M222" t="inlineStr">
        <is>
          <t>.</t>
        </is>
      </c>
      <c r="N222" t="inlineStr">
        <is>
          <t>.</t>
        </is>
      </c>
      <c r="O222" t="inlineStr">
        <is>
          <t>.</t>
        </is>
      </c>
    </row>
    <row r="223">
      <c r="A223" t="inlineStr">
        <is>
          <t>DNAH7</t>
        </is>
      </c>
      <c r="B223" t="inlineStr">
        <is>
          <t>1.0373966005542e-47</t>
        </is>
      </c>
      <c r="C223" t="inlineStr">
        <is>
          <t>dynein axonemal heavy chain 7</t>
        </is>
      </c>
      <c r="D223" t="inlineStr">
        <is>
          <t xml:space="preserve">FUNCTION: Force generating protein of respiratory cilia. Produces force towards the minus ends of microtubules. Dynein has ATPase activity; the force-producing power stroke is thought to occur on release of ADP (By similarity). {ECO:0000250}.; </t>
        </is>
      </c>
      <c r="E223" t="inlineStr">
        <is>
          <t>.</t>
        </is>
      </c>
      <c r="F223" t="inlineStr">
        <is>
          <t xml:space="preserve">TISSUE SPECIFICITY: Detected in brain, testis and trachea. Detected in bronchial cells (at protein level). {ECO:0000269|PubMed:11175280, ECO:0000269|PubMed:11877439}.; </t>
        </is>
      </c>
      <c r="G223" t="inlineStr">
        <is>
          <t>unclassifiable (Anatomical System);lung;ovary;endometrium;thyroid;placenta;pituitary gland;testis;kidney;germinal center;brain;skeletal muscle;stomach;</t>
        </is>
      </c>
      <c r="H223" t="inlineStr">
        <is>
          <t>dorsal root ganglion;superior cervical ganglion;testis - interstitial;temporal lobe;globus pallidus;ciliary ganglion;atrioventricular node;pons;trigeminal ganglion;skin;skeletal muscle;</t>
        </is>
      </c>
      <c r="I223" t="inlineStr">
        <is>
          <t>.</t>
        </is>
      </c>
      <c r="J223" t="inlineStr">
        <is>
          <t>.</t>
        </is>
      </c>
      <c r="K223" t="inlineStr">
        <is>
          <t>.</t>
        </is>
      </c>
      <c r="L223" t="inlineStr">
        <is>
          <t>.</t>
        </is>
      </c>
      <c r="M223" t="inlineStr">
        <is>
          <t>.</t>
        </is>
      </c>
      <c r="N223" t="inlineStr">
        <is>
          <t>.</t>
        </is>
      </c>
      <c r="O223" t="inlineStr">
        <is>
          <t>.</t>
        </is>
      </c>
    </row>
    <row r="224">
      <c r="A224" t="inlineStr">
        <is>
          <t>DNAJC5G</t>
        </is>
      </c>
      <c r="B224" t="inlineStr">
        <is>
          <t>0.00397478941010456</t>
        </is>
      </c>
      <c r="C224" t="inlineStr">
        <is>
          <t>DnaJ heat shock protein family (Hsp40) member C5 gamma</t>
        </is>
      </c>
      <c r="D224" t="inlineStr">
        <is>
          <t>.</t>
        </is>
      </c>
      <c r="E224" t="inlineStr">
        <is>
          <t>.</t>
        </is>
      </c>
      <c r="F224" t="inlineStr">
        <is>
          <t xml:space="preserve">TISSUE SPECIFICITY: Testis specific.; </t>
        </is>
      </c>
      <c r="G224" t="inlineStr">
        <is>
          <t>medulla oblongata;testis;</t>
        </is>
      </c>
      <c r="H224" t="inlineStr">
        <is>
          <t>dorsal root ganglion;superior cervical ganglion;ciliary ganglion;pons;atrioventricular node;skeletal muscle;</t>
        </is>
      </c>
      <c r="I224" t="inlineStr">
        <is>
          <t>.</t>
        </is>
      </c>
      <c r="J224" t="inlineStr">
        <is>
          <t>.</t>
        </is>
      </c>
      <c r="K224" t="inlineStr">
        <is>
          <t>.</t>
        </is>
      </c>
      <c r="L224" t="inlineStr">
        <is>
          <t>.</t>
        </is>
      </c>
      <c r="M224" t="inlineStr">
        <is>
          <t>.</t>
        </is>
      </c>
      <c r="N224" t="inlineStr">
        <is>
          <t>.</t>
        </is>
      </c>
      <c r="O224" t="inlineStr">
        <is>
          <t>.</t>
        </is>
      </c>
    </row>
    <row r="225">
      <c r="A225" t="inlineStr">
        <is>
          <t>DNER</t>
        </is>
      </c>
      <c r="B225" t="inlineStr">
        <is>
          <t>0.785502089513872</t>
        </is>
      </c>
      <c r="C225" t="inlineStr">
        <is>
          <t>delta/notch like EGF repeat containing</t>
        </is>
      </c>
      <c r="D225" t="inlineStr">
        <is>
          <t xml:space="preserve">FUNCTION: Activator of the NOTCH1 pathway. May mediate neuron-glia interaction during astrocytogenesis (By similarity). {ECO:0000250}.; </t>
        </is>
      </c>
      <c r="E225" t="inlineStr">
        <is>
          <t>.</t>
        </is>
      </c>
      <c r="F225" t="inlineStr">
        <is>
          <t xml:space="preserve">TISSUE SPECIFICITY: Expressed in brain, spinal cord and adrenal gland. {ECO:0000269|PubMed:11997712}.; </t>
        </is>
      </c>
      <c r="G225" t="inlineStr">
        <is>
          <t>fovea centralis;choroid;skin;retina;uterus;optic nerve;whole body;frontal lobe;cochlea;larynx;bone;pituitary gland;testis;dura mater;brain;unclassifiable (Anatomical System);meninges;heart;lacrimal gland;hypothalamus;lens;skeletal muscle;breast;pia mater;lung;adrenal gland;placenta;macula lutea;hippocampus;liver;cervix;head and neck;kidney;cerebellum;</t>
        </is>
      </c>
      <c r="H225" t="inlineStr">
        <is>
          <t>whole brain;amygdala;thalamus;medulla oblongata;occipital lobe;superior cervical ganglion;cerebellum peduncles;hypothalamus;spinal cord;temporal lobe;adrenal cortex;pons;caudate nucleus;subthalamic nucleus;fetal brain;adrenal gland;prefrontal cortex;globus pallidus;ciliary ganglion;parietal lobe;cingulate cortex;cerebellum;</t>
        </is>
      </c>
      <c r="I225" t="inlineStr">
        <is>
          <t>.</t>
        </is>
      </c>
      <c r="J225" t="inlineStr">
        <is>
          <t>.</t>
        </is>
      </c>
      <c r="K225" t="inlineStr">
        <is>
          <t>.</t>
        </is>
      </c>
      <c r="L225" t="inlineStr">
        <is>
          <t>.</t>
        </is>
      </c>
      <c r="M225" t="inlineStr">
        <is>
          <t>.</t>
        </is>
      </c>
      <c r="N225" t="inlineStr">
        <is>
          <t>.</t>
        </is>
      </c>
      <c r="O225" t="inlineStr">
        <is>
          <t>.</t>
        </is>
      </c>
    </row>
    <row r="226">
      <c r="A226" t="inlineStr">
        <is>
          <t>DNMBP</t>
        </is>
      </c>
      <c r="B226" t="inlineStr">
        <is>
          <t>1.15012174102811e-09</t>
        </is>
      </c>
      <c r="C226" t="inlineStr">
        <is>
          <t>dynamin binding protein</t>
        </is>
      </c>
      <c r="D226" t="inlineStr">
        <is>
          <t xml:space="preserve">FUNCTION: Scaffold protein that links dynamin with actin- regulating proteins. May play a role in membrane trafficking between the cell surface and the Golgi (By similarity). {ECO:0000250}.; </t>
        </is>
      </c>
      <c r="E226" t="inlineStr">
        <is>
          <t>.</t>
        </is>
      </c>
      <c r="F226" t="inlineStr">
        <is>
          <t xml:space="preserve">TISSUE SPECIFICITY: Detected in heart, brain, lung, liver, skeletal muscle, kidney and pancreas. {ECO:0000269|PubMed:14506234}.; </t>
        </is>
      </c>
      <c r="G226" t="inlineStr">
        <is>
          <t>ovary;salivary gland;colon;parathyroid;skin;bone marrow;uterus;prostate;whole body;frontal lobe;endometrium;cerebral cortex;bone;thyroid;testis;germinal center;brain;spinal ganglion;unclassifiable (Anatomical System);cartilage;heart;tongue;blood;lens;skeletal muscle;breast;bile duct;pancreas;lung;trabecular meshwork;placenta;visual apparatus;liver;spleen;head and neck;kidney;stomach;cerebellum;</t>
        </is>
      </c>
      <c r="H226" t="inlineStr">
        <is>
          <t>dorsal root ganglion;superior cervical ganglion;testis;atrioventricular node;trigeminal ganglion;skeletal muscle;</t>
        </is>
      </c>
      <c r="I226" t="inlineStr">
        <is>
          <t>.</t>
        </is>
      </c>
      <c r="J226" t="inlineStr">
        <is>
          <t>.</t>
        </is>
      </c>
      <c r="K226" t="inlineStr">
        <is>
          <t>.</t>
        </is>
      </c>
      <c r="L226" t="inlineStr">
        <is>
          <t>.</t>
        </is>
      </c>
      <c r="M226" t="inlineStr">
        <is>
          <t>.</t>
        </is>
      </c>
      <c r="N226" t="inlineStr">
        <is>
          <t>.</t>
        </is>
      </c>
      <c r="O226" t="inlineStr">
        <is>
          <t>.</t>
        </is>
      </c>
    </row>
    <row r="227">
      <c r="A227" t="inlineStr">
        <is>
          <t>DNMT3A</t>
        </is>
      </c>
      <c r="B227" t="inlineStr">
        <is>
          <t>7.7278751608327e-45</t>
        </is>
      </c>
      <c r="C227" t="inlineStr">
        <is>
          <t>DNA (cytosine-5-)-methyltransferase 3 alpha</t>
        </is>
      </c>
      <c r="D227" t="inlineStr">
        <is>
          <t xml:space="preserve">FUNCTION: Required for genome-wide de novo methylation and is essential for the establishment of DNA methylation patterns during development. DNA methylation is coordinated with methylation of histones. It modifies DNA in a non-processive manner and also methylates non-CpG sites. May preferentially methylate DNA linker between 2 nucleosomal cores and is inhibited by histone H1. Plays a role in paternal and maternal imprinting. Required for methylation of most imprinted loci in germ cells. Acts as a transcriptional corepressor for ZBTB18. Recruited to trimethylated 'Lys-36' of histone H3 (H3K36me3) sites. Can actively repress transcription through the recruitment of HDAC activity. {ECO:0000269|PubMed:16357870}.; </t>
        </is>
      </c>
      <c r="E227" t="inlineStr">
        <is>
          <t xml:space="preserve">DISEASE: Tatton-Brown-Rahman syndrome (TBRS) [MIM:615879]: An overgrowth syndrome characterized by a distinctive facial appearance, tall stature and intellectual disability. Facial gestalt is characterized by a round face, heavy horizontal eyebrows and narrow palpebral fissures. Less common features include atrial septal defects, seizures, umbilical hernia, and scoliosis. {ECO:0000269|PubMed:24614070}. Note=The disease is caused by mutations affecting the gene represented in this entry.; </t>
        </is>
      </c>
      <c r="F227" t="inlineStr">
        <is>
          <t xml:space="preserve">TISSUE SPECIFICITY: Highly expressed in fetal tissues, skeletal muscle, heart, peripheral blood mononuclear cells, kidney, and at lower levels in placenta, brain, liver, colon, spleen, small intestine and lung. {ECO:0000269|PubMed:10325416}.; </t>
        </is>
      </c>
      <c r="G227" t="inlineStr">
        <is>
          <t>unclassifiable (Anatomical System);cartilage;ovary;heart;tongue;islets of Langerhans;pineal body;colon;parathyroid;blood;skin;skeletal muscle;retina;uterus;pancreas;whole body;lung;endometrium;larynx;nasopharynx;placenta;visual apparatus;liver;testis;cervix;head and neck;spleen;brain;</t>
        </is>
      </c>
      <c r="H227" t="inlineStr">
        <is>
          <t>superior cervical ganglion;skeletal muscle;</t>
        </is>
      </c>
      <c r="I227">
        <f>HYPERLINK("https://omim.org/entry/615879", "615879")</f>
        <v/>
      </c>
      <c r="J227" t="inlineStr">
        <is>
          <t>.</t>
        </is>
      </c>
      <c r="K227" t="inlineStr">
        <is>
          <t>.</t>
        </is>
      </c>
      <c r="L227" t="inlineStr">
        <is>
          <t>.</t>
        </is>
      </c>
      <c r="M227" t="inlineStr">
        <is>
          <t>.</t>
        </is>
      </c>
      <c r="N227" t="inlineStr">
        <is>
          <t>.</t>
        </is>
      </c>
      <c r="O227" t="inlineStr">
        <is>
          <t>.</t>
        </is>
      </c>
    </row>
    <row r="228">
      <c r="A228" t="inlineStr">
        <is>
          <t>DOCK4</t>
        </is>
      </c>
      <c r="B228" t="inlineStr">
        <is>
          <t>0.998535732717338</t>
        </is>
      </c>
      <c r="C228" t="inlineStr">
        <is>
          <t>dedicator of cytokinesis 4</t>
        </is>
      </c>
      <c r="D228" t="inlineStr">
        <is>
          <t xml:space="preserve">FUNCTION: Involved in regulation of adherens junction between cells. Plays a role in cell migration. Functions as a guanine nucleotide exchange factor (GEF), which activates Rap1 small GTPase by exchanging bound GDP for free GTP. {ECO:0000269|PubMed:12628187, ECO:0000269|PubMed:20679435}.; </t>
        </is>
      </c>
      <c r="E228" t="inlineStr">
        <is>
          <t>.</t>
        </is>
      </c>
      <c r="F228" t="inlineStr">
        <is>
          <t xml:space="preserve">TISSUE SPECIFICITY: Widely expressed at low level. Highly expressed in skeletal muscle, prostate and ovary. {ECO:0000269|PubMed:12628187}.; </t>
        </is>
      </c>
      <c r="G228" t="inlineStr">
        <is>
          <t>colon;fovea centralis;choroid;skin;retina;uterus;optic nerve;whole body;frontal lobe;bone;testis;spinal ganglion;brain;unclassifiable (Anatomical System);amygdala;lymph node;cartilage;tongue;islets of Langerhans;pineal body;adrenal cortex;lens;breast;pancreas;lung;placenta;macula lutea;hippocampus;liver;head and neck;kidney;</t>
        </is>
      </c>
      <c r="H228" t="inlineStr">
        <is>
          <t>amygdala;whole brain;medulla oblongata;occipital lobe;superior cervical ganglion;prefrontal cortex;appendix;ciliary ganglion;caudate nucleus;atrioventricular node;trigeminal ganglion;cingulate cortex;</t>
        </is>
      </c>
      <c r="I228" t="inlineStr">
        <is>
          <t>.</t>
        </is>
      </c>
      <c r="J228" t="inlineStr">
        <is>
          <t>.</t>
        </is>
      </c>
      <c r="K228" t="inlineStr">
        <is>
          <t>.</t>
        </is>
      </c>
      <c r="L228" t="inlineStr">
        <is>
          <t>.</t>
        </is>
      </c>
      <c r="M228" t="inlineStr">
        <is>
          <t>.</t>
        </is>
      </c>
      <c r="N228" t="inlineStr">
        <is>
          <t>.</t>
        </is>
      </c>
      <c r="O228" t="inlineStr">
        <is>
          <t>.</t>
        </is>
      </c>
    </row>
    <row r="229">
      <c r="A229" t="inlineStr">
        <is>
          <t>DOLK</t>
        </is>
      </c>
      <c r="B229" t="inlineStr">
        <is>
          <t>0.0576024421193242</t>
        </is>
      </c>
      <c r="C229" t="inlineStr">
        <is>
          <t>dolichol kinase</t>
        </is>
      </c>
      <c r="D229" t="inlineStr">
        <is>
          <t xml:space="preserve">FUNCTION: Involved in the synthesis of the sugar donor Dol-P-Man which is required in the synthesis of N-linked and O-linked oligosaccharides and for that of GPI anchors. {ECO:0000250}.; </t>
        </is>
      </c>
      <c r="E229" t="inlineStr">
        <is>
          <t>.</t>
        </is>
      </c>
      <c r="F229" t="inlineStr">
        <is>
          <t xml:space="preserve">TISSUE SPECIFICITY: Ubiquitous.; </t>
        </is>
      </c>
      <c r="G229" t="inlineStr">
        <is>
          <t>.</t>
        </is>
      </c>
      <c r="H229" t="inlineStr">
        <is>
          <t>.</t>
        </is>
      </c>
      <c r="I229" t="inlineStr">
        <is>
          <t>.</t>
        </is>
      </c>
      <c r="J229" t="inlineStr">
        <is>
          <t>.</t>
        </is>
      </c>
      <c r="K229" t="inlineStr">
        <is>
          <t>.</t>
        </is>
      </c>
      <c r="L229" t="inlineStr">
        <is>
          <t>.</t>
        </is>
      </c>
      <c r="M229" t="inlineStr">
        <is>
          <t>.</t>
        </is>
      </c>
      <c r="N229" t="inlineStr">
        <is>
          <t>.</t>
        </is>
      </c>
      <c r="O229" t="inlineStr">
        <is>
          <t>.</t>
        </is>
      </c>
    </row>
    <row r="230">
      <c r="A230" t="inlineStr">
        <is>
          <t>DOPEY2</t>
        </is>
      </c>
      <c r="B230" t="inlineStr">
        <is>
          <t>9.61164900781145e-08</t>
        </is>
      </c>
      <c r="C230" t="inlineStr">
        <is>
          <t>dopey family member 2</t>
        </is>
      </c>
      <c r="D230" t="inlineStr">
        <is>
          <t xml:space="preserve">FUNCTION: May be involved in protein traffic between late Golgi and early endosomes. {ECO:0000250}.; </t>
        </is>
      </c>
      <c r="E230" t="inlineStr">
        <is>
          <t>.</t>
        </is>
      </c>
      <c r="F230" t="inlineStr">
        <is>
          <t xml:space="preserve">TISSUE SPECIFICITY: Ubiquitously expressed. Overexpressed in lymphoblasts from Down syndrome patients. {ECO:0000269|PubMed:10950924, ECO:0000269|PubMed:12767918}.; </t>
        </is>
      </c>
      <c r="G230" t="inlineStr">
        <is>
          <t>unclassifiable (Anatomical System);lymph node;spinal cord;muscle;colon;blood;skeletal muscle;bone marrow;prostate;pancreas;lung;frontal lobe;oesophagus;larynx;thyroid;placenta;liver;testis;head and neck;germinal center;brain;aorta;stomach;cerebellum;</t>
        </is>
      </c>
      <c r="H230" t="inlineStr">
        <is>
          <t>superior cervical ganglion;uterus corpus;ciliary ganglion;trigeminal ganglion;skeletal muscle;</t>
        </is>
      </c>
      <c r="I230" t="inlineStr">
        <is>
          <t>.</t>
        </is>
      </c>
      <c r="J230" t="inlineStr">
        <is>
          <t>.</t>
        </is>
      </c>
      <c r="K230" t="inlineStr">
        <is>
          <t>.</t>
        </is>
      </c>
      <c r="L230" t="inlineStr">
        <is>
          <t>.</t>
        </is>
      </c>
      <c r="M230" t="inlineStr">
        <is>
          <t>.</t>
        </is>
      </c>
      <c r="N230" t="inlineStr">
        <is>
          <t>.</t>
        </is>
      </c>
      <c r="O230" t="inlineStr">
        <is>
          <t>.</t>
        </is>
      </c>
    </row>
    <row r="231">
      <c r="A231" t="inlineStr">
        <is>
          <t>DPP6</t>
        </is>
      </c>
      <c r="B231" t="inlineStr">
        <is>
          <t>0.96769110706309</t>
        </is>
      </c>
      <c r="C231" t="inlineStr">
        <is>
          <t>dipeptidyl peptidase like 6</t>
        </is>
      </c>
      <c r="D231" t="inlineStr">
        <is>
          <t xml:space="preserve">FUNCTION: Promotes cell surface expression of the potassium channel KCND2 (PubMed:15454437, PubMed:19441798). Modulates the activity and gating characteristics of the potassium channel KCND2 (PubMed:18364354). Has no dipeptidyl aminopeptidase activity (PubMed:8103397, PubMed:15476821). {ECO:0000269|PubMed:15454437, ECO:0000269|PubMed:18364354, ECO:0000269|PubMed:8103397, ECO:0000305|PubMed:15476821}.; </t>
        </is>
      </c>
      <c r="E231" t="inlineStr">
        <is>
          <t xml:space="preserve">DISEASE: Familial paroxysmal ventricular fibrillation 2 (VF2) [MIM:612956]: A cardiac arrhythmia marked by fibrillary contractions of the ventricular muscle due to rapid repetitive excitation of myocardial fibers without coordinated contraction of the ventricle and by absence of atrial activity. {ECO:0000269|PubMed:19285295}. Note=The disease is caused by mutations affecting the gene represented in this entry. A genetic variation 340 bases upstream from the ATG start site of the DPP6 gene is the cause of familial paroxysmal ventricular fibrillation type 2.; DISEASE: Mental retardation, autosomal dominant 33 (MRD33) [MIM:616311]: A form of mental retardation, a disorder characterized by significantly below average general intellectual functioning associated with impairments in adaptive behavior and manifested during the developmental period. MRD33 patients manifest microcephaly and intellectual disability. {ECO:0000269|PubMed:23832105}. Note=The disease is caused by mutations affecting the gene represented in this entry.; </t>
        </is>
      </c>
      <c r="F231" t="inlineStr">
        <is>
          <t xml:space="preserve">TISSUE SPECIFICITY: Expressed predominantly in brain.; </t>
        </is>
      </c>
      <c r="G231" t="inlineStr">
        <is>
          <t>unclassifiable (Anatomical System);uterus;heart;visual apparatus;brain;skin;</t>
        </is>
      </c>
      <c r="H231" t="inlineStr">
        <is>
          <t>amygdala;whole brain;dorsal root ganglion;occipital lobe;medulla oblongata;thalamus;superior cervical ganglion;cerebellum peduncles;temporal lobe;caudate nucleus;pons;subthalamic nucleus;prefrontal cortex;globus pallidus;cingulate cortex;parietal lobe;cerebellum;</t>
        </is>
      </c>
      <c r="I231">
        <f>HYPERLINK("https://omim.org/entry/612956", "612956")</f>
        <v/>
      </c>
      <c r="J231">
        <f>HYPERLINK("https://omim.org/entry/616311", "616311")</f>
        <v/>
      </c>
      <c r="K231" t="inlineStr">
        <is>
          <t>.</t>
        </is>
      </c>
      <c r="L231" t="inlineStr">
        <is>
          <t>.</t>
        </is>
      </c>
      <c r="M231" t="inlineStr">
        <is>
          <t>.</t>
        </is>
      </c>
      <c r="N231" t="inlineStr">
        <is>
          <t>.</t>
        </is>
      </c>
      <c r="O231" t="inlineStr">
        <is>
          <t>.</t>
        </is>
      </c>
    </row>
    <row r="232">
      <c r="A232" t="inlineStr">
        <is>
          <t>DSCAM</t>
        </is>
      </c>
      <c r="B232" t="inlineStr">
        <is>
          <t>0.99999999983846</t>
        </is>
      </c>
      <c r="C232" t="inlineStr">
        <is>
          <t>Down syndrome cell adhesion molecule</t>
        </is>
      </c>
      <c r="D232" t="inlineStr">
        <is>
          <t xml:space="preserve">FUNCTION: Cell adhesion molecule that plays a role in neuronal self-avoidance. Promotes repulsion between specific neuronal processes of either the same cell or the same subtype of cells. Mediates within retinal amacrine and ganglion cell subtypes both isoneuronal self-avoidance for creating an orderly dendritic arborization and heteroneuronal self-avoidance to maintain the mosaic spacing between amacrine and ganglion cell bodies (PubMed:10925149). Receptor for netrin required for axon guidance independently of and in collaboration with the receptor DCC. In spinal chord development plays a role in guiding commissural axons projection and pathfinding across the ventral midline to reach the floor plate upon ligand binding (PubMed:18585357, PubMed:19196994). Enhances netrin-induced phosphorylation of PAK1 and FYN (PubMed:15169762). Mediates intracellular signaling by stimulating the activation of MAPK8 and MAP kinase p38 (PubMed:18585357, PubMed:19196994). Adhesion molecule that promotes lamina-specific synaptic connections in the retina: expressed in specific subsets of interneurons and retinal ganglion cells (RGCs) and promotes synaptic connectivity via homophilic interactions (By similarity). {ECO:0000250|UniProtKB:F1NY98, ECO:0000269|PubMed:10925149, ECO:0000269|PubMed:15169762, ECO:0000269|PubMed:18585357, ECO:0000269|PubMed:19196994}.; </t>
        </is>
      </c>
      <c r="E232" t="inlineStr">
        <is>
          <t>.</t>
        </is>
      </c>
      <c r="F232" t="inlineStr">
        <is>
          <t xml:space="preserve">TISSUE SPECIFICITY: Primarily expressed in brain.; </t>
        </is>
      </c>
      <c r="G232" t="inlineStr">
        <is>
          <t>.</t>
        </is>
      </c>
      <c r="H232" t="inlineStr">
        <is>
          <t>.</t>
        </is>
      </c>
      <c r="I232" t="inlineStr">
        <is>
          <t>.</t>
        </is>
      </c>
      <c r="J232" t="inlineStr">
        <is>
          <t>.</t>
        </is>
      </c>
      <c r="K232" t="inlineStr">
        <is>
          <t>.</t>
        </is>
      </c>
      <c r="L232" t="inlineStr">
        <is>
          <t>.</t>
        </is>
      </c>
      <c r="M232" t="inlineStr">
        <is>
          <t>.</t>
        </is>
      </c>
      <c r="N232" t="inlineStr">
        <is>
          <t>.</t>
        </is>
      </c>
      <c r="O232" t="inlineStr">
        <is>
          <t>.</t>
        </is>
      </c>
    </row>
    <row r="233">
      <c r="A233" t="inlineStr">
        <is>
          <t>DSEL</t>
        </is>
      </c>
      <c r="B233" t="inlineStr">
        <is>
          <t>5.16087410257055e-06</t>
        </is>
      </c>
      <c r="C233" t="inlineStr">
        <is>
          <t>dermatan sulfate epimerase-like</t>
        </is>
      </c>
      <c r="D233" t="inlineStr">
        <is>
          <t>.</t>
        </is>
      </c>
      <c r="E233" t="inlineStr">
        <is>
          <t>.</t>
        </is>
      </c>
      <c r="F233" t="inlineStr">
        <is>
          <t xml:space="preserve">TISSUE SPECIFICITY: Expressed in different brain areas as well as in multiple other peripheral tissues. {ECO:0000269|PubMed:12556911}.; </t>
        </is>
      </c>
      <c r="G233" t="inlineStr">
        <is>
          <t>unclassifiable (Anatomical System);lung;ovary;heart;cerebral cortex;head and neck;brain;</t>
        </is>
      </c>
      <c r="H233" t="inlineStr">
        <is>
          <t>ciliary ganglion;trigeminal ganglion;</t>
        </is>
      </c>
      <c r="I233" t="inlineStr">
        <is>
          <t>.</t>
        </is>
      </c>
      <c r="J233" t="inlineStr">
        <is>
          <t>.</t>
        </is>
      </c>
      <c r="K233" t="inlineStr">
        <is>
          <t>.</t>
        </is>
      </c>
      <c r="L233" t="inlineStr">
        <is>
          <t>.</t>
        </is>
      </c>
      <c r="M233" t="inlineStr">
        <is>
          <t>.</t>
        </is>
      </c>
      <c r="N233" t="inlineStr">
        <is>
          <t>.</t>
        </is>
      </c>
      <c r="O233" t="inlineStr">
        <is>
          <t>.</t>
        </is>
      </c>
    </row>
    <row r="234">
      <c r="A234" t="inlineStr">
        <is>
          <t>DSG1</t>
        </is>
      </c>
      <c r="B234" t="inlineStr">
        <is>
          <t>0.979103460229869</t>
        </is>
      </c>
      <c r="C234" t="inlineStr">
        <is>
          <t>desmoglein 1</t>
        </is>
      </c>
      <c r="D234" t="inlineStr">
        <is>
          <t xml:space="preserve">FUNCTION: Component of intercellular desmosome junctions. Involved in the interaction of plaque proteins and intermediate filaments mediating cell-cell adhesion.; </t>
        </is>
      </c>
      <c r="E234" t="inlineStr">
        <is>
          <t xml:space="preserve">DISEASE: Palmoplantar keratoderma 1, striate, focal, or diffuse (PPKS1) [MIM:148700]: A dermatological disorder characterized by thickening of the skin on the palms and soles, and longitudinal hyperkeratotic lesions on the palms, running the length of each finger. {ECO:0000269|PubMed:10332028}. Note=The disease is caused by mutations affecting the gene represented in this entry.; DISEASE: Erythroderma, congenital, with palmoplantar keratoderma, hypotrichosis, and hyper IgE (EPKHE) [MIM:615508]: A syndrome characterized by severe dermatitis, multiple allergies and metabolic wasting. Clinical features include erythroderma, yellowish papules and plaques arranged at the periphery of the palms, along the fingers and over weight-bearing areas of the feet, skin erosions and scaling, and hypotrichosis. Additionally, patients manifest severe food allergies, elevated immunoglobulin E (IgE) levels and recurrent infections with marked metabolic wasting. {ECO:0000269|PubMed:23974871}. Note=The disease is caused by mutations affecting the gene represented in this entry.; </t>
        </is>
      </c>
      <c r="F234" t="inlineStr">
        <is>
          <t xml:space="preserve">TISSUE SPECIFICITY: Epidermis, tongue, tonsil and esophagus.; </t>
        </is>
      </c>
      <c r="G234" t="inlineStr">
        <is>
          <t>unclassifiable (Anatomical System);optic nerve;heart;oral cavity;visual apparatus;liver;duodenum;hypopharynx;testis;spleen;head and neck;skin;skeletal muscle;</t>
        </is>
      </c>
      <c r="H234" t="inlineStr">
        <is>
          <t>dorsal root ganglion;tongue;ciliary ganglion;atrioventricular node;skeletal muscle;skin;</t>
        </is>
      </c>
      <c r="I234">
        <f>HYPERLINK("https://omim.org/entry/148700", "148700")</f>
        <v/>
      </c>
      <c r="J234">
        <f>HYPERLINK("https://omim.org/entry/615508", "615508")</f>
        <v/>
      </c>
      <c r="K234" t="inlineStr">
        <is>
          <t>.</t>
        </is>
      </c>
      <c r="L234" t="inlineStr">
        <is>
          <t>.</t>
        </is>
      </c>
      <c r="M234" t="inlineStr">
        <is>
          <t>.</t>
        </is>
      </c>
      <c r="N234" t="inlineStr">
        <is>
          <t>.</t>
        </is>
      </c>
      <c r="O234" t="inlineStr">
        <is>
          <t>.</t>
        </is>
      </c>
    </row>
    <row r="235">
      <c r="A235" t="inlineStr">
        <is>
          <t>DSG1-AS1</t>
        </is>
      </c>
      <c r="B235" t="inlineStr">
        <is>
          <t>.</t>
        </is>
      </c>
      <c r="C235" t="inlineStr">
        <is>
          <t>DSG1 antisense RNA 1</t>
        </is>
      </c>
      <c r="D235" t="inlineStr">
        <is>
          <t>.</t>
        </is>
      </c>
      <c r="E235" t="inlineStr">
        <is>
          <t>.</t>
        </is>
      </c>
      <c r="F235" t="inlineStr">
        <is>
          <t>.</t>
        </is>
      </c>
      <c r="G235" t="inlineStr">
        <is>
          <t>.</t>
        </is>
      </c>
      <c r="H235" t="inlineStr">
        <is>
          <t>.</t>
        </is>
      </c>
      <c r="I235" t="inlineStr">
        <is>
          <t>.</t>
        </is>
      </c>
      <c r="J235" t="inlineStr">
        <is>
          <t>.</t>
        </is>
      </c>
      <c r="K235" t="inlineStr">
        <is>
          <t>.</t>
        </is>
      </c>
      <c r="L235" t="inlineStr">
        <is>
          <t>.</t>
        </is>
      </c>
      <c r="M235" t="inlineStr">
        <is>
          <t>.</t>
        </is>
      </c>
      <c r="N235" t="inlineStr">
        <is>
          <t>.</t>
        </is>
      </c>
      <c r="O235" t="inlineStr">
        <is>
          <t>.</t>
        </is>
      </c>
    </row>
    <row r="236">
      <c r="A236" t="inlineStr">
        <is>
          <t>DSG4</t>
        </is>
      </c>
      <c r="B236" t="inlineStr">
        <is>
          <t>6.32076861880848e-05</t>
        </is>
      </c>
      <c r="C236" t="inlineStr">
        <is>
          <t>desmoglein 4</t>
        </is>
      </c>
      <c r="D236" t="inlineStr">
        <is>
          <t xml:space="preserve">FUNCTION: Component of intercellular desmosome junctions. Involved in the interaction of plaque proteins and intermediate filaments mediating cell-cell adhesion. Coordinates the transition from proliferation to differentiation in hair follicle keratinocytes (By similarity). {ECO:0000250}.; </t>
        </is>
      </c>
      <c r="E236" t="inlineStr">
        <is>
          <t xml:space="preserve">DISEASE: Hypotrichosis 6 (HYPT6) [MIM:607903]: A condition characterized by the presence of less than the normal amount of hair and abnormal hair follicles and shafts, which are thin and atrophic. The disorder affects the trunk and extremities as well as the scalp, and the eyebrows and eyelashes may also be involved, whereas beard, pubic, and axillary hairs are largely spared. In addition, patients can develop hyperkeratotic follicular papules, erythema, and pruritus in affected areas. In some patients with congenital hypotrichosis, monilethrix-like hairs showing elliptical nodes have been observed. {ECO:0000269|PubMed:15191570}. Note=The disease is caused by mutations affecting the gene represented in this entry.; DISEASE: Note=Autoantibodies against DSG4 are found in patients with pemphigus vulgaris. Pemphigus vulgaris is a potentially lethal skin disease in which epidermal blisters occur as the result of the loss of cell-cell adhesion.; </t>
        </is>
      </c>
      <c r="F236" t="inlineStr">
        <is>
          <t xml:space="preserve">TISSUE SPECIFICITY: Highly expressed in skin, testis and prostate; less in salivary gland. In scalp follicles, present in the inner root sheath (IRS) and all layers of the matrix and precortex. {ECO:0000269|PubMed:12648213, ECO:0000269|PubMed:12705872}.; </t>
        </is>
      </c>
      <c r="G236" t="inlineStr">
        <is>
          <t>testis;</t>
        </is>
      </c>
      <c r="H236" t="inlineStr">
        <is>
          <t>.</t>
        </is>
      </c>
      <c r="I236">
        <f>HYPERLINK("https://omim.org/entry/607903", "607903")</f>
        <v/>
      </c>
      <c r="J236" t="inlineStr">
        <is>
          <t>.</t>
        </is>
      </c>
      <c r="K236" t="inlineStr">
        <is>
          <t>.</t>
        </is>
      </c>
      <c r="L236" t="inlineStr">
        <is>
          <t>.</t>
        </is>
      </c>
      <c r="M236" t="inlineStr">
        <is>
          <t>.</t>
        </is>
      </c>
      <c r="N236" t="inlineStr">
        <is>
          <t>.</t>
        </is>
      </c>
      <c r="O236" t="inlineStr">
        <is>
          <t>.</t>
        </is>
      </c>
    </row>
    <row r="237">
      <c r="A237" t="inlineStr">
        <is>
          <t>DSPP</t>
        </is>
      </c>
      <c r="B237" t="inlineStr">
        <is>
          <t>0.000618023464984046</t>
        </is>
      </c>
      <c r="C237" t="inlineStr">
        <is>
          <t>dentin sialophosphoprotein</t>
        </is>
      </c>
      <c r="D237" t="inlineStr">
        <is>
          <t xml:space="preserve">FUNCTION: DSP may be an important factor in dentinogenesis. DPP may bind high amount of calcium and facilitate initial mineralization of dentin matrix collagen as well as regulate the size and shape of the crystals.; </t>
        </is>
      </c>
      <c r="E237" t="inlineStr">
        <is>
          <t xml:space="preserve">DISEASE: Deafness, autosomal dominant, 39, with dentinogenesis imperfecta 1 (DFNA39/DGI1) [MIM:605594]: A disorder characterized by the association of progressive sensorineural high-frequency hearing loss with dentinogenesis imperfecta. {ECO:0000269|PubMed:11175790}. Note=The disease is caused by mutations affecting the gene represented in this entry.; DISEASE: Dentinogenesis imperfecta, Shields type 2 (DGI2) [MIM:125490]: A form of dentinogenesis imperfecta, an autosomal dominant dentin disorder characterized by amber-brown, opalescent teeth that fracture and shed their enamel during mastication, thereby exposing the dentin to rapid wear. Radiographically, the crown appears bulbous and pulpal obliteration is common. The pulp chambers are initially larger than normal prior and immediately after tooth eruption, and then progressively close down to become almost obliterated by abnormal dentin formation. Roots are short and thin. Both primary and permanent teeth are affected. DGI2 is not associated with osteogenesis imperfecta. {ECO:0000269|PubMed:11175779, ECO:0000269|PubMed:14758537, ECO:0000269|PubMed:17627120, ECO:0000269|PubMed:21029264}. Note=The disease is caused by mutations affecting the gene represented in this entry. DSPP defects causing dentin abnormalities act in a dominant negative manner and include missense, splice-site, frameshift mutations. 5' frameshift mutations cause dentin dysplasia while frameshift mutations at the 3' end cause the more severe dentinogenesis imperfecta phenotype (PubMed:18521831 and PubMed:22392858).; DISEASE: Dentinogenesis imperfecta, Shields type 3 (DGI3) [MIM:125500]: A form of dentinogenesis imperfecta, an autosomal dominant dentin disorder characterized by amber-brown, opalescent teeth that fracture and shed their enamel during mastication, thereby exposing the dentin to rapid wear. Radiographically, the crown appears bulbous and pulpal obliteration is common. The pulp chambers are initially larger than normal prior and immediately after tooth eruption, and then progressively close down to become almost obliterated by abnormal dentin formation. Roots are short and thin. Both primary and permanent teeth are affected. DGI3 teeth typically manifest multiple periapical radiolucencies. DGI3 is not associated with osteogenesis imperfecta. {ECO:0000269|PubMed:15592686, ECO:0000269|PubMed:18521831, ECO:0000269|PubMed:23509818}. Note=The disease is caused by mutations affecting the gene represented in this entry. DSPP defects causing dentin abnormalities act in a dominant negative manner and include missense, splice-site, frameshift mutations. 5' frameshift mutations cause dentin dysplasia while frameshift mutations at the 3' end cause the more severe dentinogenesis imperfecta phenotype (PubMed:18521831 and PubMed:22392858).; DISEASE: Dentin dysplasia 2 (DTDP2) [MIM:125420]: A dental defect in which the deciduous teeth are opalescent. The permanent teeth are of normal shape, form, and color in most cases. The root length is normal. On radiographs, the pulp chambers of permanent teeth are obliterated, have a thistle-tube deformity and contain pulp stones. {ECO:0000269|PubMed:12354781, ECO:0000269|PubMed:18521831}. Note=The disease is caused by mutations affecting the gene represented in this entry. DSPP defects causing dentin abnormalities act in a dominant negative manner and include missense, splice-site, frameshift mutations. 5' frameshift mutations cause dentin dysplasia while frameshift mutations at the 3' end cause the more severe dentinogenesis imperfecta phenotype (PubMed:18521831, PubMed:22392858). {ECO:0000269|PubMed:18521831, ECO:0000269|PubMed:22392858}.; </t>
        </is>
      </c>
      <c r="F237" t="inlineStr">
        <is>
          <t xml:space="preserve">TISSUE SPECIFICITY: Expressed in teeth. DPP is synthesized by odontoblast and transiently expressed by pre-ameloblasts.; </t>
        </is>
      </c>
      <c r="G237" t="inlineStr">
        <is>
          <t>kidney;</t>
        </is>
      </c>
      <c r="H237" t="inlineStr">
        <is>
          <t>skeletal muscle;</t>
        </is>
      </c>
      <c r="I237">
        <f>HYPERLINK("https://omim.org/entry/605594", "605594")</f>
        <v/>
      </c>
      <c r="J237">
        <f>HYPERLINK("https://omim.org/entry/125490", "125490")</f>
        <v/>
      </c>
      <c r="K237">
        <f>HYPERLINK("https://omim.org/entry/125500", "125500")</f>
        <v/>
      </c>
      <c r="L237">
        <f>HYPERLINK("https://omim.org/entry/125420", "125420")</f>
        <v/>
      </c>
      <c r="M237" t="inlineStr">
        <is>
          <t>.</t>
        </is>
      </c>
      <c r="N237" t="inlineStr">
        <is>
          <t>.</t>
        </is>
      </c>
      <c r="O237" t="inlineStr">
        <is>
          <t>.</t>
        </is>
      </c>
    </row>
    <row r="238">
      <c r="A238" t="inlineStr">
        <is>
          <t>DST</t>
        </is>
      </c>
      <c r="B238" t="inlineStr">
        <is>
          <t>0.99999999999999</t>
        </is>
      </c>
      <c r="C238" t="inlineStr">
        <is>
          <t>dystonin</t>
        </is>
      </c>
      <c r="D238" t="inlineStr">
        <is>
          <t xml:space="preserve">FUNCTION: Cytoskeletal linker protein. Acts as an integrator of intermediate filaments, actin and microtubule cytoskeleton networks. Required for anchoring either intermediate filaments to the actin cytoskeleton in neural and muscle cells or keratin- containing intermediate filaments to hemidesmosomes in epithelial cells. The proteins may self-aggregate to form filaments or a two- dimensional mesh.; FUNCTION: Isoform 6: required for bundling actin filaments around the nucleus. {ECO:0000250, ECO:0000269|PubMed:10428034, ECO:0000269|PubMed:12482924, ECO:0000269|PubMed:19403692}.; </t>
        </is>
      </c>
      <c r="E238" t="inlineStr">
        <is>
          <t xml:space="preserve">DISEASE: Neuropathy, hereditary sensory and autonomic, 6 (HSAN6) [MIM:614653]: A form of hereditary sensory and autonomic neuropathy, a genetically and clinically heterogeneous group of disorders characterized by degeneration of dorsal root and autonomic ganglion cells, and by sensory and/or autonomic abnormalities. HSAN6 is a severe autosomal recessive disorder characterized by neonatal hypotonia, respiratory and feeding difficulties, lack of psychomotor development, and autonomic abnormalities including labile cardiovascular function, lack of corneal reflexes leading to corneal scarring, areflexia, and absent axonal flare response after intradermal histamine injection. {ECO:0000269|PubMed:22522446}. Note=The disease is caused by mutations affecting the gene represented in this entry.; DISEASE: Epidermolysis bullosa simplex, autosomal recessive 2 (EBSB2) [MIM:615425]: A form of epidermolysis bullosa, a dermatologic disorder characterized by localized blistering on the dorsal, lateral and plantar surfaces of the feet. EBSB2 is characterized by trauma-induced blistering mainly occurring on the feet and ankles. Ultrastructural analysis of skin biopsy shows abnormal hemidesmosomes with poorly formed inner plaques. {ECO:0000269|PubMed:20164846, ECO:0000269|PubMed:22113475}. Note=The disease is caused by mutations affecting the gene represented in this entry.; </t>
        </is>
      </c>
      <c r="F238" t="inlineStr">
        <is>
          <t xml:space="preserve">TISSUE SPECIFICITY: Isoform 1 is expressed in myoblasts (at protein level). Isoform 3 is expressed in the skin. Isoform 6 is expressed in the brain. Highly expressed in skeletal muscle and cultured keratinocytes. {ECO:0000269|PubMed:11751855, ECO:0000269|PubMed:19932097, ECO:0000269|PubMed:8752219}.; </t>
        </is>
      </c>
      <c r="G238" t="inlineStr">
        <is>
          <t>myocardium;ovary;sympathetic chain;skin;bone marrow;retina;prostate;optic nerve;frontal lobe;cochlea;endometrium;thyroid;amniotic fluid;bladder;brain;heart;cartilage;tongue;urinary;blood;lens;skeletal muscle;breast;macula lutea;liver;spleen;cervix;colon;parathyroid;fovea centralis;choroid;uterus;whole body;cerebral cortex;larynx;bone;pituitary gland;testis;spinal ganglion;artery;unclassifiable (Anatomical System);lacrimal gland;islets of Langerhans;hypothalamus;bile duct;pancreas;lung;adrenal gland;placenta;duodenum;hypopharynx;head and neck;kidney;stomach;aorta;</t>
        </is>
      </c>
      <c r="H238" t="inlineStr">
        <is>
          <t>amygdala;dorsal root ganglion;occipital lobe;medulla oblongata;thalamus;superior cervical ganglion;tongue;hypothalamus;spinal cord;pons;atrioventricular node;caudate nucleus;skin;skeletal muscle;uterus;subthalamic nucleus;prefrontal cortex;globus pallidus;ciliary ganglion;trigeminal ganglion;cingulate cortex;parietal lobe;</t>
        </is>
      </c>
      <c r="I238">
        <f>HYPERLINK("https://omim.org/entry/614653", "614653")</f>
        <v/>
      </c>
      <c r="J238">
        <f>HYPERLINK("https://omim.org/entry/615425", "615425")</f>
        <v/>
      </c>
      <c r="K238" t="inlineStr">
        <is>
          <t>.</t>
        </is>
      </c>
      <c r="L238" t="inlineStr">
        <is>
          <t>.</t>
        </is>
      </c>
      <c r="M238" t="inlineStr">
        <is>
          <t>.</t>
        </is>
      </c>
      <c r="N238" t="inlineStr">
        <is>
          <t>.</t>
        </is>
      </c>
      <c r="O238" t="inlineStr">
        <is>
          <t>.</t>
        </is>
      </c>
    </row>
    <row r="239">
      <c r="A239" t="inlineStr">
        <is>
          <t>DUS1L</t>
        </is>
      </c>
      <c r="B239" t="inlineStr">
        <is>
          <t>1.5346357409002e-06</t>
        </is>
      </c>
      <c r="C239" t="inlineStr">
        <is>
          <t>dihydrouridine synthase 1 like</t>
        </is>
      </c>
      <c r="D239" t="inlineStr">
        <is>
          <t xml:space="preserve">FUNCTION: Catalyzes the synthesis of dihydrouridine, a modified base found in the D-loop of most tRNAs. {ECO:0000250}.; </t>
        </is>
      </c>
      <c r="E239" t="inlineStr">
        <is>
          <t>.</t>
        </is>
      </c>
      <c r="F239" t="inlineStr">
        <is>
          <t>.</t>
        </is>
      </c>
      <c r="G239" t="inlineStr">
        <is>
          <t>medulla oblongata;ovary;salivary gland;intestine;colon;parathyroid;skin;retina;bone marrow;uterus;prostate;optic nerve;oesophagus;endometrium;larynx;bone;thyroid;testis;germinal center;bladder;brain;artery;unclassifiable (Anatomical System);cartilage;heart;islets of Langerhans;hypothalamus;urinary;pharynx;blood;lens;skeletal muscle;breast;pancreas;lung;placenta;visual apparatus;hypopharynx;alveolus;liver;head and neck;spleen;cervix;kidney;mammary gland;stomach;aorta;</t>
        </is>
      </c>
      <c r="H239" t="inlineStr">
        <is>
          <t>testis - seminiferous tubule;liver;testis;atrioventricular node;</t>
        </is>
      </c>
      <c r="I239" t="inlineStr">
        <is>
          <t>.</t>
        </is>
      </c>
      <c r="J239" t="inlineStr">
        <is>
          <t>.</t>
        </is>
      </c>
      <c r="K239" t="inlineStr">
        <is>
          <t>.</t>
        </is>
      </c>
      <c r="L239" t="inlineStr">
        <is>
          <t>.</t>
        </is>
      </c>
      <c r="M239" t="inlineStr">
        <is>
          <t>.</t>
        </is>
      </c>
      <c r="N239" t="inlineStr">
        <is>
          <t>.</t>
        </is>
      </c>
      <c r="O239" t="inlineStr">
        <is>
          <t>.</t>
        </is>
      </c>
    </row>
    <row r="240">
      <c r="A240" t="inlineStr">
        <is>
          <t>EDEM3</t>
        </is>
      </c>
      <c r="B240" t="inlineStr">
        <is>
          <t>0.122702493142942</t>
        </is>
      </c>
      <c r="C240" t="inlineStr">
        <is>
          <t>ER degradation enhancer, mannosidase alpha-like 3</t>
        </is>
      </c>
      <c r="D240" t="inlineStr">
        <is>
          <t xml:space="preserve">FUNCTION: Involved in endoplasmic reticulum-associated degradation (ERAD). Accelerates the glycoprotein ERAD by proteasomes, by catalyzing mannose trimming from Man8GlcNAc2 to Man7GlcNAc2 in the N-glycans. Seems to have alpha 1,2-mannosidase activity (By similarity). {ECO:0000250, ECO:0000269|PubMed:25092655}.; </t>
        </is>
      </c>
      <c r="E240" t="inlineStr">
        <is>
          <t>.</t>
        </is>
      </c>
      <c r="F240" t="inlineStr">
        <is>
          <t>.</t>
        </is>
      </c>
      <c r="G240" t="inlineStr">
        <is>
          <t>ovary;colon;parathyroid;skin;retina;bone marrow;uterus;prostate;whole body;frontal lobe;endometrium;larynx;bone;thyroid;testis;germinal center;brain;unclassifiable (Anatomical System);cartilage;heart;lacrimal gland;islets of Langerhans;hypothalamus;urinary;blood;skeletal muscle;pancreas;lung;nasopharynx;placenta;visual apparatus;liver;spleen;head and neck;cervix;kidney;stomach;thymus;</t>
        </is>
      </c>
      <c r="H240" t="inlineStr">
        <is>
          <t>dorsal root ganglion;testis - interstitial;superior cervical ganglion;globus pallidus;ciliary ganglion;atrioventricular node;trigeminal ganglion;</t>
        </is>
      </c>
      <c r="I240" t="inlineStr">
        <is>
          <t>.</t>
        </is>
      </c>
      <c r="J240" t="inlineStr">
        <is>
          <t>.</t>
        </is>
      </c>
      <c r="K240" t="inlineStr">
        <is>
          <t>.</t>
        </is>
      </c>
      <c r="L240" t="inlineStr">
        <is>
          <t>.</t>
        </is>
      </c>
      <c r="M240" t="inlineStr">
        <is>
          <t>.</t>
        </is>
      </c>
      <c r="N240" t="inlineStr">
        <is>
          <t>.</t>
        </is>
      </c>
      <c r="O240" t="inlineStr">
        <is>
          <t>.</t>
        </is>
      </c>
    </row>
    <row r="241">
      <c r="A241" t="inlineStr">
        <is>
          <t>EGLN2</t>
        </is>
      </c>
      <c r="B241" t="inlineStr">
        <is>
          <t>0.286988738826209</t>
        </is>
      </c>
      <c r="C241" t="inlineStr">
        <is>
          <t>egl-9 family hypoxia-inducible factor 2</t>
        </is>
      </c>
      <c r="D241" t="inlineStr">
        <is>
          <t xml:space="preserve">FUNCTION: Cellular oxygen sensor that catalyzes, under normoxic conditions, the post-translational formation of 4-hydroxyproline in hypoxia-inducible factor (HIF) alpha proteins. Hydroxylates a specific proline found in each of the oxygen-dependent degradation (ODD) domains (N-terminal, NODD, and C-terminal, CODD) of HIF1A. Also hydroxylates HIF2A. Has a preference for the CODD site for both HIF1A and HIF2A. Hydroxylated HIFs are then targeted for proteasomal degradation via the von Hippel-Lindau ubiquitination complex. Under hypoxic conditions, the hydroxylation reaction is attenuated allowing HIFs to escape degradation resulting in their translocation to the nucleus, heterodimerization with HIF1B, and increased expression of hypoxy-inducible genes. EGLN2 is involved in regulating hypoxia tolerance and apoptosis in cardiac and skeletal muscle. Also regulates susceptibility to normoxic oxidative neuronal death. Links oxygen sensing to cell cycle and primary cilia formation by hydroxylating the critical centrosome component CEP192 which promotes its ubiquitination and subsequent proteasomal degradation. Hydroxylates IKBKB, mediating NF-kappaB activation in hypoxic conditions. Target proteins are preferentially recognized via a LXXLAP motif. {ECO:0000269|PubMed:11595184, ECO:0000269|PubMed:12181324, ECO:0000269|PubMed:16509823, ECO:0000269|PubMed:17114296, ECO:0000269|PubMed:19339211, ECO:0000269|PubMed:23932902}.; </t>
        </is>
      </c>
      <c r="E241" t="inlineStr">
        <is>
          <t>.</t>
        </is>
      </c>
      <c r="F241" t="inlineStr">
        <is>
          <t xml:space="preserve">TISSUE SPECIFICITY: Expressed in adult and fetal heart, brain, liver, lung, skeletal muscle, and kidney. Also expressed in testis and placenta. Highest levels in adult brain, placenta, lung, kidney, and testis. Expressed in hormone responsive tissues, including normal and cancerous mammary, ovarian and prostate epithelium. {ECO:0000269|PubMed:12163023}.; </t>
        </is>
      </c>
      <c r="G241" t="inlineStr">
        <is>
          <t>smooth muscle;ovary;skin;retina;prostate;optic nerve;endometrium;germinal center;bladder;brain;heart;cartilage;tongue;pharynx;blood;lens;skeletal muscle;breast;epididymis;macula lutea;visual apparatus;liver;spleen;cervix;mammary gland;salivary gland;intestine;colon;parathyroid;fovea centralis;choroid;vein;uterus;whole body;synovium;bone;pituitary gland;testis;unclassifiable (Anatomical System);lymph node;islets of Langerhans;hypothalamus;muscle;pancreas;lung;placenta;hippocampus;duodenum;hypopharynx;head and neck;kidney;stomach;aorta;thymus;</t>
        </is>
      </c>
      <c r="H241" t="inlineStr">
        <is>
          <t>testis - interstitial;testis - seminiferous tubule;testis;</t>
        </is>
      </c>
      <c r="I241" t="inlineStr">
        <is>
          <t>.</t>
        </is>
      </c>
      <c r="J241" t="inlineStr">
        <is>
          <t>.</t>
        </is>
      </c>
      <c r="K241" t="inlineStr">
        <is>
          <t>.</t>
        </is>
      </c>
      <c r="L241" t="inlineStr">
        <is>
          <t>.</t>
        </is>
      </c>
      <c r="M241" t="inlineStr">
        <is>
          <t>.</t>
        </is>
      </c>
      <c r="N241" t="inlineStr">
        <is>
          <t>.</t>
        </is>
      </c>
      <c r="O241" t="inlineStr">
        <is>
          <t>.</t>
        </is>
      </c>
    </row>
    <row r="242">
      <c r="A242" t="inlineStr">
        <is>
          <t>EHBP1</t>
        </is>
      </c>
      <c r="B242" t="inlineStr">
        <is>
          <t>0.999748961950681</t>
        </is>
      </c>
      <c r="C242" t="inlineStr">
        <is>
          <t>EH domain binding protein 1</t>
        </is>
      </c>
      <c r="D242" t="inlineStr">
        <is>
          <t xml:space="preserve">FUNCTION: May play a role in actin reorganization. Links clathrin- mediated endocytosis to the actin cytoskeleton. {ECO:0000269|PubMed:14676205}.; </t>
        </is>
      </c>
      <c r="E242" t="inlineStr">
        <is>
          <t xml:space="preserve">DISEASE: Prostate cancer, hereditary, 12 (HPC12) [MIM:611868]: A condition associated with familial predisposition to cancer of the prostate. Most prostate cancers are adenocarcinomas that develop in the acini of the prostatic ducts. Other rare histopathologic types of prostate cancer that occur in approximately 5% of patients include small cell carcinoma, mucinous carcinoma, prostatic ductal carcinoma, transitional cell carcinoma, squamous cell carcinoma, basal cell carcinoma, adenoid cystic carcinoma (basaloid), signet-ring cell carcinoma and neuroendocrine carcinoma. {ECO:0000269|PubMed:18264098}. Note=Disease susceptibility is associated with variations affecting the gene represented in this entry.; </t>
        </is>
      </c>
      <c r="F242" t="inlineStr">
        <is>
          <t>.</t>
        </is>
      </c>
      <c r="G242" t="inlineStr">
        <is>
          <t>ovary;colon;parathyroid;skin;retina;bone marrow;uterus;prostate;optic nerve;whole body;frontal lobe;cochlea;cerebral cortex;endometrium;bone;thyroid;iris;testis;dura mater;spinal ganglion;brain;gall bladder;unclassifiable (Anatomical System);meninges;lymph node;cartilage;heart;lacrimal gland;islets of Langerhans;adrenal cortex;blood;pancreas;pia mater;lung;placenta;visual apparatus;liver;duodenum;spleen;head and neck;cervix;kidney;mammary gland;stomach;</t>
        </is>
      </c>
      <c r="H242" t="inlineStr">
        <is>
          <t>dorsal root ganglion;amygdala;superior cervical ganglion;thalamus;testis - interstitial;occipital lobe;olfactory bulb;hypothalamus;skin;subthalamic nucleus;fetal brain;prefrontal cortex;globus pallidus;ciliary ganglion;trigeminal ganglion;cingulate cortex;</t>
        </is>
      </c>
      <c r="I242">
        <f>HYPERLINK("https://omim.org/entry/611868", "611868")</f>
        <v/>
      </c>
      <c r="J242" t="inlineStr">
        <is>
          <t>.</t>
        </is>
      </c>
      <c r="K242" t="inlineStr">
        <is>
          <t>.</t>
        </is>
      </c>
      <c r="L242" t="inlineStr">
        <is>
          <t>.</t>
        </is>
      </c>
      <c r="M242" t="inlineStr">
        <is>
          <t>.</t>
        </is>
      </c>
      <c r="N242" t="inlineStr">
        <is>
          <t>.</t>
        </is>
      </c>
      <c r="O242" t="inlineStr">
        <is>
          <t>.</t>
        </is>
      </c>
    </row>
    <row r="243">
      <c r="A243" t="inlineStr">
        <is>
          <t>EIF3A</t>
        </is>
      </c>
      <c r="B243" t="inlineStr">
        <is>
          <t>0.999999999560078</t>
        </is>
      </c>
      <c r="C243" t="inlineStr">
        <is>
          <t>eukaryotic translation initiation factor 3 subunit A</t>
        </is>
      </c>
      <c r="D243" t="inlineStr">
        <is>
          <t xml:space="preserve">FUNCTION: Component of the eukaryotic translation initiation factor 3 (eIF-3) complex, which is required for several steps in the initiation of protein synthesis. The eIF-3 complex associates with the 40S ribosome and facilitates the recruitment of eIF-1, eIF-1A, eIF-2:GTP:methionyl-tRNAi and eIF-5 to form the 43S pre- initiation complex (43S PIC). The eIF-3 complex stimulates mRNA recruitment to the 43S PIC and scanning of the mRNA for AUG recognition. The eIF-3 complex is also required for disassembly and recycling of post-termination ribosomal complexes and subsequently prevents premature joining of the 40S and 60S ribosomal subunits prior to initiation. Essential for the initiation of translation on type-1 viral ribosomal entry sites (IRESs), like for HCV, PV, EV71 or BEV translation (PubMed:23766293, PubMed:24357634). In case of FCV infection, plays a role in the ribosomal termination-reinitiation event leading to the translation of VP2 (PubMed:18056426). {ECO:0000255|HAMAP-Rule:MF_03000, ECO:0000269|PubMed:11169732, ECO:0000269|PubMed:18056426, ECO:0000269|PubMed:23766293, ECO:0000269|PubMed:24357634}.; </t>
        </is>
      </c>
      <c r="E243" t="inlineStr">
        <is>
          <t>.</t>
        </is>
      </c>
      <c r="F243" t="inlineStr">
        <is>
          <t>.</t>
        </is>
      </c>
      <c r="G243" t="inlineStr">
        <is>
          <t>.</t>
        </is>
      </c>
      <c r="H243" t="inlineStr">
        <is>
          <t>.</t>
        </is>
      </c>
      <c r="I243" t="inlineStr">
        <is>
          <t>.</t>
        </is>
      </c>
      <c r="J243" t="inlineStr">
        <is>
          <t>.</t>
        </is>
      </c>
      <c r="K243" t="inlineStr">
        <is>
          <t>.</t>
        </is>
      </c>
      <c r="L243" t="inlineStr">
        <is>
          <t>.</t>
        </is>
      </c>
      <c r="M243" t="inlineStr">
        <is>
          <t>.</t>
        </is>
      </c>
      <c r="N243" t="inlineStr">
        <is>
          <t>.</t>
        </is>
      </c>
      <c r="O243" t="inlineStr">
        <is>
          <t>.</t>
        </is>
      </c>
    </row>
    <row r="244">
      <c r="A244" t="inlineStr">
        <is>
          <t>ELMO1</t>
        </is>
      </c>
      <c r="B244" t="inlineStr">
        <is>
          <t>0.993000631915938</t>
        </is>
      </c>
      <c r="C244" t="inlineStr">
        <is>
          <t>engulfment and cell motility 1</t>
        </is>
      </c>
      <c r="D244" t="inlineStr">
        <is>
          <t xml:space="preserve">FUNCTION: Involved in cytoskeletal rearrangements required for phagocytosis of apoptotic cells and cell motility. Acts in assocation with DOCK1 and CRK. Was initially proposed to be required in complex with DOCK1 to activate Rac Rho small GTPases. May enhance the guanine nucleotide exchange factor (GEF) activity of DOCK1. {ECO:0000269|PubMed:11595183, ECO:0000269|PubMed:12134158}.; </t>
        </is>
      </c>
      <c r="E244" t="inlineStr">
        <is>
          <t>.</t>
        </is>
      </c>
      <c r="F244" t="inlineStr">
        <is>
          <t xml:space="preserve">TISSUE SPECIFICITY: Widely expressed, with a higher expression in the spleen and placenta.; </t>
        </is>
      </c>
      <c r="G244" t="inlineStr">
        <is>
          <t>ovary;salivary gland;colon;fovea centralis;choroid;skin;retina;bone marrow;uterus;prostate;optic nerve;whole body;frontal lobe;larynx;bone;thyroid;testis;germinal center;brain;bladder;unclassifiable (Anatomical System);lymph node;heart;cerebellum cortex;islets of Langerhans;muscle;pharynx;blood;lens;skeletal muscle;breast;lung;nasopharynx;placenta;macula lutea;visual apparatus;hippocampus;liver;spleen;head and neck;kidney;mammary gland;cerebellum;</t>
        </is>
      </c>
      <c r="H244" t="inlineStr">
        <is>
          <t>whole brain;amygdala;medulla oblongata;occipital lobe;thalamus;subthalamic nucleus;cerebellum peduncles;temporal lobe;prefrontal cortex;globus pallidus;pons;cingulate cortex;parietal lobe;cerebellum;</t>
        </is>
      </c>
      <c r="I244" t="inlineStr">
        <is>
          <t>.</t>
        </is>
      </c>
      <c r="J244" t="inlineStr">
        <is>
          <t>.</t>
        </is>
      </c>
      <c r="K244" t="inlineStr">
        <is>
          <t>.</t>
        </is>
      </c>
      <c r="L244" t="inlineStr">
        <is>
          <t>.</t>
        </is>
      </c>
      <c r="M244" t="inlineStr">
        <is>
          <t>.</t>
        </is>
      </c>
      <c r="N244" t="inlineStr">
        <is>
          <t>.</t>
        </is>
      </c>
      <c r="O244" t="inlineStr">
        <is>
          <t>.</t>
        </is>
      </c>
    </row>
    <row r="245">
      <c r="A245" t="inlineStr">
        <is>
          <t>EMC9</t>
        </is>
      </c>
      <c r="B245" t="inlineStr">
        <is>
          <t>0.00035382769828854</t>
        </is>
      </c>
      <c r="C245" t="inlineStr">
        <is>
          <t>ER membrane protein complex subunit 9</t>
        </is>
      </c>
      <c r="D245" t="inlineStr">
        <is>
          <t>.</t>
        </is>
      </c>
      <c r="E245" t="inlineStr">
        <is>
          <t>.</t>
        </is>
      </c>
      <c r="F245" t="inlineStr">
        <is>
          <t>.</t>
        </is>
      </c>
      <c r="G245" t="inlineStr">
        <is>
          <t>.</t>
        </is>
      </c>
      <c r="H245" t="inlineStr">
        <is>
          <t>.</t>
        </is>
      </c>
      <c r="I245" t="inlineStr">
        <is>
          <t>.</t>
        </is>
      </c>
      <c r="J245" t="inlineStr">
        <is>
          <t>.</t>
        </is>
      </c>
      <c r="K245" t="inlineStr">
        <is>
          <t>.</t>
        </is>
      </c>
      <c r="L245" t="inlineStr">
        <is>
          <t>.</t>
        </is>
      </c>
      <c r="M245" t="inlineStr">
        <is>
          <t>.</t>
        </is>
      </c>
      <c r="N245" t="inlineStr">
        <is>
          <t>.</t>
        </is>
      </c>
      <c r="O245" t="inlineStr">
        <is>
          <t>.</t>
        </is>
      </c>
    </row>
    <row r="246">
      <c r="A246" t="inlineStr">
        <is>
          <t>EP300</t>
        </is>
      </c>
      <c r="B246" t="inlineStr">
        <is>
          <t>0.999999999999484</t>
        </is>
      </c>
      <c r="C246" t="inlineStr">
        <is>
          <t>E1A binding protein p300</t>
        </is>
      </c>
      <c r="D246" t="inlineStr">
        <is>
          <t xml:space="preserve">FUNCTION: Functions as histone acetyltransferase and regulates transcription via chromatin remodeling. Acetylates all four core histones in nucleosomes. Histone acetylation gives an epigenetic tag for transcriptional activation. Mediates cAMP-gene regulation by binding specifically to phosphorylated CREB protein. Mediates acetylation of histone H3 at 'Lys-122' (H3K122ac), a modification that localizes at the surface of the histone octamer and stimulates transcription, possibly by promoting nucleosome instability. Mediates acetylation of histone H3 at 'Lys-27' (H3K27ac). Also functions as acetyltransferase for nonhistone targets. Acetylates 'Lys-131' of ALX1 and acts as its coactivator. Acetylates SIRT2 and is proposed to indirectly increase the transcriptional activity of TP53 through acetylation and subsequent attenuation of SIRT2 deacetylase function. Acetylates HDAC1 leading to its inactivation and modulation of transcription. Acts as a TFAP2A-mediated transcriptional coactivator in presence of CITED2. Plays a role as a coactivator of NEUROD1-dependent transcription of the secretin and p21 genes and controls terminal differentiation of cells in the intestinal epithelium. Promotes cardiac myocyte enlargement. Can also mediate transcriptional repression. Binds to and may be involved in the transforming capacity of the adenovirus E1A protein. In case of HIV-1 infection, it is recruited by the viral protein Tat. Regulates Tat's transactivating activity and may help inducing chromatin remodeling of proviral genes. Acetylates FOXO1 and enhances its transcriptional activity. Acetylates BCL6 wich disrupts its ability to recruit histone deacetylases and hinders its transcriptional repressor activity. Participates in CLOCK or NPAS2-regulated rhythmic gene transcription; exhibits a circadian association with CLOCK or NPAS2, correlating with increase in PER1/2 mRNA and histone H3 acetylation on the PER1/2 promoter. Acetylates MTA1 at 'Lys-626' which is essential for its transcriptional coactivator activity (PubMed:10733570, PubMed:11430825, PubMed:11701890, PubMed:12402037, PubMed:12586840, PubMed:12929931, PubMed:14645221, PubMed:15186775, PubMed:15890677, PubMed:16617102, PubMed:16762839, PubMed:18722353, PubMed:18995842, PubMed:23415232, PubMed:23911289, PubMed:23934153, PubMed:8945521). Acetylates XBP1 isoform 2; acetylation increases protein stability of XBP1 isoform 2 and enhances its transcriptional activity (PubMed:20955178). Acetylates PCNA; acetylation promotes removal of chromatin-bound PCNA and its degradation during nucleotide excision repair (NER) (PubMed:24939902). Acetylates MEF2D. {ECO:0000269|PubMed:10733570, ECO:0000269|PubMed:11430825, ECO:0000269|PubMed:11701890, ECO:0000269|PubMed:12402037, ECO:0000269|PubMed:12586840, ECO:0000269|PubMed:12929931, ECO:0000269|PubMed:14645221, ECO:0000269|PubMed:15186775, ECO:0000269|PubMed:15890677, ECO:0000269|PubMed:16617102, ECO:0000269|PubMed:16762839, ECO:0000269|PubMed:18722353, ECO:0000269|PubMed:18995842, ECO:0000269|PubMed:21030595, ECO:0000269|PubMed:23415232, ECO:0000269|PubMed:23911289, ECO:0000269|PubMed:23934153, ECO:0000269|PubMed:24939902, ECO:0000269|PubMed:8945521, ECO:0000305|PubMed:20955178}.; </t>
        </is>
      </c>
      <c r="E246" t="inlineStr">
        <is>
          <t xml:space="preserve">DISEASE: Note=Defects in EP300 may play a role in epithelial cancer.; DISEASE: Note=Chromosomal aberrations involving EP300 may be a cause of acute myeloid leukemias. Translocation t(8;22)(p11;q13) with KAT6A.; DISEASE: Rubinstein-Taybi syndrome 2 (RSTS2) [MIM:613684]: A disorder characterized by craniofacial abnormalities, postnatal growth deficiency, broad thumbs, broad big toes, mental retardation and a propensity for development of malignancies. Some individuals with RSTS2 have less severe mental impairment, more severe microcephaly, and a greater degree of changes in facial bone structure than RSTS1 patients. {ECO:0000269|PubMed:15706485}. Note=The disease is caused by mutations affecting the gene represented in this entry.; </t>
        </is>
      </c>
      <c r="F246" t="inlineStr">
        <is>
          <t>.</t>
        </is>
      </c>
      <c r="G246" t="inlineStr">
        <is>
          <t>ovary;salivary gland;intestine;colon;parathyroid;skin;retina;bone marrow;uterus;prostate;atrium;whole body;frontal lobe;cerebral cortex;endometrium;larynx;thyroid;testis;amniotic fluid;germinal center;spinal ganglion;brain;bladder;unclassifiable (Anatomical System);lymph node;cartilage;heart;adrenal cortex;pharynx;blood;breast;lung;epididymis;nasopharynx;placenta;visual apparatus;duodenum;liver;spleen;head and neck;kidney;mammary gland;stomach;thymus;</t>
        </is>
      </c>
      <c r="H246" t="inlineStr">
        <is>
          <t>testis - interstitial;superior cervical ganglion;ciliary ganglion;pons;trigeminal ganglion;skeletal muscle;parietal lobe;</t>
        </is>
      </c>
      <c r="I246">
        <f>HYPERLINK("https://omim.org/entry/613684", "613684")</f>
        <v/>
      </c>
      <c r="J246" t="inlineStr">
        <is>
          <t>.</t>
        </is>
      </c>
      <c r="K246" t="inlineStr">
        <is>
          <t>.</t>
        </is>
      </c>
      <c r="L246" t="inlineStr">
        <is>
          <t>.</t>
        </is>
      </c>
      <c r="M246" t="inlineStr">
        <is>
          <t>.</t>
        </is>
      </c>
      <c r="N246" t="inlineStr">
        <is>
          <t>.</t>
        </is>
      </c>
      <c r="O246" t="inlineStr">
        <is>
          <t>.</t>
        </is>
      </c>
    </row>
    <row r="247">
      <c r="A247" t="inlineStr">
        <is>
          <t>EPAS1</t>
        </is>
      </c>
      <c r="B247" t="inlineStr">
        <is>
          <t>0.997628292931524</t>
        </is>
      </c>
      <c r="C247" t="inlineStr">
        <is>
          <t>endothelial PAS domain protein 1</t>
        </is>
      </c>
      <c r="D247" t="inlineStr">
        <is>
          <t xml:space="preserve">FUNCTION: Transcription factor involved in the induction of oxygen regulated genes. Binds to core DNA sequence 5'-[AG]CGTG-3' within the hypoxia response element (HRE) of target gene promoters. Regulates the vascular endothelial growth factor (VEGF) expression and seems to be implicated in the development of blood vessels and the tubular system of lung. May also play a role in the formation of the endothelium that gives rise to the blood brain barrier. Potent activator of the Tie-2 tyrosine kinase expression. Activation seems to require recruitment of transcriptional coactivators such as CREBPB and probably EP300. Interaction with redox regulatory protein APEX seems to activate CTAD.; </t>
        </is>
      </c>
      <c r="E247" t="inlineStr">
        <is>
          <t xml:space="preserve">DISEASE: Erythrocytosis, familial, 4 (ECYT4) [MIM:611783]: An autosomal dominant disorder characterized by increased serum red blood cell mass, elevated serum hemoglobin and hematocrit, and normal platelet and leukocyte counts. {ECO:0000269|PubMed:18184961, ECO:0000269|PubMed:18378852, ECO:0000269|PubMed:19208626, ECO:0000269|PubMed:22367913}. Note=The disease is caused by mutations affecting the gene represented in this entry.; </t>
        </is>
      </c>
      <c r="F247" t="inlineStr">
        <is>
          <t xml:space="preserve">TISSUE SPECIFICITY: Expressed in most tissues, with highest levels in placenta, lung and heart. Selectively expressed in endothelial cells.; </t>
        </is>
      </c>
      <c r="G247" t="inlineStr">
        <is>
          <t>smooth muscle;ovary;sympathetic chain;skin;retina;prostate;optic nerve;frontal lobe;thyroid;brain;gall bladder;tonsil;heart;cartilage;tongue;pharynx;blood;lens;skeletal muscle;breast;visual apparatus;liver;spleen;cervix;mammary gland;peripheral nerve;salivary gland;intestine;colon;parathyroid;choroid;uterus;whole body;atrium;cerebral cortex;larynx;bone;pituitary gland;testis;spinal ganglion;unclassifiable (Anatomical System);islets of Langerhans;bile duct;pancreas;lung;cornea;mesenchyma;adrenal gland;nasopharynx;placenta;head and neck;kidney;stomach;aorta;</t>
        </is>
      </c>
      <c r="H247" t="inlineStr">
        <is>
          <t>lung;placenta;fetal lung;skeletal muscle;</t>
        </is>
      </c>
      <c r="I247">
        <f>HYPERLINK("https://omim.org/entry/611783", "611783")</f>
        <v/>
      </c>
      <c r="J247" t="inlineStr">
        <is>
          <t>.</t>
        </is>
      </c>
      <c r="K247" t="inlineStr">
        <is>
          <t>.</t>
        </is>
      </c>
      <c r="L247" t="inlineStr">
        <is>
          <t>.</t>
        </is>
      </c>
      <c r="M247" t="inlineStr">
        <is>
          <t>.</t>
        </is>
      </c>
      <c r="N247" t="inlineStr">
        <is>
          <t>.</t>
        </is>
      </c>
      <c r="O247" t="inlineStr">
        <is>
          <t>.</t>
        </is>
      </c>
    </row>
    <row r="248">
      <c r="A248" t="inlineStr">
        <is>
          <t>EPB41L2</t>
        </is>
      </c>
      <c r="B248" t="inlineStr">
        <is>
          <t>0.993883457586741</t>
        </is>
      </c>
      <c r="C248" t="inlineStr">
        <is>
          <t>erythrocyte membrane protein band 4.1-like 2</t>
        </is>
      </c>
      <c r="D248" t="inlineStr">
        <is>
          <t>.</t>
        </is>
      </c>
      <c r="E248" t="inlineStr">
        <is>
          <t>.</t>
        </is>
      </c>
      <c r="F248" t="inlineStr">
        <is>
          <t xml:space="preserve">TISSUE SPECIFICITY: Widely expressed.; </t>
        </is>
      </c>
      <c r="G248" t="inlineStr">
        <is>
          <t>myocardium;lymphoreticular;ovary;skin;retina;prostate;optic nerve;cochlea;endometrium;thyroid;germinal center;brain;amygdala;heart;cartilage;adrenal cortex;blood;lens;skeletal muscle;breast;visual apparatus;macula lutea;liver;spleen;mammary gland;colon;parathyroid;choroid;fovea centralis;uterus;whole body;cerebral cortex;larynx;synovium;bone;testis;unclassifiable (Anatomical System);lymph node;lacrimal gland;islets of Langerhans;muscle;bile duct;pancreas;lung;placenta;hippocampus;duodenum;head and neck;kidney;stomach;</t>
        </is>
      </c>
      <c r="H248" t="inlineStr">
        <is>
          <t>dorsal root ganglion;superior cervical ganglion;olfactory bulb;testis;pons;trigeminal ganglion;</t>
        </is>
      </c>
      <c r="I248" t="inlineStr">
        <is>
          <t>.</t>
        </is>
      </c>
      <c r="J248" t="inlineStr">
        <is>
          <t>.</t>
        </is>
      </c>
      <c r="K248" t="inlineStr">
        <is>
          <t>.</t>
        </is>
      </c>
      <c r="L248" t="inlineStr">
        <is>
          <t>.</t>
        </is>
      </c>
      <c r="M248" t="inlineStr">
        <is>
          <t>.</t>
        </is>
      </c>
      <c r="N248" t="inlineStr">
        <is>
          <t>.</t>
        </is>
      </c>
      <c r="O248" t="inlineStr">
        <is>
          <t>.</t>
        </is>
      </c>
    </row>
    <row r="249">
      <c r="A249" t="inlineStr">
        <is>
          <t>EPB41L4A</t>
        </is>
      </c>
      <c r="B249" t="inlineStr">
        <is>
          <t>1.98631994116418e-11</t>
        </is>
      </c>
      <c r="C249" t="inlineStr">
        <is>
          <t>erythrocyte membrane protein band 4.1 like 4A</t>
        </is>
      </c>
      <c r="D249" t="inlineStr">
        <is>
          <t>.</t>
        </is>
      </c>
      <c r="E249" t="inlineStr">
        <is>
          <t>.</t>
        </is>
      </c>
      <c r="F249" t="inlineStr">
        <is>
          <t xml:space="preserve">TISSUE SPECIFICITY: Expressed in many tissues. High levels of expression in brain, liver, thymus and peripheral blood leukocytes and low levels of expression in heart, kidney, testis and colon.; </t>
        </is>
      </c>
      <c r="G249" t="inlineStr">
        <is>
          <t>unclassifiable (Anatomical System);heart;ovary;colon;parathyroid;blood;skeletal muscle;prostate;lung;placenta;testis;kidney;brain;spinal ganglion;stomach;thymus;</t>
        </is>
      </c>
      <c r="H249" t="inlineStr">
        <is>
          <t>dorsal root ganglion;superior cervical ganglion;placenta;ciliary ganglion;atrioventricular node;trigeminal ganglion;skin;</t>
        </is>
      </c>
      <c r="I249" t="inlineStr">
        <is>
          <t>.</t>
        </is>
      </c>
      <c r="J249" t="inlineStr">
        <is>
          <t>.</t>
        </is>
      </c>
      <c r="K249" t="inlineStr">
        <is>
          <t>.</t>
        </is>
      </c>
      <c r="L249" t="inlineStr">
        <is>
          <t>.</t>
        </is>
      </c>
      <c r="M249" t="inlineStr">
        <is>
          <t>.</t>
        </is>
      </c>
      <c r="N249" t="inlineStr">
        <is>
          <t>.</t>
        </is>
      </c>
      <c r="O249" t="inlineStr">
        <is>
          <t>.</t>
        </is>
      </c>
    </row>
    <row r="250">
      <c r="A250" t="inlineStr">
        <is>
          <t>EPS15</t>
        </is>
      </c>
      <c r="B250" t="inlineStr">
        <is>
          <t>0.241707066029501</t>
        </is>
      </c>
      <c r="C250" t="inlineStr">
        <is>
          <t>epidermal growth factor receptor pathway substrate 15</t>
        </is>
      </c>
      <c r="D250" t="inlineStr">
        <is>
          <t xml:space="preserve">FUNCTION: Involved in cell growth regulation. May be involved in the regulation of mitogenic signals and control of cell proliferation. Involved in the internalization of ligand-inducible receptors of the receptor tyrosine kinase (RTK) type, in particular EGFR. Plays a role in the assembly of clathrin-coated pits (CCPs). Acts as a clathrin adapter required for post-Golgi trafficking. Seems to be involved in CCPs maturation including invagination or budding. Involved in endocytosis of integrin beta- 1 (ITGB1) and transferrin receptor (TFR); internalization of ITGB1 as DAB2-dependent cargo but not TFR seems to require association with DAB2. {ECO:0000269|PubMed:16903783, ECO:0000269|PubMed:18362181, ECO:0000269|PubMed:19458185, ECO:0000269|PubMed:22648170}.; </t>
        </is>
      </c>
      <c r="E250" t="inlineStr">
        <is>
          <t xml:space="preserve">DISEASE: Note=A chromosomal aberration involving EPS15 is found in acute leukemias. Translocation t(1;11)(p32;q23) with KMT2A/MLL1. The result is a rogue activator protein.; </t>
        </is>
      </c>
      <c r="F250" t="inlineStr">
        <is>
          <t xml:space="preserve">TISSUE SPECIFICITY: Ubiquitously expressed.; </t>
        </is>
      </c>
      <c r="G250" t="inlineStr">
        <is>
          <t>.</t>
        </is>
      </c>
      <c r="H250" t="inlineStr">
        <is>
          <t>.</t>
        </is>
      </c>
      <c r="I250" t="inlineStr">
        <is>
          <t>.</t>
        </is>
      </c>
      <c r="J250" t="inlineStr">
        <is>
          <t>.</t>
        </is>
      </c>
      <c r="K250" t="inlineStr">
        <is>
          <t>.</t>
        </is>
      </c>
      <c r="L250" t="inlineStr">
        <is>
          <t>.</t>
        </is>
      </c>
      <c r="M250" t="inlineStr">
        <is>
          <t>.</t>
        </is>
      </c>
      <c r="N250" t="inlineStr">
        <is>
          <t>.</t>
        </is>
      </c>
      <c r="O250" t="inlineStr">
        <is>
          <t>.</t>
        </is>
      </c>
    </row>
    <row r="251">
      <c r="A251" t="inlineStr">
        <is>
          <t>ERBB3</t>
        </is>
      </c>
      <c r="B251" t="inlineStr">
        <is>
          <t>4.35825057327711e-06</t>
        </is>
      </c>
      <c r="C251" t="inlineStr">
        <is>
          <t>erb-b2 receptor tyrosine kinase 3</t>
        </is>
      </c>
      <c r="D251" t="inlineStr">
        <is>
          <t xml:space="preserve">FUNCTION: Binds and is activated by neuregulins and NTAK. May also be activated by CSPG5. {ECO:0000269|PubMed:15358134}.; </t>
        </is>
      </c>
      <c r="E251" t="inlineStr">
        <is>
          <t xml:space="preserve">DISEASE: Lethal congenital contracture syndrome 2 (LCCS2) [MIM:607598]: A form of lethal congenital contracture syndrome, an autosomal recessive disorder characterized by degeneration of anterior horn neurons, extreme skeletal muscle atrophy, and congenital non-progressive joint contractures (arthrogryposis). The contractures can involve the upper or lower limbs and/or the vertebral column, leading to various degrees of flexion or extension limitations evident at birth. LCCS2 patients manifest craniofacial/ocular findings, lack of hydrops, multiple pterygia, and fractures, as well as a normal duration of pregnancy and a unique feature of a markedly distended urinary bladder (neurogenic bladder defect). The phenotype suggests a spinal cord neuropathic etiology. {ECO:0000269|PubMed:17701904}. Note=The disease is caused by mutations affecting the gene represented in this entry.; </t>
        </is>
      </c>
      <c r="F251" t="inlineStr">
        <is>
          <t xml:space="preserve">TISSUE SPECIFICITY: Epithelial tissues and brain.; </t>
        </is>
      </c>
      <c r="G251" t="inlineStr">
        <is>
          <t>ovary;sympathetic chain;colon;parathyroid;skin;uterus;prostate;optic nerve;endometrium;larynx;testis;amniotic fluid;spinal ganglion;brain;unclassifiable (Anatomical System);heart;islets of Langerhans;spinal cord;skeletal muscle;bile duct;breast;pancreas;lung;adrenal gland;placenta;hippocampus;liver;hypopharynx;spleen;head and neck;cervix;kidney;mammary gland;stomach;aorta;</t>
        </is>
      </c>
      <c r="H251" t="inlineStr">
        <is>
          <t>dorsal root ganglion;superior cervical ganglion;occipital lobe;olfactory bulb;atrioventricular node;kidney;caudate nucleus;trigeminal ganglion;parietal lobe;</t>
        </is>
      </c>
      <c r="I251">
        <f>HYPERLINK("https://omim.org/entry/607598", "607598")</f>
        <v/>
      </c>
      <c r="J251" t="inlineStr">
        <is>
          <t>.</t>
        </is>
      </c>
      <c r="K251" t="inlineStr">
        <is>
          <t>.</t>
        </is>
      </c>
      <c r="L251" t="inlineStr">
        <is>
          <t>.</t>
        </is>
      </c>
      <c r="M251" t="inlineStr">
        <is>
          <t>.</t>
        </is>
      </c>
      <c r="N251" t="inlineStr">
        <is>
          <t>.</t>
        </is>
      </c>
      <c r="O251" t="inlineStr">
        <is>
          <t>.</t>
        </is>
      </c>
    </row>
    <row r="252">
      <c r="A252" t="inlineStr">
        <is>
          <t>ERCC6</t>
        </is>
      </c>
      <c r="B252" t="inlineStr">
        <is>
          <t>5.00691675988158e-13</t>
        </is>
      </c>
      <c r="C252" t="inlineStr">
        <is>
          <t>excision repair cross-complementation group 6</t>
        </is>
      </c>
      <c r="D252" t="inlineStr">
        <is>
          <t xml:space="preserve">FUNCTION: Essential factor involved in transcription-coupled nucleotide excision repair which allows RNA polymerase II-blocking lesions to be rapidly removed from the transcribed strand of active genes. Upon DNA-binding, it locally modifies DNA conformation by wrapping the DNA around itself, thereby modifying the interface between stalled RNA polymerase II and DNA. It is required for transcription-coupled repair complex formation. It recruits the CSA complex (DCX(ERCC8) complex), nucleotide excision repair proteins and EP300 to the at sites of RNA polymerase II- blocking lesions. {ECO:0000269|PubMed:15548521, ECO:0000269|PubMed:16916636, ECO:0000269|PubMed:20541997}.; </t>
        </is>
      </c>
      <c r="E252" t="inlineStr">
        <is>
          <t xml:space="preserve">DISEASE: Cockayne syndrome B (CSB) [MIM:133540]: A rare disorder characterized by cutaneous sensitivity to sunlight, abnormal and slow growth, cachectic dwarfism, progeroid appearance, progressive pigmentary retinopathy and sensorineural deafness. There is delayed neural development and severe progressive neurologic degeneration resulting in mental retardation. Two clinical forms are recognized: in the classical form or Cockayne syndrome type 1, the symptoms are progressive and typically become apparent within the first few years or life; the less common Cockayne syndrome type 2 is characterized by more severe symptoms that manifest prenatally. Cockayne syndrome shows some overlap with certain forms of xeroderma pigmentosum. Unlike xeroderma pigmentosum, patients with Cockayne syndrome do not manifest increased freckling and other pigmentation abnormalities in the skin and have no significant increase in skin cancer. {ECO:0000269|PubMed:19894250, ECO:0000269|PubMed:9443879}. Note=The disease is caused by mutations affecting the gene represented in this entry.; DISEASE: Cerebro-oculo-facio-skeletal syndrome 1 (COFS1) [MIM:214150]: A disorder of prenatal onset characterized by microcephaly, congenital cataracts, facial dysmorphism, neurogenic arthrogryposis, growth failure and severe psychomotor retardation. COFS is considered to be part of the nucleotide-excision repair disorders spectrum that include also xeroderma pigmentosum, trichothiodystrophy and Cockayne syndrome. {ECO:0000269|PubMed:19894250}. Note=The disease is caused by mutations affecting the gene represented in this entry.; DISEASE: De Sanctis-Cacchione syndrome (DSC) [MIM:278800]: An autosomal recessive syndrome consisting of xeroderma pigmentosum associated with severe neurological and developmental involvement. In addition to the clinical signs of xeroderma pigmentosum, patients present with mental retardation, dwarfism, gonadal hypoplasia, microcephaly and various neurologic complications of early onset. Note=The disease is caused by mutations affecting the gene represented in this entry.; DISEASE: Macular degeneration, age-related, 5 (ARMD5) [MIM:613761]: A form of age-related macular degeneration, a multifactorial eye disease and the most common cause of irreversible vision loss in the developed world. In most patients, the disease is manifest as ophthalmoscopically visible yellowish accumulations of protein and lipid that lie beneath the retinal pigment epithelium and within an elastin-containing structure known as Bruch membrane. {ECO:0000269|PubMed:16754848}. Note=Disease susceptibility is associated with variations affecting the gene represented in this entry.; DISEASE: UV-sensitive syndrome 1 (UVSS1) [MIM:600630]: An autosomal recessive disorder characterized by cutaneous photosensitivity and mild freckling in the absence of neurological abnormalities or skin tumors. {ECO:0000269|PubMed:15486090}. Note=The disease is caused by mutations affecting the gene represented in this entry.; </t>
        </is>
      </c>
      <c r="F252" t="inlineStr">
        <is>
          <t>.</t>
        </is>
      </c>
      <c r="G252" t="inlineStr">
        <is>
          <t>unclassifiable (Anatomical System);lymphoreticular;lung;testis;colon;blood;skeletal muscle;bone marrow;</t>
        </is>
      </c>
      <c r="H252" t="inlineStr">
        <is>
          <t>superior cervical ganglion;ciliary ganglion;pons;trigeminal ganglion;skeletal muscle;skin;</t>
        </is>
      </c>
      <c r="I252">
        <f>HYPERLINK("https://omim.org/entry/133540", "133540")</f>
        <v/>
      </c>
      <c r="J252">
        <f>HYPERLINK("https://omim.org/entry/214150", "214150")</f>
        <v/>
      </c>
      <c r="K252">
        <f>HYPERLINK("https://omim.org/entry/278800", "278800")</f>
        <v/>
      </c>
      <c r="L252">
        <f>HYPERLINK("https://omim.org/entry/613761", "613761")</f>
        <v/>
      </c>
      <c r="M252">
        <f>HYPERLINK("https://omim.org/entry/600630", "600630")</f>
        <v/>
      </c>
      <c r="N252" t="inlineStr">
        <is>
          <t>.</t>
        </is>
      </c>
      <c r="O252" t="inlineStr">
        <is>
          <t>.</t>
        </is>
      </c>
    </row>
    <row r="253">
      <c r="A253" t="inlineStr">
        <is>
          <t>ERI2</t>
        </is>
      </c>
      <c r="B253" t="inlineStr">
        <is>
          <t>6.38834089545038e-05</t>
        </is>
      </c>
      <c r="C253" t="inlineStr">
        <is>
          <t>ERI1 exoribonuclease family member 2</t>
        </is>
      </c>
      <c r="D253" t="inlineStr">
        <is>
          <t>.</t>
        </is>
      </c>
      <c r="E253" t="inlineStr">
        <is>
          <t>.</t>
        </is>
      </c>
      <c r="F253" t="inlineStr">
        <is>
          <t>.</t>
        </is>
      </c>
      <c r="G253" t="inlineStr">
        <is>
          <t>medulla oblongata;smooth muscle;ovary;colon;parathyroid;skin;uterus;prostate;whole body;cochlea;endometrium;bone;testis;germinal center;brain;bladder;unclassifiable (Anatomical System);lymph node;heart;skeletal muscle;breast;lung;placenta;liver;spleen;cervix;kidney;mammary gland;peripheral nerve;thymus;</t>
        </is>
      </c>
      <c r="H253" t="inlineStr">
        <is>
          <t>dorsal root ganglion;superior cervical ganglion;ciliary ganglion;trigeminal ganglion;</t>
        </is>
      </c>
      <c r="I253" t="inlineStr">
        <is>
          <t>.</t>
        </is>
      </c>
      <c r="J253" t="inlineStr">
        <is>
          <t>.</t>
        </is>
      </c>
      <c r="K253" t="inlineStr">
        <is>
          <t>.</t>
        </is>
      </c>
      <c r="L253" t="inlineStr">
        <is>
          <t>.</t>
        </is>
      </c>
      <c r="M253" t="inlineStr">
        <is>
          <t>.</t>
        </is>
      </c>
      <c r="N253" t="inlineStr">
        <is>
          <t>.</t>
        </is>
      </c>
      <c r="O253" t="inlineStr">
        <is>
          <t>.</t>
        </is>
      </c>
    </row>
    <row r="254">
      <c r="A254" t="inlineStr">
        <is>
          <t>ESYT1</t>
        </is>
      </c>
      <c r="B254" t="inlineStr">
        <is>
          <t>2.14071709405869e-07</t>
        </is>
      </c>
      <c r="C254" t="inlineStr">
        <is>
          <t>extended synaptotagmin protein 1</t>
        </is>
      </c>
      <c r="D254" t="inlineStr">
        <is>
          <t xml:space="preserve">FUNCTION: Binds glycerophospholipids in a barrel-like domain and may play a role in cellular lipid transport (By similarity). Binds calcium (via the C2 domains) and translocates to sites of contact between the endoplasmic reticulum and the cell membrane in response to increased cytosolic calcium levels. Helps tether the endoplasmic reticulum to the cell membrane and promotes the formation of appositions between the endoplasmic reticulum and the cell membrane. {ECO:0000250, ECO:0000269|PubMed:23791178, ECO:0000269|PubMed:24183667}.; </t>
        </is>
      </c>
      <c r="E254" t="inlineStr">
        <is>
          <t>.</t>
        </is>
      </c>
      <c r="F254" t="inlineStr">
        <is>
          <t xml:space="preserve">TISSUE SPECIFICITY: Widely expressed. {ECO:0000269|PubMed:17360437}.; </t>
        </is>
      </c>
      <c r="G254" t="inlineStr">
        <is>
          <t>lymphoreticular;ovary;sympathetic chain;skin;retina;bone marrow;prostate;optic nerve;frontal lobe;endometrium;thyroid;germinal center;bladder;brain;heart;adrenal cortex;pharynx;blood;lens;skeletal muscle;breast;macula lutea;visual apparatus;liver;alveolus;spleen;mammary gland;peripheral nerve;salivary gland;intestine;colon;parathyroid;fovea centralis;choroid;vein;uterus;whole body;larynx;bone;testis;unclassifiable (Anatomical System);lymph node;trophoblast;islets of Langerhans;muscle;bile duct;pancreas;lung;cornea;nasopharynx;placenta;hippocampus;duodenum;head and neck;kidney;stomach;aorta;thymus;</t>
        </is>
      </c>
      <c r="H254" t="inlineStr">
        <is>
          <t>lung;adipose tissue;heart;placenta;white blood cells;whole blood;thymus;</t>
        </is>
      </c>
      <c r="I254" t="inlineStr">
        <is>
          <t>.</t>
        </is>
      </c>
      <c r="J254" t="inlineStr">
        <is>
          <t>.</t>
        </is>
      </c>
      <c r="K254" t="inlineStr">
        <is>
          <t>.</t>
        </is>
      </c>
      <c r="L254" t="inlineStr">
        <is>
          <t>.</t>
        </is>
      </c>
      <c r="M254" t="inlineStr">
        <is>
          <t>.</t>
        </is>
      </c>
      <c r="N254" t="inlineStr">
        <is>
          <t>.</t>
        </is>
      </c>
      <c r="O254" t="inlineStr">
        <is>
          <t>.</t>
        </is>
      </c>
    </row>
    <row r="255">
      <c r="A255" t="inlineStr">
        <is>
          <t>EVPL</t>
        </is>
      </c>
      <c r="B255" t="inlineStr">
        <is>
          <t>6.48709103471533e-14</t>
        </is>
      </c>
      <c r="C255" t="inlineStr">
        <is>
          <t>envoplakin</t>
        </is>
      </c>
      <c r="D255" t="inlineStr">
        <is>
          <t xml:space="preserve">FUNCTION: Component of the cornified envelope of keratinocytes. May link the cornified envelope to desmosomes and intermediate filaments.; </t>
        </is>
      </c>
      <c r="E255" t="inlineStr">
        <is>
          <t>.</t>
        </is>
      </c>
      <c r="F255" t="inlineStr">
        <is>
          <t xml:space="preserve">TISSUE SPECIFICITY: Exclusively expressed in stratified squamous epithelia.; </t>
        </is>
      </c>
      <c r="G255" t="inlineStr">
        <is>
          <t>ovary;colon;parathyroid;fovea centralis;choroid;skin;retina;uterus;prostate;optic nerve;endometrium;larynx;thyroid;testis;bladder;unclassifiable (Anatomical System);heart;lens;breast;pancreas;lung;placenta;macula lutea;hypopharynx;head and neck;cervix;kidney;</t>
        </is>
      </c>
      <c r="H255" t="inlineStr">
        <is>
          <t>tongue;</t>
        </is>
      </c>
      <c r="I255" t="inlineStr">
        <is>
          <t>.</t>
        </is>
      </c>
      <c r="J255" t="inlineStr">
        <is>
          <t>.</t>
        </is>
      </c>
      <c r="K255" t="inlineStr">
        <is>
          <t>.</t>
        </is>
      </c>
      <c r="L255" t="inlineStr">
        <is>
          <t>.</t>
        </is>
      </c>
      <c r="M255" t="inlineStr">
        <is>
          <t>.</t>
        </is>
      </c>
      <c r="N255" t="inlineStr">
        <is>
          <t>.</t>
        </is>
      </c>
      <c r="O255" t="inlineStr">
        <is>
          <t>.</t>
        </is>
      </c>
    </row>
    <row r="256">
      <c r="A256" t="inlineStr">
        <is>
          <t>F13B</t>
        </is>
      </c>
      <c r="B256" t="inlineStr">
        <is>
          <t>2.13259736615404e-05</t>
        </is>
      </c>
      <c r="C256" t="inlineStr">
        <is>
          <t>coagulation factor XIII B chain</t>
        </is>
      </c>
      <c r="D256" t="inlineStr">
        <is>
          <t xml:space="preserve">FUNCTION: The B chain of factor XIII is not catalytically active, but is thought to stabilize the A subunits and regulate the rate of transglutaminase formation by thrombin. {ECO:0000303|PubMed:21742792, ECO:0000303|PubMed:3021194}.; </t>
        </is>
      </c>
      <c r="E256" t="inlineStr">
        <is>
          <t xml:space="preserve">DISEASE: Factor XIII subunit B deficiency (FA13BD) [MIM:613235]: An autosomal recessive hematologic disorder characterized by a life-long bleeding tendency, impaired wound healing and spontaneous abortion in affected women. {ECO:0000269|PubMed:11313256, ECO:0000269|PubMed:20331752, ECO:0000269|PubMed:26247044, ECO:0000269|PubMed:8324218}. Note=The disease is caused by mutations affecting the gene represented in this entry.; </t>
        </is>
      </c>
      <c r="F256" t="inlineStr">
        <is>
          <t>.</t>
        </is>
      </c>
      <c r="G256" t="inlineStr">
        <is>
          <t>.</t>
        </is>
      </c>
      <c r="H256" t="inlineStr">
        <is>
          <t>.</t>
        </is>
      </c>
      <c r="I256">
        <f>HYPERLINK("https://omim.org/entry/613235", "613235")</f>
        <v/>
      </c>
      <c r="J256" t="inlineStr">
        <is>
          <t>.</t>
        </is>
      </c>
      <c r="K256" t="inlineStr">
        <is>
          <t>.</t>
        </is>
      </c>
      <c r="L256" t="inlineStr">
        <is>
          <t>.</t>
        </is>
      </c>
      <c r="M256" t="inlineStr">
        <is>
          <t>.</t>
        </is>
      </c>
      <c r="N256" t="inlineStr">
        <is>
          <t>.</t>
        </is>
      </c>
      <c r="O256" t="inlineStr">
        <is>
          <t>.</t>
        </is>
      </c>
    </row>
    <row r="257">
      <c r="A257" t="inlineStr">
        <is>
          <t>FAIM2</t>
        </is>
      </c>
      <c r="B257" t="inlineStr">
        <is>
          <t>0.619353001444294</t>
        </is>
      </c>
      <c r="C257" t="inlineStr">
        <is>
          <t>Fas apoptotic inhibitory molecule 2</t>
        </is>
      </c>
      <c r="D257" t="inlineStr">
        <is>
          <t xml:space="preserve">FUNCTION: Antiapoptotic protein which protects cells uniquely from Fas-induced apoptosis. Regulates Fas-mediated apoptosis in neurons by interfering with caspase-8 activation. May play a role in cerebellar development by affecting cerebellar size, internal granular layer (IGL) thickness, and Purkinje cell (PC) development. {ECO:0000269|PubMed:10535980, ECO:0000269|PubMed:17635665}.; </t>
        </is>
      </c>
      <c r="E257" t="inlineStr">
        <is>
          <t>.</t>
        </is>
      </c>
      <c r="F257" t="inlineStr">
        <is>
          <t xml:space="preserve">TISSUE SPECIFICITY: Highly expressed in breast carcinoma tissues. Enhanced expression correlates with the grade of the tumor (grade II/grade III) in primary breast tumors (at protein level). Widely expressed. Expressed at high levels in the brain especially in the hippocampus. {ECO:0000269|PubMed:10535980, ECO:0000269|PubMed:20336406}.; </t>
        </is>
      </c>
      <c r="G257" t="inlineStr">
        <is>
          <t>ovary;sympathetic chain;colon;parathyroid;choroid;fovea centralis;retina;prostate;optic nerve;frontal lobe;cerebral cortex;testis;brain;unclassifiable (Anatomical System);amygdala;islets of Langerhans;hypothalamus;lens;skeletal muscle;lung;hippocampus;visual apparatus;macula lutea;stomach;thymus;cerebellum;</t>
        </is>
      </c>
      <c r="H257" t="inlineStr">
        <is>
          <t>dorsal root ganglion;amygdala;whole brain;occipital lobe;superior cervical ganglion;thalamus;medulla oblongata;olfactory bulb;cerebellum peduncles;hypothalamus;temporal lobe;spinal cord;atrioventricular node;caudate nucleus;pons;subthalamic nucleus;prefrontal cortex;globus pallidus;testis;cingulate cortex;parietal lobe;cerebellum;</t>
        </is>
      </c>
      <c r="I257" t="inlineStr">
        <is>
          <t>.</t>
        </is>
      </c>
      <c r="J257" t="inlineStr">
        <is>
          <t>.</t>
        </is>
      </c>
      <c r="K257" t="inlineStr">
        <is>
          <t>.</t>
        </is>
      </c>
      <c r="L257" t="inlineStr">
        <is>
          <t>.</t>
        </is>
      </c>
      <c r="M257" t="inlineStr">
        <is>
          <t>.</t>
        </is>
      </c>
      <c r="N257" t="inlineStr">
        <is>
          <t>.</t>
        </is>
      </c>
      <c r="O257" t="inlineStr">
        <is>
          <t>.</t>
        </is>
      </c>
    </row>
    <row r="258">
      <c r="A258" t="inlineStr">
        <is>
          <t>FAM104B</t>
        </is>
      </c>
      <c r="B258" t="inlineStr">
        <is>
          <t>0.00870993932895896</t>
        </is>
      </c>
      <c r="C258" t="inlineStr">
        <is>
          <t>family with sequence similarity 104 member B</t>
        </is>
      </c>
      <c r="D258" t="inlineStr">
        <is>
          <t>.</t>
        </is>
      </c>
      <c r="E258" t="inlineStr">
        <is>
          <t>.</t>
        </is>
      </c>
      <c r="F258" t="inlineStr">
        <is>
          <t>.</t>
        </is>
      </c>
      <c r="G258" t="inlineStr">
        <is>
          <t>breast;prostate;bone;liver;spleen;kidney;skin;</t>
        </is>
      </c>
      <c r="H258" t="inlineStr">
        <is>
          <t>dorsal root ganglion;superior cervical ganglion;ciliary ganglion;trigeminal ganglion;</t>
        </is>
      </c>
      <c r="I258" t="inlineStr">
        <is>
          <t>.</t>
        </is>
      </c>
      <c r="J258" t="inlineStr">
        <is>
          <t>.</t>
        </is>
      </c>
      <c r="K258" t="inlineStr">
        <is>
          <t>.</t>
        </is>
      </c>
      <c r="L258" t="inlineStr">
        <is>
          <t>.</t>
        </is>
      </c>
      <c r="M258" t="inlineStr">
        <is>
          <t>.</t>
        </is>
      </c>
      <c r="N258" t="inlineStr">
        <is>
          <t>.</t>
        </is>
      </c>
      <c r="O258" t="inlineStr">
        <is>
          <t>.</t>
        </is>
      </c>
    </row>
    <row r="259">
      <c r="A259" t="inlineStr">
        <is>
          <t>FAM19A4</t>
        </is>
      </c>
      <c r="B259" t="inlineStr">
        <is>
          <t>0.198148820346351</t>
        </is>
      </c>
      <c r="C259" t="inlineStr">
        <is>
          <t>family with sequence similarity 19 (chemokine (C-C motif)-like), member A4</t>
        </is>
      </c>
      <c r="D259" t="inlineStr">
        <is>
          <t>.</t>
        </is>
      </c>
      <c r="E259" t="inlineStr">
        <is>
          <t>.</t>
        </is>
      </c>
      <c r="F259" t="inlineStr">
        <is>
          <t xml:space="preserve">TISSUE SPECIFICITY: Brain-specific. {ECO:0000269|PubMed:15028294}.; </t>
        </is>
      </c>
      <c r="G259" t="inlineStr">
        <is>
          <t>unclassifiable (Anatomical System);lung;whole body;hypothalamus;hippocampus;testis;pineal gland;</t>
        </is>
      </c>
      <c r="H259" t="inlineStr">
        <is>
          <t>globus pallidus;ciliary ganglion;atrioventricular node;skin;</t>
        </is>
      </c>
      <c r="I259" t="inlineStr">
        <is>
          <t>.</t>
        </is>
      </c>
      <c r="J259" t="inlineStr">
        <is>
          <t>.</t>
        </is>
      </c>
      <c r="K259" t="inlineStr">
        <is>
          <t>.</t>
        </is>
      </c>
      <c r="L259" t="inlineStr">
        <is>
          <t>.</t>
        </is>
      </c>
      <c r="M259" t="inlineStr">
        <is>
          <t>.</t>
        </is>
      </c>
      <c r="N259" t="inlineStr">
        <is>
          <t>.</t>
        </is>
      </c>
      <c r="O259" t="inlineStr">
        <is>
          <t>.</t>
        </is>
      </c>
    </row>
    <row r="260">
      <c r="A260" t="inlineStr">
        <is>
          <t>FAM46A</t>
        </is>
      </c>
      <c r="B260" t="inlineStr">
        <is>
          <t>0.34745796945762</t>
        </is>
      </c>
      <c r="C260" t="inlineStr">
        <is>
          <t>family with sequence similarity 46 member A</t>
        </is>
      </c>
      <c r="D260" t="inlineStr">
        <is>
          <t>.</t>
        </is>
      </c>
      <c r="E260" t="inlineStr">
        <is>
          <t>.</t>
        </is>
      </c>
      <c r="F260" t="inlineStr">
        <is>
          <t xml:space="preserve">TISSUE SPECIFICITY: Widely expressed, with preferential expression observed in the retina compared to other ocular tissues. {ECO:0000269|PubMed:12054608}.; </t>
        </is>
      </c>
      <c r="G260" t="inlineStr">
        <is>
          <t>ovary;salivary gland;sympathetic chain;intestine;colon;parathyroid;skin;retina;bone marrow;uterus;prostate;whole body;cerebral cortex;endometrium;bone;thyroid;pituitary gland;testis;germinal center;brain;pineal gland;bladder;unclassifiable (Anatomical System);trophoblast;lymph node;cartilage;heart;lacrimal gland;islets of Langerhans;adrenal cortex;pharynx;blood;skeletal muscle;breast;pancreas;lung;cornea;adrenal gland;placenta;visual apparatus;hypopharynx;liver;spleen;head and neck;cervix;kidney;mammary gland;stomach;</t>
        </is>
      </c>
      <c r="H260" t="inlineStr">
        <is>
          <t>uterus;prostate;trachea;salivary gland;placenta;adrenal cortex;ciliary ganglion;pituitary;bone marrow;</t>
        </is>
      </c>
      <c r="I260" t="inlineStr">
        <is>
          <t>.</t>
        </is>
      </c>
      <c r="J260" t="inlineStr">
        <is>
          <t>.</t>
        </is>
      </c>
      <c r="K260" t="inlineStr">
        <is>
          <t>.</t>
        </is>
      </c>
      <c r="L260" t="inlineStr">
        <is>
          <t>.</t>
        </is>
      </c>
      <c r="M260" t="inlineStr">
        <is>
          <t>.</t>
        </is>
      </c>
      <c r="N260" t="inlineStr">
        <is>
          <t>.</t>
        </is>
      </c>
      <c r="O260" t="inlineStr">
        <is>
          <t>.</t>
        </is>
      </c>
    </row>
    <row r="261">
      <c r="A261" t="inlineStr">
        <is>
          <t>FAM71E2</t>
        </is>
      </c>
      <c r="B261" t="inlineStr">
        <is>
          <t>.</t>
        </is>
      </c>
      <c r="C261" t="inlineStr">
        <is>
          <t>family with sequence similarity 71 member E2</t>
        </is>
      </c>
      <c r="D261" t="inlineStr">
        <is>
          <t>.</t>
        </is>
      </c>
      <c r="E261" t="inlineStr">
        <is>
          <t>.</t>
        </is>
      </c>
      <c r="F261" t="inlineStr">
        <is>
          <t>.</t>
        </is>
      </c>
      <c r="G261" t="inlineStr">
        <is>
          <t>.</t>
        </is>
      </c>
      <c r="H261" t="inlineStr">
        <is>
          <t>.</t>
        </is>
      </c>
      <c r="I261" t="inlineStr">
        <is>
          <t>.</t>
        </is>
      </c>
      <c r="J261" t="inlineStr">
        <is>
          <t>.</t>
        </is>
      </c>
      <c r="K261" t="inlineStr">
        <is>
          <t>.</t>
        </is>
      </c>
      <c r="L261" t="inlineStr">
        <is>
          <t>.</t>
        </is>
      </c>
      <c r="M261" t="inlineStr">
        <is>
          <t>.</t>
        </is>
      </c>
      <c r="N261" t="inlineStr">
        <is>
          <t>.</t>
        </is>
      </c>
      <c r="O261" t="inlineStr">
        <is>
          <t>.</t>
        </is>
      </c>
    </row>
    <row r="262">
      <c r="A262" t="inlineStr">
        <is>
          <t>FAM92A1</t>
        </is>
      </c>
      <c r="B262" t="inlineStr">
        <is>
          <t>3.68953972008855e-05</t>
        </is>
      </c>
      <c r="C262" t="inlineStr">
        <is>
          <t>family with sequence similarity 92 member A1</t>
        </is>
      </c>
      <c r="D262" t="inlineStr">
        <is>
          <t>.</t>
        </is>
      </c>
      <c r="E262" t="inlineStr">
        <is>
          <t>.</t>
        </is>
      </c>
      <c r="F262" t="inlineStr">
        <is>
          <t>.</t>
        </is>
      </c>
      <c r="G262" t="inlineStr">
        <is>
          <t>unclassifiable (Anatomical System);heart;skeletal muscle;skin;bone marrow;uterus;endometrium;placenta;thyroid;bone;testis;head and neck;kidney;brain;stomach;</t>
        </is>
      </c>
      <c r="H262" t="inlineStr">
        <is>
          <t>.</t>
        </is>
      </c>
      <c r="I262" t="inlineStr">
        <is>
          <t>.</t>
        </is>
      </c>
      <c r="J262" t="inlineStr">
        <is>
          <t>.</t>
        </is>
      </c>
      <c r="K262" t="inlineStr">
        <is>
          <t>.</t>
        </is>
      </c>
      <c r="L262" t="inlineStr">
        <is>
          <t>.</t>
        </is>
      </c>
      <c r="M262" t="inlineStr">
        <is>
          <t>.</t>
        </is>
      </c>
      <c r="N262" t="inlineStr">
        <is>
          <t>.</t>
        </is>
      </c>
      <c r="O262" t="inlineStr">
        <is>
          <t>.</t>
        </is>
      </c>
    </row>
    <row r="263">
      <c r="A263" t="inlineStr">
        <is>
          <t>FANCI</t>
        </is>
      </c>
      <c r="B263" t="inlineStr">
        <is>
          <t>5.16501380164005e-19</t>
        </is>
      </c>
      <c r="C263" t="inlineStr">
        <is>
          <t>Fanconi anemia complementation group I</t>
        </is>
      </c>
      <c r="D263" t="inlineStr">
        <is>
          <t xml:space="preserve">FUNCTION: Plays an essential role in the repair of DNA double- strand breaks by homologous recombination and in the repair of interstrand DNA cross-links (ICLs) by promoting FANCD2 monoubiquitination by FANCL and participating in recruitment to DNA repair sites. Required for maintenance of chromosomal stability. Specifically binds branched DNA: binds both single- stranded DNA (ssDNA) and double-stranded DNA (dsDNA). Participates in S phase and G2 phase checkpoint activation upon DNA damage. {ECO:0000269|PubMed:17412408, ECO:0000269|PubMed:17452773, ECO:0000269|PubMed:17460694, ECO:0000269|PubMed:19111657}.; </t>
        </is>
      </c>
      <c r="E263" t="inlineStr">
        <is>
          <t xml:space="preserve">DISEASE: Fanconi anemia complementation group I (FANCI) [MIM:609053]: A disorder affecting all bone marrow elements and resulting in anemia, leukopenia and thrombopenia. It is associated with cardiac, renal and limb malformations, dermal pigmentary changes, and a predisposition to the development of malignancies. At the cellular level it is associated with hypersensitivity to DNA-damaging agents, chromosomal instability (increased chromosome breakage) and defective DNA repair. {ECO:0000269|PubMed:17452773}. Note=The disease is caused by mutations affecting the gene represented in this entry.; </t>
        </is>
      </c>
      <c r="F263" t="inlineStr">
        <is>
          <t>.</t>
        </is>
      </c>
      <c r="G263" t="inlineStr">
        <is>
          <t>lymphoreticular;ovary;salivary gland;intestine;colon;parathyroid;fovea centralis;choroid;vein;skin;retina;bone marrow;uterus;prostate;optic nerve;whole body;endometrium;larynx;bone;testis;germinal center;brain;bladder;unclassifiable (Anatomical System);lymph node;cartilage;heart;adrenal cortex;pharynx;blood;lens;skeletal muscle;bile duct;breast;pancreas;lung;placenta;macula lutea;visual apparatus;liver;spleen;cervix;head and neck;kidney;mammary gland;stomach;thymus;peripheral nerve;</t>
        </is>
      </c>
      <c r="H263" t="inlineStr">
        <is>
          <t>testis - interstitial;superior cervical ganglion;testis - seminiferous tubule;testis;tumor;</t>
        </is>
      </c>
      <c r="I263">
        <f>HYPERLINK("https://omim.org/entry/609053", "609053")</f>
        <v/>
      </c>
      <c r="J263" t="inlineStr">
        <is>
          <t>.</t>
        </is>
      </c>
      <c r="K263" t="inlineStr">
        <is>
          <t>.</t>
        </is>
      </c>
      <c r="L263" t="inlineStr">
        <is>
          <t>.</t>
        </is>
      </c>
      <c r="M263" t="inlineStr">
        <is>
          <t>.</t>
        </is>
      </c>
      <c r="N263" t="inlineStr">
        <is>
          <t>.</t>
        </is>
      </c>
      <c r="O263" t="inlineStr">
        <is>
          <t>.</t>
        </is>
      </c>
    </row>
    <row r="264">
      <c r="A264" t="inlineStr">
        <is>
          <t>FAP</t>
        </is>
      </c>
      <c r="B264" t="inlineStr">
        <is>
          <t>3.27312070401378e-11</t>
        </is>
      </c>
      <c r="C264" t="inlineStr">
        <is>
          <t>fibroblast activation protein alpha</t>
        </is>
      </c>
      <c r="D264" t="inlineStr">
        <is>
          <t xml:space="preserve">FUNCTION: Cell surface glycoprotein serine protease that participates in extracellular matrix degradation and involved in many cellular processes including tissue remodeling, fibrosis, wound healing, inflammation and tumor growth. Both plasma membrane and soluble forms exhibit post-proline cleaving endopeptidase activity, with a marked preference for Ala/Ser-Gly-Pro-Ser/Asn/Ala consensus sequences, on substrate such as alpha-2-antiplasmin SERPINF2 and SPRY2 (PubMed:14751930, PubMed:16223769, PubMed:16480718, PubMed:16410248, PubMed:17381073, PubMed:18095711, PubMed:21288888, PubMed:24371721). Degrade also gelatin, heat-denatured type I collagen, but not native collagen type I and IV, vibronectin, tenascin, laminin, fibronectin, fibrin or casein (PubMed:9065413, PubMed:2172980, PubMed:7923219, PubMed:10347120, PubMed:10455171, PubMed:12376466, PubMed:16223769, PubMed:16651416, PubMed:18095711). Have also dipeptidyl peptidase activity, exhibiting the ability to hydrolyze the prolyl bond two residues from the N-terminus of synthetic dipeptide substrates provided that the penultimate residue is proline, with a preference for Ala-Pro, Ile-Pro, Gly-Pro, Arg-Pro and Pro-Pro (PubMed:10347120, PubMed:10593948, PubMed:16175601, PubMed:16223769, PubMed:16651416, PubMed:16410248, PubMed:17381073, PubMed:21314817, PubMed:24371721, PubMed:24717288). Natural neuropeptide hormones for dipeptidyl peptidase are the neuropeptide Y (NPY), peptide YY (PYY), substance P (TAC1) and brain natriuretic peptide 32 (NPPB) (PubMed:21314817). The plasma membrane form, in association with either DPP4, PLAUR or integrins, is involved in the pericellular proteolysis of the extracellular matrix (ECM), and hence promotes cell adhesion, migration and invasion through the ECM. Plays a role in tissue remodeling during development and wound healing. Participates in the cell invasiveness towards the ECM in malignant melanoma cancers. Enhances tumor growth progression by increasing angiogenesis, collagen fiber degradation and apoptosis and by reducing antitumor response of the immune system. Promotes glioma cell invasion through the brain parenchyma by degrading the proteoglycan brevican. Acts as a tumor suppressor in melanocytic cells through regulation of cell proliferation and survival in a serine protease activity-independent manner. {ECO:0000250|UniProtKB:P97321, ECO:0000269|PubMed:10347120, ECO:0000269|PubMed:10455171, ECO:0000269|PubMed:10593948, ECO:0000269|PubMed:12376466, ECO:0000269|PubMed:14751930, ECO:0000269|PubMed:16175601, ECO:0000269|PubMed:16223769, ECO:0000269|PubMed:16410248, ECO:0000269|PubMed:16480718, ECO:0000269|PubMed:16651416, ECO:0000269|PubMed:17105646, ECO:0000269|PubMed:17381073, ECO:0000269|PubMed:18095711, ECO:0000269|PubMed:20707604, ECO:0000269|PubMed:21288888, ECO:0000269|PubMed:21314817, ECO:0000269|PubMed:2172980, ECO:0000269|PubMed:24371721, ECO:0000269|PubMed:24717288, ECO:0000269|PubMed:7923219, ECO:0000269|PubMed:9065413}.; </t>
        </is>
      </c>
      <c r="E264" t="inlineStr">
        <is>
          <t>.</t>
        </is>
      </c>
      <c r="F264" t="inlineStr">
        <is>
          <t xml:space="preserve">TISSUE SPECIFICITY: Expressed in adipose tissue. Expressed in the dermal fibroblasts in the fetal skin. Expressed in the granulation tissue of healing wounds and on reactive stromal fibroblast in epithelial cancers. Expressed in activated fibroblast-like synoviocytes from inflamed synovial tissues. Expressed in activated hepatic stellate cells (HSC) and myofibroblasts from cirrhotic liver, but not detected in normal liver. Expressed in glioma cells (at protein level). Expressed in glioblastomas and glioma cells. Isoform 1 and isoform 2 are expressed in melanoma, carcinoma and fibroblast cell lines. {ECO:0000269|PubMed:10347120, ECO:0000269|PubMed:10593948, ECO:0000269|PubMed:10644713, ECO:0000269|PubMed:16175601, ECO:0000269|PubMed:17105646, ECO:0000269|PubMed:20707604, ECO:0000269|PubMed:24371721, ECO:0000269|PubMed:7911242}.; </t>
        </is>
      </c>
      <c r="G264" t="inlineStr">
        <is>
          <t>unclassifiable (Anatomical System);cartilage;heart;islets of Langerhans;urinary;skin;skeletal muscle;uterus;pancreas;prostate;whole body;lung;cochlea;mesenchyma;bone;placenta;amnion;liver;testis;amniotic fluid;mammary gland;stomach;</t>
        </is>
      </c>
      <c r="H264" t="inlineStr">
        <is>
          <t>superior cervical ganglion;uterus corpus;smooth muscle;adipose tissue;appendix;atrioventricular node;trigeminal ganglion;skin;</t>
        </is>
      </c>
      <c r="I264" t="inlineStr">
        <is>
          <t>.</t>
        </is>
      </c>
      <c r="J264" t="inlineStr">
        <is>
          <t>.</t>
        </is>
      </c>
      <c r="K264" t="inlineStr">
        <is>
          <t>.</t>
        </is>
      </c>
      <c r="L264" t="inlineStr">
        <is>
          <t>.</t>
        </is>
      </c>
      <c r="M264" t="inlineStr">
        <is>
          <t>.</t>
        </is>
      </c>
      <c r="N264" t="inlineStr">
        <is>
          <t>.</t>
        </is>
      </c>
      <c r="O264" t="inlineStr">
        <is>
          <t>.</t>
        </is>
      </c>
    </row>
    <row r="265">
      <c r="A265" t="inlineStr">
        <is>
          <t>FBXO22</t>
        </is>
      </c>
      <c r="B265" t="inlineStr">
        <is>
          <t>0.893814403062287</t>
        </is>
      </c>
      <c r="C265" t="inlineStr">
        <is>
          <t>F-box protein 22</t>
        </is>
      </c>
      <c r="D265" t="inlineStr">
        <is>
          <t xml:space="preserve">FUNCTION: Substrate-recognition component of the SCF (SKP1-CUL1-F- box protein)-type E3 ubiquitin ligase complex. Promotes the proteasome-dependent degradation of key sarcomeric proteins, such as alpha-actinin (ACTN2) and filamin-C (FLNC), essential for maintenance of normal contractile function. {ECO:0000269|PubMed:22972877}.; </t>
        </is>
      </c>
      <c r="E265" t="inlineStr">
        <is>
          <t>.</t>
        </is>
      </c>
      <c r="F265" t="inlineStr">
        <is>
          <t xml:space="preserve">TISSUE SPECIFICITY: Predominantly expressed in liver, also enriched in cardiac muscle. {ECO:0000269|PubMed:22972877}.; </t>
        </is>
      </c>
      <c r="G265" t="inlineStr">
        <is>
          <t>ovary;salivary gland;intestine;colon;parathyroid;fovea centralis;choroid;skin;retina;bone marrow;uterus;prostate;optic nerve;frontal lobe;endometrium;larynx;thyroid;pituitary gland;testis;germinal center;brain;bladder;unclassifiable (Anatomical System);lymph node;cartilage;hypothalamus;pharynx;blood;lens;skeletal muscle;breast;lung;placenta;macula lutea;visual apparatus;hippocampus;liver;spleen;head and neck;kidney;stomach;</t>
        </is>
      </c>
      <c r="H265" t="inlineStr">
        <is>
          <t>superior cervical ganglion;temporal lobe;appendix;testis;atrioventricular node;trigeminal ganglion;</t>
        </is>
      </c>
      <c r="I265" t="inlineStr">
        <is>
          <t>.</t>
        </is>
      </c>
      <c r="J265" t="inlineStr">
        <is>
          <t>.</t>
        </is>
      </c>
      <c r="K265" t="inlineStr">
        <is>
          <t>.</t>
        </is>
      </c>
      <c r="L265" t="inlineStr">
        <is>
          <t>.</t>
        </is>
      </c>
      <c r="M265" t="inlineStr">
        <is>
          <t>.</t>
        </is>
      </c>
      <c r="N265" t="inlineStr">
        <is>
          <t>.</t>
        </is>
      </c>
      <c r="O265" t="inlineStr">
        <is>
          <t>.</t>
        </is>
      </c>
    </row>
    <row r="266">
      <c r="A266" t="inlineStr">
        <is>
          <t>FCGR2A</t>
        </is>
      </c>
      <c r="B266" t="inlineStr">
        <is>
          <t>0.000150862363564485</t>
        </is>
      </c>
      <c r="C266" t="inlineStr">
        <is>
          <t>Fc fragment of IgG receptor IIa</t>
        </is>
      </c>
      <c r="D266" t="inlineStr">
        <is>
          <t xml:space="preserve">FUNCTION: Binds to the Fc region of immunoglobulins gamma. Low affinity receptor. By binding to IgG it initiates cellular responses against pathogens and soluble antigens. Promotes phagocytosis of opsonized antigens. {ECO:0000269|PubMed:19011614}.; </t>
        </is>
      </c>
      <c r="E266" t="inlineStr">
        <is>
          <t>.</t>
        </is>
      </c>
      <c r="F266" t="inlineStr">
        <is>
          <t xml:space="preserve">TISSUE SPECIFICITY: Found on monocytes, neutrophils and eosinophil platelets.; </t>
        </is>
      </c>
      <c r="G266" t="inlineStr">
        <is>
          <t>ovary;salivary gland;sympathetic chain;intestine;colon;parathyroid;fovea centralis;choroid;skin;retina;bone marrow;uterus;prostate;optic nerve;larynx;bone;testis;brain;unclassifiable (Anatomical System);amygdala;cartilage;tongue;pharynx;blood;lens;breast;lung;cornea;trabecular meshwork;placenta;macula lutea;visual apparatus;hypopharynx;liver;spleen;head and neck;kidney;mammary gland;stomach;aorta;</t>
        </is>
      </c>
      <c r="H266" t="inlineStr">
        <is>
          <t>.</t>
        </is>
      </c>
      <c r="I266" t="inlineStr">
        <is>
          <t>.</t>
        </is>
      </c>
      <c r="J266" t="inlineStr">
        <is>
          <t>.</t>
        </is>
      </c>
      <c r="K266" t="inlineStr">
        <is>
          <t>.</t>
        </is>
      </c>
      <c r="L266" t="inlineStr">
        <is>
          <t>.</t>
        </is>
      </c>
      <c r="M266" t="inlineStr">
        <is>
          <t>.</t>
        </is>
      </c>
      <c r="N266" t="inlineStr">
        <is>
          <t>.</t>
        </is>
      </c>
      <c r="O266" t="inlineStr">
        <is>
          <t>.</t>
        </is>
      </c>
    </row>
    <row r="267">
      <c r="A267" t="inlineStr">
        <is>
          <t>FCGR2B</t>
        </is>
      </c>
      <c r="B267" t="inlineStr">
        <is>
          <t>0.0474026079439954</t>
        </is>
      </c>
      <c r="C267" t="inlineStr">
        <is>
          <t>Fc fragment of IgG receptor IIb</t>
        </is>
      </c>
      <c r="D267" t="inlineStr">
        <is>
          <t xml:space="preserve">FUNCTION: Receptor for the Fc region of complexed or aggregated immunoglobulins gamma. Low affinity receptor. Involved in a variety of effector and regulatory functions such as phagocytosis of immune complexes and modulation of antibody production by B- cells. Binding to this receptor results in down-modulation of previous state of cell activation triggered via antigen receptors on B-cells (BCR), T-cells (TCR) or via another Fc receptor. Isoform IIB1 fails to mediate endocytosis or phagocytosis. Isoform IIB2 does not trigger phagocytosis.; </t>
        </is>
      </c>
      <c r="E267" t="inlineStr">
        <is>
          <t xml:space="preserve">DISEASE: Systemic lupus erythematosus (SLE) [MIM:152700]: A chronic, relapsing, inflammatory, and often febrile multisystemic disorder of connective tissue, characterized principally by involvement of the skin, joints, kidneys and serosal membranes. It is of unknown etiology, but is thought to represent a failure of the regulatory mechanisms of the autoimmune system. The disease is marked by a wide range of system dysfunctions, an elevated erythrocyte sedimentation rate, and the formation of LE cells in the blood or bone marrow. {ECO:0000269|PubMed:12115230, ECO:0000269|PubMed:20385827}. Note=Disease susceptibility is associated with variations affecting the gene represented in this entry.; </t>
        </is>
      </c>
      <c r="F267" t="inlineStr">
        <is>
          <t xml:space="preserve">TISSUE SPECIFICITY: Is the most broadly distributed Fc-gamma- receptor. Expressed in monocyte, neutrophils, macrophages, basophils, eosinophils, Langerhans cells, B-cells, platelets cells and placenta (endothelial cells). Not detected in natural killer cells.; </t>
        </is>
      </c>
      <c r="G267" t="inlineStr">
        <is>
          <t>unclassifiable (Anatomical System);smooth muscle;lymph node;ovary;islets of Langerhans;colon;blood;choroid;skin;retina;uterus;pancreas;lung;nasopharynx;bone;placenta;liver;testis;spleen;germinal center;kidney;brain;mammary gland;</t>
        </is>
      </c>
      <c r="H267" t="inlineStr">
        <is>
          <t>placenta;</t>
        </is>
      </c>
      <c r="I267">
        <f>HYPERLINK("https://omim.org/entry/152700", "152700")</f>
        <v/>
      </c>
      <c r="J267" t="inlineStr">
        <is>
          <t>.</t>
        </is>
      </c>
      <c r="K267" t="inlineStr">
        <is>
          <t>.</t>
        </is>
      </c>
      <c r="L267" t="inlineStr">
        <is>
          <t>.</t>
        </is>
      </c>
      <c r="M267" t="inlineStr">
        <is>
          <t>.</t>
        </is>
      </c>
      <c r="N267" t="inlineStr">
        <is>
          <t>.</t>
        </is>
      </c>
      <c r="O267" t="inlineStr">
        <is>
          <t>.</t>
        </is>
      </c>
    </row>
    <row r="268">
      <c r="A268" t="inlineStr">
        <is>
          <t>FCGR3A</t>
        </is>
      </c>
      <c r="B268" t="inlineStr">
        <is>
          <t>1.22273626907589e-05</t>
        </is>
      </c>
      <c r="C268" t="inlineStr">
        <is>
          <t>Fc fragment of IgG receptor IIIa</t>
        </is>
      </c>
      <c r="D268" t="inlineStr">
        <is>
          <t xml:space="preserve">FUNCTION: Receptor for the Fc region of IgG. Binds complexed or aggregated IgG and also monomeric IgG. Mediates antibody-dependent cellular cytotoxicity (ADCC) and other antibody-dependent responses, such as phagocytosis. {ECO:0000269|PubMed:21768335, ECO:0000269|PubMed:22023369}.; </t>
        </is>
      </c>
      <c r="E268" t="inlineStr">
        <is>
          <t xml:space="preserve">DISEASE: Immunodeficiency 20 (IMD20) [MIM:615707]: A rare autosomal recessive primary immunodeficiency characterized by functional deficiency of NK cells. Affected individuals typically present with severe herpes viral infections, particularly Epstein Barr virus (EBV), and human papillomavirus (HPV). {ECO:0000269|PubMed:23006327, ECO:0000269|PubMed:8608639, ECO:0000269|PubMed:8609432, ECO:0000269|PubMed:8874200}. Note=The disease is caused by mutations affecting the gene represented in this entry.; </t>
        </is>
      </c>
      <c r="F268" t="inlineStr">
        <is>
          <t xml:space="preserve">TISSUE SPECIFICITY: Expressed on natural killer cells, macrophages, subpopulation of T-cells, immature thymocytes and placental trophoblasts.; </t>
        </is>
      </c>
      <c r="G268" t="inlineStr">
        <is>
          <t>.</t>
        </is>
      </c>
      <c r="H268" t="inlineStr">
        <is>
          <t>.</t>
        </is>
      </c>
      <c r="I268">
        <f>HYPERLINK("https://omim.org/entry/615707", "615707")</f>
        <v/>
      </c>
      <c r="J268" t="inlineStr">
        <is>
          <t>.</t>
        </is>
      </c>
      <c r="K268" t="inlineStr">
        <is>
          <t>.</t>
        </is>
      </c>
      <c r="L268" t="inlineStr">
        <is>
          <t>.</t>
        </is>
      </c>
      <c r="M268" t="inlineStr">
        <is>
          <t>.</t>
        </is>
      </c>
      <c r="N268" t="inlineStr">
        <is>
          <t>.</t>
        </is>
      </c>
      <c r="O268" t="inlineStr">
        <is>
          <t>.</t>
        </is>
      </c>
    </row>
    <row r="269">
      <c r="A269" t="inlineStr">
        <is>
          <t>FER1L6</t>
        </is>
      </c>
      <c r="B269" t="inlineStr">
        <is>
          <t>7.9960324128331e-30</t>
        </is>
      </c>
      <c r="C269" t="inlineStr">
        <is>
          <t>fer-1 like family member 6</t>
        </is>
      </c>
      <c r="D269" t="inlineStr">
        <is>
          <t>.</t>
        </is>
      </c>
      <c r="E269" t="inlineStr">
        <is>
          <t>.</t>
        </is>
      </c>
      <c r="F269" t="inlineStr">
        <is>
          <t>.</t>
        </is>
      </c>
      <c r="G269" t="inlineStr">
        <is>
          <t>.</t>
        </is>
      </c>
      <c r="H269" t="inlineStr">
        <is>
          <t>.</t>
        </is>
      </c>
      <c r="I269" t="inlineStr">
        <is>
          <t>.</t>
        </is>
      </c>
      <c r="J269" t="inlineStr">
        <is>
          <t>.</t>
        </is>
      </c>
      <c r="K269" t="inlineStr">
        <is>
          <t>.</t>
        </is>
      </c>
      <c r="L269" t="inlineStr">
        <is>
          <t>.</t>
        </is>
      </c>
      <c r="M269" t="inlineStr">
        <is>
          <t>.</t>
        </is>
      </c>
      <c r="N269" t="inlineStr">
        <is>
          <t>.</t>
        </is>
      </c>
      <c r="O269" t="inlineStr">
        <is>
          <t>.</t>
        </is>
      </c>
    </row>
    <row r="270">
      <c r="A270" t="inlineStr">
        <is>
          <t>FGF20</t>
        </is>
      </c>
      <c r="B270" t="inlineStr">
        <is>
          <t>0.702854984376326</t>
        </is>
      </c>
      <c r="C270" t="inlineStr">
        <is>
          <t>fibroblast growth factor 20</t>
        </is>
      </c>
      <c r="D270" t="inlineStr">
        <is>
          <t xml:space="preserve">FUNCTION: Neurotrophic factor that regulates central nervous development and function. {ECO:0000269|PubMed:16597617}.; </t>
        </is>
      </c>
      <c r="E270" t="inlineStr">
        <is>
          <t>.</t>
        </is>
      </c>
      <c r="F270" t="inlineStr">
        <is>
          <t xml:space="preserve">TISSUE SPECIFICITY: Predominantly expressed in the cerebellum. {ECO:0000269|PubMed:11306498}.; </t>
        </is>
      </c>
      <c r="G270" t="inlineStr">
        <is>
          <t>uterus;optic nerve;lung;heart;macula lutea;colon;fovea centralis;choroid;lens;skin;retina;</t>
        </is>
      </c>
      <c r="H270" t="inlineStr">
        <is>
          <t>uterus corpus;skeletal muscle;</t>
        </is>
      </c>
      <c r="I270" t="inlineStr">
        <is>
          <t>.</t>
        </is>
      </c>
      <c r="J270" t="inlineStr">
        <is>
          <t>.</t>
        </is>
      </c>
      <c r="K270" t="inlineStr">
        <is>
          <t>.</t>
        </is>
      </c>
      <c r="L270" t="inlineStr">
        <is>
          <t>.</t>
        </is>
      </c>
      <c r="M270" t="inlineStr">
        <is>
          <t>.</t>
        </is>
      </c>
      <c r="N270" t="inlineStr">
        <is>
          <t>.</t>
        </is>
      </c>
      <c r="O270" t="inlineStr">
        <is>
          <t>.</t>
        </is>
      </c>
    </row>
    <row r="271">
      <c r="A271" t="inlineStr">
        <is>
          <t>FGFRL1</t>
        </is>
      </c>
      <c r="B271" t="inlineStr">
        <is>
          <t>0.582186675448565</t>
        </is>
      </c>
      <c r="C271" t="inlineStr">
        <is>
          <t>fibroblast growth factor receptor-like 1</t>
        </is>
      </c>
      <c r="D271" t="inlineStr">
        <is>
          <t xml:space="preserve">FUNCTION: Has a negative effect on cell proliferation. {ECO:0000250}.; </t>
        </is>
      </c>
      <c r="E271" t="inlineStr">
        <is>
          <t>.</t>
        </is>
      </c>
      <c r="F271" t="inlineStr">
        <is>
          <t xml:space="preserve">TISSUE SPECIFICITY: Expressed preferentially in cartilaginous tissues and pancreas. Highly expressed in the liver, kidney, heart, brain and skeletal muscle. Weakly expressed in the lung, small intestine and spleen. {ECO:0000269|PubMed:11031111, ECO:0000269|PubMed:11267671, ECO:0000269|PubMed:11418238}.; </t>
        </is>
      </c>
      <c r="G271" t="inlineStr">
        <is>
          <t>ovary;colon;fovea centralis;choroid;retina;bone marrow;uterus;prostate;optic nerve;frontal lobe;cochlea;endometrium;bone;testis;spinal ganglion;brain;unclassifiable (Anatomical System);lymph node;cartilage;tongue;muscle;lens;pancreas;adrenal gland;placenta;macula lutea;visual apparatus;duodenum;head and neck;kidney;stomach;</t>
        </is>
      </c>
      <c r="H271" t="inlineStr">
        <is>
          <t>superior cervical ganglion;ciliary ganglion;atrioventricular node;</t>
        </is>
      </c>
      <c r="I271" t="inlineStr">
        <is>
          <t>.</t>
        </is>
      </c>
      <c r="J271" t="inlineStr">
        <is>
          <t>.</t>
        </is>
      </c>
      <c r="K271" t="inlineStr">
        <is>
          <t>.</t>
        </is>
      </c>
      <c r="L271" t="inlineStr">
        <is>
          <t>.</t>
        </is>
      </c>
      <c r="M271" t="inlineStr">
        <is>
          <t>.</t>
        </is>
      </c>
      <c r="N271" t="inlineStr">
        <is>
          <t>.</t>
        </is>
      </c>
      <c r="O271" t="inlineStr">
        <is>
          <t>.</t>
        </is>
      </c>
    </row>
    <row r="272">
      <c r="A272" t="inlineStr">
        <is>
          <t>FKBP10</t>
        </is>
      </c>
      <c r="B272" t="inlineStr">
        <is>
          <t>0.000807424942436765</t>
        </is>
      </c>
      <c r="C272" t="inlineStr">
        <is>
          <t>FK506 binding protein 10</t>
        </is>
      </c>
      <c r="D272" t="inlineStr">
        <is>
          <t xml:space="preserve">FUNCTION: PPIases accelerate the folding of proteins during protein synthesis.; </t>
        </is>
      </c>
      <c r="E272" t="inlineStr">
        <is>
          <t xml:space="preserve">DISEASE: Osteogenesis imperfecta 11 (OI11) [MIM:610968]: A form of osteogenesis imperfecta, a connective tissue disorder characterized by low bone mass, bone fragility and susceptibility to fractures after minimal trauma. Disease severity ranges from very mild forms without fractures to intrauterine fractures and perinatal lethality. Extraskeletal manifestations, which affect a variable number of patients, are dentinogenesis imperfecta, hearing loss, and blue sclerae. OI11 is an autosomal recessive form. {ECO:0000269|PubMed:20362275, ECO:0000269|PubMed:20839288, ECO:0000269|PubMed:22949511}. Note=The disease is caused by mutations affecting the gene represented in this entry.; DISEASE: Bruck syndrome 1 (BRKS1) [MIM:259450]: A disease characterized by generalized osteopenia, congenital joint contractures, fragile bones with onset of fractures in infancy or early childhood, short stature, severe limb deformity, progressive scoliosis, and pterygia. {ECO:0000269|PubMed:20839288, ECO:0000269|PubMed:22949511}. Note=The disease is caused by mutations affecting the gene represented in this entry.; </t>
        </is>
      </c>
      <c r="F272" t="inlineStr">
        <is>
          <t>.</t>
        </is>
      </c>
      <c r="G272" t="inlineStr">
        <is>
          <t>ovary;salivary gland;adrenal medulla;colon;parathyroid;fovea centralis;choroid;skin;retina;uterus;prostate;optic nerve;whole body;endometrium;synovium;bone;thyroid;pituitary gland;testis;amniotic fluid;spinal ganglion;brain;unclassifiable (Anatomical System);cartilage;heart;tongue;islets of Langerhans;pineal body;urinary;blood;lens;breast;bile duct;pancreas;lung;mesenchyma;placenta;macula lutea;visual apparatus;duodenum;head and neck;cervix;kidney;mammary gland;stomach;peripheral nerve;</t>
        </is>
      </c>
      <c r="H272" t="inlineStr">
        <is>
          <t>superior cervical ganglion;smooth muscle;heart;trigeminal ganglion;</t>
        </is>
      </c>
      <c r="I272">
        <f>HYPERLINK("https://omim.org/entry/610968", "610968")</f>
        <v/>
      </c>
      <c r="J272">
        <f>HYPERLINK("https://omim.org/entry/259450", "259450")</f>
        <v/>
      </c>
      <c r="K272" t="inlineStr">
        <is>
          <t>.</t>
        </is>
      </c>
      <c r="L272" t="inlineStr">
        <is>
          <t>.</t>
        </is>
      </c>
      <c r="M272" t="inlineStr">
        <is>
          <t>.</t>
        </is>
      </c>
      <c r="N272" t="inlineStr">
        <is>
          <t>.</t>
        </is>
      </c>
      <c r="O272" t="inlineStr">
        <is>
          <t>.</t>
        </is>
      </c>
    </row>
    <row r="273">
      <c r="A273" t="inlineStr">
        <is>
          <t>FLNC</t>
        </is>
      </c>
      <c r="B273" t="inlineStr">
        <is>
          <t>0.999503524836351</t>
        </is>
      </c>
      <c r="C273" t="inlineStr">
        <is>
          <t>filamin C</t>
        </is>
      </c>
      <c r="D273" t="inlineStr">
        <is>
          <t xml:space="preserve">FUNCTION: Muscle-specific filamin, which plays a central role in muscle cells, probably by functioning as a large actin-cross- linking protein. May be involved in reorganizing the actin cytoskeleton in response to signaling events, and may also display structural functions at the Z lines in muscle cells. Critical for normal myogenesis and for maintaining the structural integrity of the muscle fibers.; </t>
        </is>
      </c>
      <c r="E273" t="inlineStr">
        <is>
          <t xml:space="preserve">DISEASE: Myopathy, myofibrillar, 5 (MFM5) [MIM:609524]: A neuromuscular disorder, usually with an adult onset, characterized by focal myofibrillar destruction, pathological cytoplasmic protein aggregations, and clinical features of a limb-girdle myopathy. {ECO:0000269|PubMed:15929027}. Note=The disease is caused by mutations affecting the gene represented in this entry.; DISEASE: Myopathy, distal, 4 (MPD4) [MIM:614065]: A slowly progressive muscular disorder characterized by distal muscle weakness and atrophy affecting the upper and lower limbs. Onset occurs around the third to fourth decades of life, and patients remain ambulatory even after long disease duration. Muscle biopsy shows non-specific changes with no evidence of rods, necrosis, or inflammation. {ECO:0000269|PubMed:21620354}. Note=The disease is caused by mutations affecting the gene represented in this entry.; </t>
        </is>
      </c>
      <c r="F273" t="inlineStr">
        <is>
          <t xml:space="preserve">TISSUE SPECIFICITY: Highly expressed in striated muscles. Weakly expressed in thyroid, fetal brain, fetal lung, retina, spinal cord and bone marrow. Not expressed in testis, pancreas, adrenal gland, placenta, liver and kidney. {ECO:0000269|PubMed:11038172, ECO:0000269|PubMed:7689010, ECO:0000269|PubMed:9791010}.; </t>
        </is>
      </c>
      <c r="G273" t="inlineStr">
        <is>
          <t>myocardium;ovary;colon;parathyroid;skin;bone marrow;uterus;prostate;optic nerve;whole body;frontal lobe;endometrium;larynx;testis;brain;bladder;unclassifiable (Anatomical System);amygdala;cartilage;heart;tongue;spinal cord;muscle;blood;skeletal muscle;breast;pancreas;lung;mesenchyma;epididymis;placenta;visual apparatus;hippocampus;liver;spleen;head and neck;kidney;peripheral nerve;</t>
        </is>
      </c>
      <c r="H273" t="inlineStr">
        <is>
          <t>heart;tongue;fetal thyroid;trigeminal ganglion;skeletal muscle;</t>
        </is>
      </c>
      <c r="I273">
        <f>HYPERLINK("https://omim.org/entry/609524", "609524")</f>
        <v/>
      </c>
      <c r="J273">
        <f>HYPERLINK("https://omim.org/entry/614065", "614065")</f>
        <v/>
      </c>
      <c r="K273" t="inlineStr">
        <is>
          <t>.</t>
        </is>
      </c>
      <c r="L273" t="inlineStr">
        <is>
          <t>.</t>
        </is>
      </c>
      <c r="M273" t="inlineStr">
        <is>
          <t>.</t>
        </is>
      </c>
      <c r="N273" t="inlineStr">
        <is>
          <t>.</t>
        </is>
      </c>
      <c r="O273" t="inlineStr">
        <is>
          <t>.</t>
        </is>
      </c>
    </row>
    <row r="274">
      <c r="A274" t="inlineStr">
        <is>
          <t>FOLH1</t>
        </is>
      </c>
      <c r="B274" t="inlineStr">
        <is>
          <t>0.253396884638148</t>
        </is>
      </c>
      <c r="C274" t="inlineStr">
        <is>
          <t>folate hydrolase (prostate-specific membrane antigen) 1</t>
        </is>
      </c>
      <c r="D274" t="inlineStr">
        <is>
          <t xml:space="preserve">FUNCTION: Has both folate hydrolase and N-acetylated-alpha-linked- acidic dipeptidase (NAALADase) activity. Has a preference for tri- alpha-glutamate peptides. In the intestine, required for the uptake of folate. In the brain, modulates excitatory neurotransmission through the hydrolysis of the neuropeptide, N- aceylaspartylglutamate (NAAG), thereby releasing glutamate. Isoform PSM-4 and isoform PSM-5 would appear to be physiologically irrelevant. Involved in prostate tumor progression.; </t>
        </is>
      </c>
      <c r="E274" t="inlineStr">
        <is>
          <t>.</t>
        </is>
      </c>
      <c r="F274" t="inlineStr">
        <is>
          <t xml:space="preserve">TISSUE SPECIFICITY: Highly expressed in prostate epithelium. Detected in urinary bladder, kidney, testis, ovary, fallopian tube, breast, adrenal gland, liver, esophagus, stomach, small intestine, colon and brain (at protein level). Detected in the small intestine, brain, kidney, liver, spleen, colon, trachea, spinal cord and the capillary endothelium of a variety of tumors. Expressed specifically in jejunum brush border membranes. In the brain, highly expressed in the ventral striatum and brain stem. Also expressed in fetal liver and kidney. Isoform PSMA' is the most abundant form in normal prostate. Isoform PSMA-1 is the most abundant form in primary prostate tumors. Isoform PSMA-2 is also found in normal prostate as well as in brain and liver. Isoform PSMA-9 is specifically expressed in prostate cancer. {ECO:0000269|PubMed:14716746, ECO:0000269|PubMed:16555021, ECO:0000269|PubMed:17150306, ECO:0000269|PubMed:9375657}.; </t>
        </is>
      </c>
      <c r="G274" t="inlineStr">
        <is>
          <t>unclassifiable (Anatomical System);ovary;salivary gland;intestine;pharynx;colon;blood;skin;skeletal muscle;prostate;lung;frontal lobe;cornea;endometrium;visual apparatus;liver;testis;spleen;kidney;spinal ganglion;brain;mammary gland;peripheral nerve;</t>
        </is>
      </c>
      <c r="H274" t="inlineStr">
        <is>
          <t>amygdala;dorsal root ganglion;whole brain;thalamus;occipital lobe;medulla oblongata;olfactory bulb;salivary gland;hypothalamus;spinal cord;caudate nucleus;prostate;subthalamic nucleus;prefrontal cortex;ciliary ganglion;parietal lobe;cingulate cortex;</t>
        </is>
      </c>
      <c r="I274" t="inlineStr">
        <is>
          <t>.</t>
        </is>
      </c>
      <c r="J274" t="inlineStr">
        <is>
          <t>.</t>
        </is>
      </c>
      <c r="K274" t="inlineStr">
        <is>
          <t>.</t>
        </is>
      </c>
      <c r="L274" t="inlineStr">
        <is>
          <t>.</t>
        </is>
      </c>
      <c r="M274" t="inlineStr">
        <is>
          <t>.</t>
        </is>
      </c>
      <c r="N274" t="inlineStr">
        <is>
          <t>.</t>
        </is>
      </c>
      <c r="O274" t="inlineStr">
        <is>
          <t>.</t>
        </is>
      </c>
    </row>
    <row r="275">
      <c r="A275" t="inlineStr">
        <is>
          <t>FOXJ1</t>
        </is>
      </c>
      <c r="B275" t="inlineStr">
        <is>
          <t>0.826867383152592</t>
        </is>
      </c>
      <c r="C275" t="inlineStr">
        <is>
          <t>forkhead box J1</t>
        </is>
      </c>
      <c r="D275" t="inlineStr">
        <is>
          <t xml:space="preserve">FUNCTION: Transcription factor required for motile ciliogenesis. {ECO:0000250|UniProtKB:Q61660}.; </t>
        </is>
      </c>
      <c r="E275" t="inlineStr">
        <is>
          <t xml:space="preserve">DISEASE: Allergic rhinitis (ALRH) [MIM:607154]: A common disease with complex inheritance characterized by mucosal inflammation caused by allergen exposure. Note=Disease susceptibility may be associated with variations affecting the gene represented in this entry.; </t>
        </is>
      </c>
      <c r="F275" t="inlineStr">
        <is>
          <t xml:space="preserve">TISSUE SPECIFICITY: Testis, oviduct, lung and brain cortex.; </t>
        </is>
      </c>
      <c r="G275" t="inlineStr">
        <is>
          <t>unclassifiable (Anatomical System);ovary;cartilage;islets of Langerhans;colon;uterus;pancreas;lung;endometrium;testis;spleen;kidney;brain;stomach;</t>
        </is>
      </c>
      <c r="H275" t="inlineStr">
        <is>
          <t>subthalamic nucleus;ciliary ganglion;pons;atrioventricular node;trigeminal ganglion;skeletal muscle;</t>
        </is>
      </c>
      <c r="I275">
        <f>HYPERLINK("https://omim.org/entry/607154", "607154")</f>
        <v/>
      </c>
      <c r="J275" t="inlineStr">
        <is>
          <t>.</t>
        </is>
      </c>
      <c r="K275" t="inlineStr">
        <is>
          <t>.</t>
        </is>
      </c>
      <c r="L275" t="inlineStr">
        <is>
          <t>.</t>
        </is>
      </c>
      <c r="M275" t="inlineStr">
        <is>
          <t>.</t>
        </is>
      </c>
      <c r="N275" t="inlineStr">
        <is>
          <t>.</t>
        </is>
      </c>
      <c r="O275" t="inlineStr">
        <is>
          <t>.</t>
        </is>
      </c>
    </row>
    <row r="276">
      <c r="A276" t="inlineStr">
        <is>
          <t>FRMD4B</t>
        </is>
      </c>
      <c r="B276" t="inlineStr">
        <is>
          <t>0.807013707732818</t>
        </is>
      </c>
      <c r="C276" t="inlineStr">
        <is>
          <t>FERM domain containing 4B</t>
        </is>
      </c>
      <c r="D276" t="inlineStr">
        <is>
          <t xml:space="preserve">FUNCTION: Member of GRP1 signaling complexes that are acutely recruited to plasma membrane ruffles in response to insulin receptor signaling. May function as a scaffolding protein (By similarity). {ECO:0000250}.; </t>
        </is>
      </c>
      <c r="E276" t="inlineStr">
        <is>
          <t>.</t>
        </is>
      </c>
      <c r="F276" t="inlineStr">
        <is>
          <t>.</t>
        </is>
      </c>
      <c r="G276" t="inlineStr">
        <is>
          <t>.</t>
        </is>
      </c>
      <c r="H276" t="inlineStr">
        <is>
          <t>.</t>
        </is>
      </c>
      <c r="I276" t="inlineStr">
        <is>
          <t>.</t>
        </is>
      </c>
      <c r="J276" t="inlineStr">
        <is>
          <t>.</t>
        </is>
      </c>
      <c r="K276" t="inlineStr">
        <is>
          <t>.</t>
        </is>
      </c>
      <c r="L276" t="inlineStr">
        <is>
          <t>.</t>
        </is>
      </c>
      <c r="M276" t="inlineStr">
        <is>
          <t>.</t>
        </is>
      </c>
      <c r="N276" t="inlineStr">
        <is>
          <t>.</t>
        </is>
      </c>
      <c r="O276" t="inlineStr">
        <is>
          <t>.</t>
        </is>
      </c>
    </row>
    <row r="277">
      <c r="A277" t="inlineStr">
        <is>
          <t>FRMPD3</t>
        </is>
      </c>
      <c r="B277" t="inlineStr">
        <is>
          <t>0.910767889845881</t>
        </is>
      </c>
      <c r="C277" t="inlineStr">
        <is>
          <t>FERM and PDZ domain containing 3</t>
        </is>
      </c>
      <c r="D277" t="inlineStr">
        <is>
          <t>.</t>
        </is>
      </c>
      <c r="E277" t="inlineStr">
        <is>
          <t>.</t>
        </is>
      </c>
      <c r="F277" t="inlineStr">
        <is>
          <t>.</t>
        </is>
      </c>
      <c r="G277" t="inlineStr">
        <is>
          <t>unclassifiable (Anatomical System);amygdala;thyroid;testis;germinal center;brain;</t>
        </is>
      </c>
      <c r="H277" t="inlineStr">
        <is>
          <t>dorsal root ganglion;superior cervical ganglion;ciliary ganglion;</t>
        </is>
      </c>
      <c r="I277" t="inlineStr">
        <is>
          <t>.</t>
        </is>
      </c>
      <c r="J277" t="inlineStr">
        <is>
          <t>.</t>
        </is>
      </c>
      <c r="K277" t="inlineStr">
        <is>
          <t>.</t>
        </is>
      </c>
      <c r="L277" t="inlineStr">
        <is>
          <t>.</t>
        </is>
      </c>
      <c r="M277" t="inlineStr">
        <is>
          <t>.</t>
        </is>
      </c>
      <c r="N277" t="inlineStr">
        <is>
          <t>.</t>
        </is>
      </c>
      <c r="O277" t="inlineStr">
        <is>
          <t>.</t>
        </is>
      </c>
    </row>
    <row r="278">
      <c r="A278" t="inlineStr">
        <is>
          <t>FSTL5</t>
        </is>
      </c>
      <c r="B278" t="inlineStr">
        <is>
          <t>0.0025626068189185</t>
        </is>
      </c>
      <c r="C278" t="inlineStr">
        <is>
          <t>follistatin like 5</t>
        </is>
      </c>
      <c r="D278" t="inlineStr">
        <is>
          <t>.</t>
        </is>
      </c>
      <c r="E278" t="inlineStr">
        <is>
          <t>.</t>
        </is>
      </c>
      <c r="F278" t="inlineStr">
        <is>
          <t>.</t>
        </is>
      </c>
      <c r="G278" t="inlineStr">
        <is>
          <t>unclassifiable (Anatomical System);hypothalamus;fovea centralis;choroid;lens;skeletal muscle;skin;retina;optic nerve;lung;cochlea;macula lutea;pituitary gland;cervix;mammary gland;brain;</t>
        </is>
      </c>
      <c r="H278" t="inlineStr">
        <is>
          <t>subthalamic nucleus;ciliary ganglion;atrioventricular node;</t>
        </is>
      </c>
      <c r="I278" t="inlineStr">
        <is>
          <t>.</t>
        </is>
      </c>
      <c r="J278" t="inlineStr">
        <is>
          <t>.</t>
        </is>
      </c>
      <c r="K278" t="inlineStr">
        <is>
          <t>.</t>
        </is>
      </c>
      <c r="L278" t="inlineStr">
        <is>
          <t>.</t>
        </is>
      </c>
      <c r="M278" t="inlineStr">
        <is>
          <t>.</t>
        </is>
      </c>
      <c r="N278" t="inlineStr">
        <is>
          <t>.</t>
        </is>
      </c>
      <c r="O278" t="inlineStr">
        <is>
          <t>.</t>
        </is>
      </c>
    </row>
    <row r="279">
      <c r="A279" t="inlineStr">
        <is>
          <t>FUBP1</t>
        </is>
      </c>
      <c r="B279" t="inlineStr">
        <is>
          <t>0.999972830983476</t>
        </is>
      </c>
      <c r="C279" t="inlineStr">
        <is>
          <t>far upstream element binding protein 1</t>
        </is>
      </c>
      <c r="D279" t="inlineStr">
        <is>
          <t xml:space="preserve">FUNCTION: Regulates MYC expression by binding to a single-stranded far-upstream element (FUSE) upstream of the MYC promoter. May act both as activator and repressor of transcription. {ECO:0000269|PubMed:8125259}.; </t>
        </is>
      </c>
      <c r="E279" t="inlineStr">
        <is>
          <t>.</t>
        </is>
      </c>
      <c r="F279" t="inlineStr">
        <is>
          <t>.</t>
        </is>
      </c>
      <c r="G279" t="inlineStr">
        <is>
          <t>skin;retina;bone marrow;uterus;prostate;whole body;frontal lobe;endometrium;thyroid;bone;testis;germinal center;brain;tonsil;unclassifiable (Anatomical System);lymph node;heart;cartilage;islets of Langerhans;blood;skeletal muscle;breast;lung;epididymis;nasopharynx;placenta;visual apparatus;kidney;mammary gland;stomach;peripheral nerve;thymus;</t>
        </is>
      </c>
      <c r="H279" t="inlineStr">
        <is>
          <t>dorsal root ganglion;subthalamic nucleus;superior cervical ganglion;lymph node;testis - seminiferous tubule;fetal brain;globus pallidus;appendix;ciliary ganglion;atrioventricular node;trigeminal ganglion;skeletal muscle;</t>
        </is>
      </c>
      <c r="I279" t="inlineStr">
        <is>
          <t>.</t>
        </is>
      </c>
      <c r="J279" t="inlineStr">
        <is>
          <t>.</t>
        </is>
      </c>
      <c r="K279" t="inlineStr">
        <is>
          <t>.</t>
        </is>
      </c>
      <c r="L279" t="inlineStr">
        <is>
          <t>.</t>
        </is>
      </c>
      <c r="M279" t="inlineStr">
        <is>
          <t>.</t>
        </is>
      </c>
      <c r="N279" t="inlineStr">
        <is>
          <t>.</t>
        </is>
      </c>
      <c r="O279" t="inlineStr">
        <is>
          <t>.</t>
        </is>
      </c>
    </row>
    <row r="280">
      <c r="A280" t="inlineStr">
        <is>
          <t>FUCA2</t>
        </is>
      </c>
      <c r="B280" t="inlineStr">
        <is>
          <t>0.000365583505701958</t>
        </is>
      </c>
      <c r="C280" t="inlineStr">
        <is>
          <t>fucosidase, alpha-L- 2, plasma</t>
        </is>
      </c>
      <c r="D280" t="inlineStr">
        <is>
          <t xml:space="preserve">FUNCTION: Alpha-L-fucosidase is responsible for hydrolyzing the alpha-1,6-linked fucose joined to the reducing-end N- acetylglucosamine of the carbohydrate moieties of glycoproteins.; </t>
        </is>
      </c>
      <c r="E280" t="inlineStr">
        <is>
          <t>.</t>
        </is>
      </c>
      <c r="F280" t="inlineStr">
        <is>
          <t>.</t>
        </is>
      </c>
      <c r="G280" t="inlineStr">
        <is>
          <t>myocardium;smooth muscle;ovary;salivary gland;intestine;colon;parathyroid;skin;bone marrow;uterus;prostate;whole body;frontal lobe;cerebral cortex;endometrium;oesophagus;bone;thyroid;pituitary gland;testis;brain;bladder;unclassifiable (Anatomical System);cartilage;heart;islets of Langerhans;hypothalamus;pharynx;blood;breast;pancreas;lung;mesenchyma;nasopharynx;placenta;visual apparatus;hypopharynx;liver;cervix;spleen;head and neck;kidney;mammary gland;stomach;</t>
        </is>
      </c>
      <c r="H280" t="inlineStr">
        <is>
          <t>.</t>
        </is>
      </c>
      <c r="I280" t="inlineStr">
        <is>
          <t>.</t>
        </is>
      </c>
      <c r="J280" t="inlineStr">
        <is>
          <t>.</t>
        </is>
      </c>
      <c r="K280" t="inlineStr">
        <is>
          <t>.</t>
        </is>
      </c>
      <c r="L280" t="inlineStr">
        <is>
          <t>.</t>
        </is>
      </c>
      <c r="M280" t="inlineStr">
        <is>
          <t>.</t>
        </is>
      </c>
      <c r="N280" t="inlineStr">
        <is>
          <t>.</t>
        </is>
      </c>
      <c r="O280" t="inlineStr">
        <is>
          <t>.</t>
        </is>
      </c>
    </row>
    <row r="281">
      <c r="A281" t="inlineStr">
        <is>
          <t>GABRB1</t>
        </is>
      </c>
      <c r="B281" t="inlineStr">
        <is>
          <t>0.977782832819184</t>
        </is>
      </c>
      <c r="C281" t="inlineStr">
        <is>
          <t>gamma-aminobutyric acid type A receptor beta1 subunit</t>
        </is>
      </c>
      <c r="D281" t="inlineStr">
        <is>
          <t xml:space="preserve">FUNCTION: Component of the heteropentameric receptor for GABA, the major inhibitory neurotransmitter in the vertebrate brain. Functions also as histamine receptor and mediates cellular responses to histamine. Functions as receptor for diazepines and various anesthetics, such as pentobarbital; these are bound at a separate allosteric effector binding site. Functions as ligand- gated chloride channel (By similarity). {ECO:0000250}.; </t>
        </is>
      </c>
      <c r="E281" t="inlineStr">
        <is>
          <t>.</t>
        </is>
      </c>
      <c r="F281" t="inlineStr">
        <is>
          <t>.</t>
        </is>
      </c>
      <c r="G281" t="inlineStr">
        <is>
          <t>unclassifiable (Anatomical System);frontal lobe;hypothalamus;bone;placenta;kidney;brain;</t>
        </is>
      </c>
      <c r="H281" t="inlineStr">
        <is>
          <t>amygdala;subthalamic nucleus;medulla oblongata;superior cervical ganglion;occipital lobe;temporal lobe;prefrontal cortex;globus pallidus;pons;trigeminal ganglion;cingulate cortex;parietal lobe;</t>
        </is>
      </c>
      <c r="I281" t="inlineStr">
        <is>
          <t>.</t>
        </is>
      </c>
      <c r="J281" t="inlineStr">
        <is>
          <t>.</t>
        </is>
      </c>
      <c r="K281" t="inlineStr">
        <is>
          <t>.</t>
        </is>
      </c>
      <c r="L281" t="inlineStr">
        <is>
          <t>.</t>
        </is>
      </c>
      <c r="M281" t="inlineStr">
        <is>
          <t>.</t>
        </is>
      </c>
      <c r="N281" t="inlineStr">
        <is>
          <t>.</t>
        </is>
      </c>
      <c r="O281" t="inlineStr">
        <is>
          <t>.</t>
        </is>
      </c>
    </row>
    <row r="282">
      <c r="A282" t="inlineStr">
        <is>
          <t>GABRD</t>
        </is>
      </c>
      <c r="B282" t="inlineStr">
        <is>
          <t>0.923498878454823</t>
        </is>
      </c>
      <c r="C282" t="inlineStr">
        <is>
          <t>gamma-aminobutyric acid type A receptor delta subunit</t>
        </is>
      </c>
      <c r="D282" t="inlineStr">
        <is>
          <t xml:space="preserve">FUNCTION: GABA, the major inhibitory neurotransmitter in the vertebrate brain, mediates neuronal inhibition by binding to the GABA/benzodiazepine receptor and opening an integral chloride channel.; </t>
        </is>
      </c>
      <c r="E282" t="inlineStr">
        <is>
          <t xml:space="preserve">DISEASE: Generalized epilepsy with febrile seizures plus 5 (GEFS+5) [MIM:613060]: A rare autosomal dominant, familial condition with incomplete penetrance and large intrafamilial variability. Patients display febrile seizures persisting sometimes beyond the age of 6 years and/or a variety of afebrile seizure types. This disease combines febrile seizures, generalized seizures often precipitated by fever at age 6 years or more, and partial seizures, with a variable degree of severity. {ECO:0000269|PubMed:15115768}. Note=Disease susceptibility is associated with variations affecting the gene represented in this entry.; DISEASE: Epilepsy, idiopathic generalized 10 (EIG10) [MIM:613060]: A disorder characterized by recurring generalized seizures in the absence of detectable brain lesions and/or metabolic abnormalities. Generalized seizures arise diffusely and simultaneously from both hemispheres of the brain. Note=Disease susceptibility is associated with variations affecting the gene represented in this entry.; DISEASE: Juvenile myoclonic epilepsy 7 (EJM7) [MIM:613060]: A subtype of idiopathic generalized epilepsy. Patients have afebrile seizures only, with onset in adolescence (rather than in childhood) and myoclonic jerks which usually occur after awakening and are triggered by sleep deprivation and fatigue. Note=Disease susceptibility is associated with variations affecting the gene represented in this entry.; </t>
        </is>
      </c>
      <c r="F282" t="inlineStr">
        <is>
          <t>.</t>
        </is>
      </c>
      <c r="G282" t="inlineStr">
        <is>
          <t>.</t>
        </is>
      </c>
      <c r="H282" t="inlineStr">
        <is>
          <t>.</t>
        </is>
      </c>
      <c r="I282">
        <f>HYPERLINK("https://omim.org/entry/613060", "613060")</f>
        <v/>
      </c>
      <c r="J282">
        <f>HYPERLINK("https://omim.org/entry/613060", "613060")</f>
        <v/>
      </c>
      <c r="K282">
        <f>HYPERLINK("https://omim.org/entry/613060", "613060")</f>
        <v/>
      </c>
      <c r="L282" t="inlineStr">
        <is>
          <t>.</t>
        </is>
      </c>
      <c r="M282" t="inlineStr">
        <is>
          <t>.</t>
        </is>
      </c>
      <c r="N282" t="inlineStr">
        <is>
          <t>.</t>
        </is>
      </c>
      <c r="O282" t="inlineStr">
        <is>
          <t>.</t>
        </is>
      </c>
    </row>
    <row r="283">
      <c r="A283" t="inlineStr">
        <is>
          <t>GALM</t>
        </is>
      </c>
      <c r="B283" t="inlineStr">
        <is>
          <t>8.92598000417204e-09</t>
        </is>
      </c>
      <c r="C283" t="inlineStr">
        <is>
          <t>galactose mutarotase (aldose 1-epimerase)</t>
        </is>
      </c>
      <c r="D283" t="inlineStr">
        <is>
          <t xml:space="preserve">FUNCTION: Mutarotase converts alpha-aldose to the beta-anomer. It is active on D-glucose, L-arabinose, D-xylose, D-galactose, maltose and lactose (By similarity). {ECO:0000250, ECO:0000269|PubMed:12753898, ECO:0000269|PubMed:15026423}.; </t>
        </is>
      </c>
      <c r="E283" t="inlineStr">
        <is>
          <t>.</t>
        </is>
      </c>
      <c r="F283" t="inlineStr">
        <is>
          <t>.</t>
        </is>
      </c>
      <c r="G283" t="inlineStr">
        <is>
          <t>colon;parathyroid;skin;uterus;prostate;endometrium;thyroid;bone;brain;pineal gland;unclassifiable (Anatomical System);cartilage;heart;tongue;islets of Langerhans;hypothalamus;adrenal cortex;blood;lens;skeletal muscle;breast;pancreas;lung;adrenal gland;nasopharynx;placenta;liver;spleen;head and neck;kidney;stomach;</t>
        </is>
      </c>
      <c r="H283" t="inlineStr">
        <is>
          <t>superior cervical ganglion;kidney;atrioventricular node;trigeminal ganglion;skeletal muscle;</t>
        </is>
      </c>
      <c r="I283" t="inlineStr">
        <is>
          <t>.</t>
        </is>
      </c>
      <c r="J283" t="inlineStr">
        <is>
          <t>.</t>
        </is>
      </c>
      <c r="K283" t="inlineStr">
        <is>
          <t>.</t>
        </is>
      </c>
      <c r="L283" t="inlineStr">
        <is>
          <t>.</t>
        </is>
      </c>
      <c r="M283" t="inlineStr">
        <is>
          <t>.</t>
        </is>
      </c>
      <c r="N283" t="inlineStr">
        <is>
          <t>.</t>
        </is>
      </c>
      <c r="O283" t="inlineStr">
        <is>
          <t>.</t>
        </is>
      </c>
    </row>
    <row r="284">
      <c r="A284" t="inlineStr">
        <is>
          <t>GALNTL6</t>
        </is>
      </c>
      <c r="B284" t="inlineStr">
        <is>
          <t>0.00165568126276253</t>
        </is>
      </c>
      <c r="C284" t="inlineStr">
        <is>
          <t>polypeptide N-acetylgalactosaminyltransferase-like 6</t>
        </is>
      </c>
      <c r="D284" t="inlineStr">
        <is>
          <t xml:space="preserve">FUNCTION: Catalyzes the initial reaction in O-linked oligosaccharide biosynthesis, the transfer of an N-acetyl-D- galactosamine residue to a serine or threonine residue on the protein receptor. {ECO:0000250}.; </t>
        </is>
      </c>
      <c r="E284" t="inlineStr">
        <is>
          <t>.</t>
        </is>
      </c>
      <c r="F284" t="inlineStr">
        <is>
          <t>.</t>
        </is>
      </c>
      <c r="G284" t="inlineStr">
        <is>
          <t>.</t>
        </is>
      </c>
      <c r="H284" t="inlineStr">
        <is>
          <t>.</t>
        </is>
      </c>
      <c r="I284" t="inlineStr">
        <is>
          <t>.</t>
        </is>
      </c>
      <c r="J284" t="inlineStr">
        <is>
          <t>.</t>
        </is>
      </c>
      <c r="K284" t="inlineStr">
        <is>
          <t>.</t>
        </is>
      </c>
      <c r="L284" t="inlineStr">
        <is>
          <t>.</t>
        </is>
      </c>
      <c r="M284" t="inlineStr">
        <is>
          <t>.</t>
        </is>
      </c>
      <c r="N284" t="inlineStr">
        <is>
          <t>.</t>
        </is>
      </c>
      <c r="O284" t="inlineStr">
        <is>
          <t>.</t>
        </is>
      </c>
    </row>
    <row r="285">
      <c r="A285" t="inlineStr">
        <is>
          <t>GANAB</t>
        </is>
      </c>
      <c r="B285" t="inlineStr">
        <is>
          <t>0.99994841038629</t>
        </is>
      </c>
      <c r="C285" t="inlineStr">
        <is>
          <t>glucosidase II alpha subunit</t>
        </is>
      </c>
      <c r="D285" t="inlineStr">
        <is>
          <t xml:space="preserve">FUNCTION: Cleaves sequentially the 2 innermost alpha-1,3-linked glucose residues from the Glc(2)Man(9)GlcNAc(2) oligosaccharide precursor of immature glycoproteins. {ECO:0000269|PubMed:10929008}.; </t>
        </is>
      </c>
      <c r="E285" t="inlineStr">
        <is>
          <t>.</t>
        </is>
      </c>
      <c r="F285" t="inlineStr">
        <is>
          <t xml:space="preserve">TISSUE SPECIFICITY: Detected in placenta. {ECO:0000269|PubMed:3881423}.; </t>
        </is>
      </c>
      <c r="G285" t="inlineStr">
        <is>
          <t>myocardium;ovary;skin;bone marrow;retina;prostate;optic nerve;endometrium;thyroid;germinal center;bladder;brain;heart;pineal body;adrenal cortex;pharynx;blood;lens;breast;visual apparatus;liver;spleen;cervix;mammary gland;peripheral nerve;salivary gland;intestine;colon;parathyroid;choroid;uterus;whole body;larynx;bone;pituitary gland;testis;unclassifiable (Anatomical System);lymph node;lacrimal gland;islets of Langerhans;bile duct;pancreas;lung;placenta;hypopharynx;head and neck;kidney;stomach;aorta;thymus;</t>
        </is>
      </c>
      <c r="H285" t="inlineStr">
        <is>
          <t>adrenal gland;placenta;kidney;trigeminal ganglion;</t>
        </is>
      </c>
      <c r="I285" t="inlineStr">
        <is>
          <t>.</t>
        </is>
      </c>
      <c r="J285" t="inlineStr">
        <is>
          <t>.</t>
        </is>
      </c>
      <c r="K285" t="inlineStr">
        <is>
          <t>.</t>
        </is>
      </c>
      <c r="L285" t="inlineStr">
        <is>
          <t>.</t>
        </is>
      </c>
      <c r="M285" t="inlineStr">
        <is>
          <t>.</t>
        </is>
      </c>
      <c r="N285" t="inlineStr">
        <is>
          <t>.</t>
        </is>
      </c>
      <c r="O285" t="inlineStr">
        <is>
          <t>.</t>
        </is>
      </c>
    </row>
    <row r="286">
      <c r="A286" t="inlineStr">
        <is>
          <t>GAR1</t>
        </is>
      </c>
      <c r="B286" t="inlineStr">
        <is>
          <t>0.812564980288159</t>
        </is>
      </c>
      <c r="C286" t="inlineStr">
        <is>
          <t>GAR1 ribonucleoprotein</t>
        </is>
      </c>
      <c r="D286" t="inlineStr">
        <is>
          <t xml:space="preserve">FUNCTION: Required for ribosome biogenesis and telomere maintenance. Part of the H/ACA small nucleolar ribonucleoprotein (H/ACA snoRNP) complex, which catalyzes pseudouridylation of rRNA. This involves the isomerization of uridine such that the ribose is subsequently attached to C5, instead of the normal N1. Each rRNA can contain up to 100 pseudouridine ("psi") residues, which may serve to stabilize the conformation of rRNAs. May also be required for correct processing or intranuclear trafficking of TERC, the RNA component of the telomerase reverse transcriptase (TERT) holoenzyme. {ECO:0000269|PubMed:10757788, ECO:0000269|PubMed:15044956}.; </t>
        </is>
      </c>
      <c r="E286" t="inlineStr">
        <is>
          <t>.</t>
        </is>
      </c>
      <c r="F286" t="inlineStr">
        <is>
          <t>.</t>
        </is>
      </c>
      <c r="G286" t="inlineStr">
        <is>
          <t>unclassifiable (Anatomical System);uterus;lung;placenta;testis;lens;skin;skeletal muscle;stomach;</t>
        </is>
      </c>
      <c r="H286" t="inlineStr">
        <is>
          <t>tumor;testis;</t>
        </is>
      </c>
      <c r="I286" t="inlineStr">
        <is>
          <t>.</t>
        </is>
      </c>
      <c r="J286" t="inlineStr">
        <is>
          <t>.</t>
        </is>
      </c>
      <c r="K286" t="inlineStr">
        <is>
          <t>.</t>
        </is>
      </c>
      <c r="L286" t="inlineStr">
        <is>
          <t>.</t>
        </is>
      </c>
      <c r="M286" t="inlineStr">
        <is>
          <t>.</t>
        </is>
      </c>
      <c r="N286" t="inlineStr">
        <is>
          <t>.</t>
        </is>
      </c>
      <c r="O286" t="inlineStr">
        <is>
          <t>.</t>
        </is>
      </c>
    </row>
    <row r="287">
      <c r="A287" t="inlineStr">
        <is>
          <t>GAREM1</t>
        </is>
      </c>
      <c r="B287" t="inlineStr">
        <is>
          <t>.</t>
        </is>
      </c>
      <c r="C287" t="inlineStr">
        <is>
          <t>GRB2 associated regulator of MAPK1 subtype 1</t>
        </is>
      </c>
      <c r="D287" t="inlineStr">
        <is>
          <t xml:space="preserve">FUNCTION: Isoform 1: Acts as an adapter protein that plays a role in intracellular signaling cascades triggered either by the cell surface activated epidermal growth factor receptor and/or cytoplasmic protein tyrosine kinases. Promotes activation of the MAPK/ERK signaling pathway. Plays a role in the regulation of cell proliferation. {ECO:0000269|PubMed:19509291}.; </t>
        </is>
      </c>
      <c r="E287" t="inlineStr">
        <is>
          <t>.</t>
        </is>
      </c>
      <c r="F287" t="inlineStr">
        <is>
          <t xml:space="preserve">TISSUE SPECIFICITY: Isoform 1 is ubiquitously expressed. {ECO:0000269|PubMed:19509291}.; </t>
        </is>
      </c>
      <c r="G287" t="inlineStr">
        <is>
          <t>.</t>
        </is>
      </c>
      <c r="H287" t="inlineStr">
        <is>
          <t>.</t>
        </is>
      </c>
      <c r="I287" t="inlineStr">
        <is>
          <t>.</t>
        </is>
      </c>
      <c r="J287" t="inlineStr">
        <is>
          <t>.</t>
        </is>
      </c>
      <c r="K287" t="inlineStr">
        <is>
          <t>.</t>
        </is>
      </c>
      <c r="L287" t="inlineStr">
        <is>
          <t>.</t>
        </is>
      </c>
      <c r="M287" t="inlineStr">
        <is>
          <t>.</t>
        </is>
      </c>
      <c r="N287" t="inlineStr">
        <is>
          <t>.</t>
        </is>
      </c>
      <c r="O287" t="inlineStr">
        <is>
          <t>.</t>
        </is>
      </c>
    </row>
    <row r="288">
      <c r="A288" t="inlineStr">
        <is>
          <t>GATA5</t>
        </is>
      </c>
      <c r="B288" t="inlineStr">
        <is>
          <t>0.250742908677773</t>
        </is>
      </c>
      <c r="C288" t="inlineStr">
        <is>
          <t>GATA binding protein 5</t>
        </is>
      </c>
      <c r="D288" t="inlineStr">
        <is>
          <t xml:space="preserve">FUNCTION: Transcription factor required during cardiovascular development (PubMed:23289003). Plays an important role in the transcriptional program(s) that underlies smooth muscle cell diversity (By similarity). Binds to the functionally important CEF-1 nuclear protein binding site in the cardiac-specific slow/cardiac troponin C transcriptional enhancer (PubMed:25543888). {ECO:0000250|UniProtKB:P97489, ECO:0000269|PubMed:23289003, ECO:0000269|PubMed:25543888}.; </t>
        </is>
      </c>
      <c r="E288" t="inlineStr">
        <is>
          <t xml:space="preserve">DISEASE: Note=Rare variants in GATA5 may be a cause of susceptibility to atrial fibrillation, a common sustained cardiac rhythm disturbance. Atrial fibrillation is characterized by disorganized atrial electrical activity and ineffective atrial contraction promoting blood stasis in the atria and reduces ventricular filling. It can result in palpitations, syncope, thromboembolic stroke, and congestive heart failure. {ECO:0000269|PubMed:22483626, ECO:0000269|PubMed:23175127, ECO:0000269|PubMed:23295592}.; DISEASE: Note=Rare variants in GATA5 may be a cause of susceptibility to Tetraology of Fallot (TOF) [MIM:187500]. TOF is a congenital heart anomaly which consists of pulmonary stenosis, ventricular septal defect, dextroposition of the aorta (aorta is on the right side instead of the left) and hypertrophy of the right ventricle. In this condition, blood from both ventricles (oxygen-rich and oxygen-poor) is pumped into the body often causing cyanosis. {ECO:0000269|PubMed:23289003, ECO:0000269|PubMed:24573614}.; DISEASE: Note=Rare variants in GATA5 may be a cause of susceptibility to ventriculoseptal defect (VSD). VSD is a congenital heart disease which may lead to cardiac enlargement, ventricular dysfunction or heart failure, poor quality of life, pulmonary hypertension, Eisenmenger's syndrome, delayed fetal brain development, arrhythmias, and even sudden cardiac death in the absence of surgical treatment or transcatheter repair. {ECO:0000269|PubMed:22961344}.; DISEASE: Note=Rare variants in GATA5 may be a cause of susceptibility to aortic valve disease (AOVD). AOVD is a common defect in the aortic valve in which two rather than three leaflets are present. It is often associated with aortic valve calcification, stenosis and insufficiency. In extreme cases, the blood flow may be so restricted that the left ventricle fails to grow, resulting in hypoplastic left heart syndrome. {ECO:0000269|PubMed:24638895}.; DISEASE: Note=Rare variants in GATA5 may be a cause of susceptibility to dilated cardiomyopathy (CMD). CMD is a disorder characterized by ventricular dilation and impaired systolic function, resulting in congestive heart failure and arrhythmia. Patients are at risk of premature death. {ECO:0000269|PubMed:22641149, ECO:0000269|PubMed:25543888}.; </t>
        </is>
      </c>
      <c r="F288" t="inlineStr">
        <is>
          <t>.</t>
        </is>
      </c>
      <c r="G288" t="inlineStr">
        <is>
          <t>unclassifiable (Anatomical System);uterus;prostate;lung;cartilage;liver;testis;spleen;kidney;</t>
        </is>
      </c>
      <c r="H288" t="inlineStr">
        <is>
          <t>dorsal root ganglion;superior cervical ganglion;adrenal gland;ciliary ganglion;atrioventricular node;pons;trigeminal ganglion;skeletal muscle;</t>
        </is>
      </c>
      <c r="I288">
        <f>HYPERLINK("https://omim.org/entry/187500", "187500")</f>
        <v/>
      </c>
      <c r="J288" t="inlineStr">
        <is>
          <t>.</t>
        </is>
      </c>
      <c r="K288" t="inlineStr">
        <is>
          <t>.</t>
        </is>
      </c>
      <c r="L288" t="inlineStr">
        <is>
          <t>.</t>
        </is>
      </c>
      <c r="M288" t="inlineStr">
        <is>
          <t>.</t>
        </is>
      </c>
      <c r="N288" t="inlineStr">
        <is>
          <t>.</t>
        </is>
      </c>
      <c r="O288" t="inlineStr">
        <is>
          <t>.</t>
        </is>
      </c>
    </row>
    <row r="289">
      <c r="A289" t="inlineStr">
        <is>
          <t>GATS</t>
        </is>
      </c>
      <c r="B289" t="inlineStr">
        <is>
          <t>0.000965025102116515</t>
        </is>
      </c>
      <c r="C289" t="inlineStr">
        <is>
          <t>GATS, stromal antigen 3 opposite strand</t>
        </is>
      </c>
      <c r="D289" t="inlineStr">
        <is>
          <t>.</t>
        </is>
      </c>
      <c r="E289" t="inlineStr">
        <is>
          <t>.</t>
        </is>
      </c>
      <c r="F289" t="inlineStr">
        <is>
          <t>.</t>
        </is>
      </c>
      <c r="G289" t="inlineStr">
        <is>
          <t>.</t>
        </is>
      </c>
      <c r="H289" t="inlineStr">
        <is>
          <t>.</t>
        </is>
      </c>
      <c r="I289" t="inlineStr">
        <is>
          <t>.</t>
        </is>
      </c>
      <c r="J289" t="inlineStr">
        <is>
          <t>.</t>
        </is>
      </c>
      <c r="K289" t="inlineStr">
        <is>
          <t>.</t>
        </is>
      </c>
      <c r="L289" t="inlineStr">
        <is>
          <t>.</t>
        </is>
      </c>
      <c r="M289" t="inlineStr">
        <is>
          <t>.</t>
        </is>
      </c>
      <c r="N289" t="inlineStr">
        <is>
          <t>.</t>
        </is>
      </c>
      <c r="O289" t="inlineStr">
        <is>
          <t>.</t>
        </is>
      </c>
    </row>
    <row r="290">
      <c r="A290" t="inlineStr">
        <is>
          <t>GDNF</t>
        </is>
      </c>
      <c r="B290" t="inlineStr">
        <is>
          <t>0.698672292120293</t>
        </is>
      </c>
      <c r="C290" t="inlineStr">
        <is>
          <t>glial cell derived neurotrophic factor</t>
        </is>
      </c>
      <c r="D290" t="inlineStr">
        <is>
          <t xml:space="preserve">FUNCTION: Neurotrophic factor that enhances survival and morphological differentiation of dopaminergic neurons and increases their high-affinity dopamine uptake. {ECO:0000269|PubMed:8493557}.; </t>
        </is>
      </c>
      <c r="E290" t="inlineStr">
        <is>
          <t xml:space="preserve">DISEASE: Hirschsprung disease 3 (HSCR3) [MIM:613711]: A disorder of neural crest development characterized by absence of enteric ganglia along a variable length of the intestine. It is the most common cause of congenital intestinal obstruction. Early symptoms range from complete acute neonatal obstruction, characterized by vomiting, abdominal distention and failure to pass stool, to chronic constipation in the older child. {ECO:0000269|PubMed:10917288, ECO:0000269|PubMed:8896568, ECO:0000269|PubMed:8896569, ECO:0000269|PubMed:8968758}. Note=The disease may be caused by mutations affecting the gene represented in this entry.; DISEASE: Congenital central hypoventilation syndrome (CCHS) [MIM:209880]: Rare disorder characterized by abnormal control of respiration in the absence of neuromuscular or lung disease, or an identifiable brain stem lesion. A deficiency in autonomic control of respiration results in inadequate or negligible ventilatory and arousal responses to hypercapnia and hypoxemia. {ECO:0000269|PubMed:9497256}. Note=The disease is caused by mutations affecting the gene represented in this entry.; </t>
        </is>
      </c>
      <c r="F290" t="inlineStr">
        <is>
          <t xml:space="preserve">TISSUE SPECIFICITY: In the brain, predominantly expressed in the striatum with highest levels in the caudate and lowest in the putamen. Isoform 2 is absent from most tissues except for low levels in intestine and kidney. Highest expression of isoform 3 is found in pancreatic islets. Isoform 5 is expressed at very low levels in putamen, nucleus accumbens, prefrontal cortex, amygdala, hypothalamus and intestine. Isoform 3 is up-regulated in the middle temporal gyrus of Alzheimer disease patients while isoform 2 shows no change. {ECO:0000269|PubMed:22081608, ECO:0000269|PubMed:7867768}.; </t>
        </is>
      </c>
      <c r="G290" t="inlineStr">
        <is>
          <t>.</t>
        </is>
      </c>
      <c r="H290" t="inlineStr">
        <is>
          <t>.</t>
        </is>
      </c>
      <c r="I290">
        <f>HYPERLINK("https://omim.org/entry/613711", "613711")</f>
        <v/>
      </c>
      <c r="J290">
        <f>HYPERLINK("https://omim.org/entry/209880", "209880")</f>
        <v/>
      </c>
      <c r="K290" t="inlineStr">
        <is>
          <t>.</t>
        </is>
      </c>
      <c r="L290" t="inlineStr">
        <is>
          <t>.</t>
        </is>
      </c>
      <c r="M290" t="inlineStr">
        <is>
          <t>.</t>
        </is>
      </c>
      <c r="N290" t="inlineStr">
        <is>
          <t>.</t>
        </is>
      </c>
      <c r="O290" t="inlineStr">
        <is>
          <t>.</t>
        </is>
      </c>
    </row>
    <row r="291">
      <c r="A291" t="inlineStr">
        <is>
          <t>GFPT2</t>
        </is>
      </c>
      <c r="B291" t="inlineStr">
        <is>
          <t>6.62530503452039e-07</t>
        </is>
      </c>
      <c r="C291" t="inlineStr">
        <is>
          <t>glutamine-fructose-6-phosphate transaminase 2</t>
        </is>
      </c>
      <c r="D291" t="inlineStr">
        <is>
          <t xml:space="preserve">FUNCTION: Controls the flux of glucose into the hexosamine pathway. Most likely involved in regulating the availability of precursors for N- and O-linked glycosylation of proteins.; </t>
        </is>
      </c>
      <c r="E291" t="inlineStr">
        <is>
          <t>.</t>
        </is>
      </c>
      <c r="F291" t="inlineStr">
        <is>
          <t xml:space="preserve">TISSUE SPECIFICITY: Highest levels of expression in heart, placenta, and spinal cord.; </t>
        </is>
      </c>
      <c r="G291" t="inlineStr">
        <is>
          <t>ovary;colon;parathyroid;skin;retina;bone marrow;uterus;prostate;optic nerve;cochlea;bone;iris;testis;germinal center;brain;unclassifiable (Anatomical System);trophoblast;heart;cartilage;islets of Langerhans;urinary;adrenal cortex;skeletal muscle;pancreas;lung;placenta;duodenum;mammary gland;</t>
        </is>
      </c>
      <c r="H291" t="inlineStr">
        <is>
          <t>dorsal root ganglion;superior cervical ganglion;smooth muscle;ciliary ganglion;pons;atrioventricular node;trigeminal ganglion;</t>
        </is>
      </c>
      <c r="I291" t="inlineStr">
        <is>
          <t>.</t>
        </is>
      </c>
      <c r="J291" t="inlineStr">
        <is>
          <t>.</t>
        </is>
      </c>
      <c r="K291" t="inlineStr">
        <is>
          <t>.</t>
        </is>
      </c>
      <c r="L291" t="inlineStr">
        <is>
          <t>.</t>
        </is>
      </c>
      <c r="M291" t="inlineStr">
        <is>
          <t>.</t>
        </is>
      </c>
      <c r="N291" t="inlineStr">
        <is>
          <t>.</t>
        </is>
      </c>
      <c r="O291" t="inlineStr">
        <is>
          <t>.</t>
        </is>
      </c>
    </row>
    <row r="292">
      <c r="A292" t="inlineStr">
        <is>
          <t>GGA3</t>
        </is>
      </c>
      <c r="B292" t="inlineStr">
        <is>
          <t>0.505243695718199</t>
        </is>
      </c>
      <c r="C292" t="inlineStr">
        <is>
          <t>golgi-associated, gamma adaptin ear containing, ARF binding protein 3</t>
        </is>
      </c>
      <c r="D292" t="inlineStr">
        <is>
          <t xml:space="preserve">FUNCTION: Plays a role in protein sorting and trafficking between the trans-Golgi network (TGN) and endosomes. Mediates the ARF- dependent recruitment of clathrin to the TGN and binds ubiquitinated proteins and membrane cargo molecules with a cytosolic acidic cluster-dileucine (AC-LL) motif. {ECO:0000269|PubMed:11301005}.; </t>
        </is>
      </c>
      <c r="E292" t="inlineStr">
        <is>
          <t>.</t>
        </is>
      </c>
      <c r="F292" t="inlineStr">
        <is>
          <t xml:space="preserve">TISSUE SPECIFICITY: Ubiquitously expressed.; </t>
        </is>
      </c>
      <c r="G292" t="inlineStr">
        <is>
          <t>ovary;salivary gland;sympathetic chain;intestine;colon;parathyroid;skin;retina;uterus;prostate;frontal lobe;cerebral cortex;endometrium;larynx;bone;thyroid;pituitary gland;testis;germinal center;brain;bladder;unclassifiable (Anatomical System);lymph node;cartilage;heart;tongue;islets of Langerhans;pharynx;blood;lens;skeletal muscle;breast;pancreas;lung;cornea;epididymis;placenta;hippocampus;visual apparatus;liver;spleen;head and neck;cervix;kidney;mammary gland;stomach;thymus;</t>
        </is>
      </c>
      <c r="H292" t="inlineStr">
        <is>
          <t>dorsal root ganglion;superior cervical ganglion;globus pallidus;ciliary ganglion;atrioventricular node;pons;trigeminal ganglion;parietal lobe;skeletal muscle;cerebellum;</t>
        </is>
      </c>
      <c r="I292" t="inlineStr">
        <is>
          <t>.</t>
        </is>
      </c>
      <c r="J292" t="inlineStr">
        <is>
          <t>.</t>
        </is>
      </c>
      <c r="K292" t="inlineStr">
        <is>
          <t>.</t>
        </is>
      </c>
      <c r="L292" t="inlineStr">
        <is>
          <t>.</t>
        </is>
      </c>
      <c r="M292" t="inlineStr">
        <is>
          <t>.</t>
        </is>
      </c>
      <c r="N292" t="inlineStr">
        <is>
          <t>.</t>
        </is>
      </c>
      <c r="O292" t="inlineStr">
        <is>
          <t>.</t>
        </is>
      </c>
    </row>
    <row r="293">
      <c r="A293" t="inlineStr">
        <is>
          <t>GGT1</t>
        </is>
      </c>
      <c r="B293" t="inlineStr">
        <is>
          <t>0.676974716705773</t>
        </is>
      </c>
      <c r="C293" t="inlineStr">
        <is>
          <t>gamma-glutamyltransferase 1</t>
        </is>
      </c>
      <c r="D293" t="inlineStr">
        <is>
          <t xml:space="preserve">FUNCTION: Cleaves the gamma-glutamyl bond of extracellular glutathione (gamma-Glu-Cys-Gly), glutathione conjugates, and other gamma-glutamyl compounds. The metabolism of glutathione releases free glutamate and the dipeptide, cysteinyl-glycine, which is hydrolyzed to cysteine and glycine by dipeptidases. In the presence of high concentrations of dipeptides and some amino acids, can also catalyze a transpeptidation reaction, transferring the gamma-glutamyl moiety to an acceptor amino acid to form a new gamma-glutamyl compound. Initiates extracellular glutathione (GSH) breakdown, provides cells with a local cysteine supply and contributes to maintain intracellular GSH level. It is part of the cell antioxidant defense mechanism. Isoform 3 seems to be inactive. {ECO:0000269|PubMed:20622017, ECO:0000269|PubMed:24047895, ECO:0000269|PubMed:7673200, ECO:0000269|PubMed:7759490, ECO:0000269|PubMed:8095045, ECO:0000269|PubMed:8827453}.; </t>
        </is>
      </c>
      <c r="E293" t="inlineStr">
        <is>
          <t xml:space="preserve">DISEASE: Glutathionuria (GLUTH) [MIM:231950]: Autosomal recessive disease. Note=The disease is caused by mutations affecting the gene represented in this entry.; </t>
        </is>
      </c>
      <c r="F293" t="inlineStr">
        <is>
          <t xml:space="preserve">TISSUE SPECIFICITY: Detected in fetal and adult kidney and liver, adult pancreas, stomach, intestine, placenta and lung. Isoform 3 is lung-specific. There are several other tissue-specific forms that arise from alternative promoter usage but that produce the same protein.; </t>
        </is>
      </c>
      <c r="G293" t="inlineStr">
        <is>
          <t>unclassifiable (Anatomical System);cartilage;heart;tongue;colon;fovea centralis;choroid;lens;retina;breast;uterus;pancreas;prostate;optic nerve;lung;frontal lobe;macula lutea;liver;testis;head and neck;spleen;kidney;mammary gland;stomach;</t>
        </is>
      </c>
      <c r="H293" t="inlineStr">
        <is>
          <t>.</t>
        </is>
      </c>
      <c r="I293">
        <f>HYPERLINK("https://omim.org/entry/231950", "231950")</f>
        <v/>
      </c>
      <c r="J293" t="inlineStr">
        <is>
          <t>.</t>
        </is>
      </c>
      <c r="K293" t="inlineStr">
        <is>
          <t>.</t>
        </is>
      </c>
      <c r="L293" t="inlineStr">
        <is>
          <t>.</t>
        </is>
      </c>
      <c r="M293" t="inlineStr">
        <is>
          <t>.</t>
        </is>
      </c>
      <c r="N293" t="inlineStr">
        <is>
          <t>.</t>
        </is>
      </c>
      <c r="O293" t="inlineStr">
        <is>
          <t>.</t>
        </is>
      </c>
    </row>
    <row r="294">
      <c r="A294" t="inlineStr">
        <is>
          <t>GGT6</t>
        </is>
      </c>
      <c r="B294" t="inlineStr">
        <is>
          <t>2.45819064940681e-06</t>
        </is>
      </c>
      <c r="C294" t="inlineStr">
        <is>
          <t>gamma-glutamyltransferase 6</t>
        </is>
      </c>
      <c r="D294" t="inlineStr">
        <is>
          <t xml:space="preserve">FUNCTION: Cleaves glutathione conjugates. {ECO:0000250}.; </t>
        </is>
      </c>
      <c r="E294" t="inlineStr">
        <is>
          <t>.</t>
        </is>
      </c>
      <c r="F294" t="inlineStr">
        <is>
          <t>.</t>
        </is>
      </c>
      <c r="G294" t="inlineStr">
        <is>
          <t>prostate;optic nerve;lung;heart;macula lutea;testis;colon;fovea centralis;choroid;kidney;lens;retina;</t>
        </is>
      </c>
      <c r="H294" t="inlineStr">
        <is>
          <t>dorsal root ganglion;superior cervical ganglion;ciliary ganglion;atrioventricular node;kidney;trigeminal ganglion;skeletal muscle;cerebellum;</t>
        </is>
      </c>
      <c r="I294" t="inlineStr">
        <is>
          <t>.</t>
        </is>
      </c>
      <c r="J294" t="inlineStr">
        <is>
          <t>.</t>
        </is>
      </c>
      <c r="K294" t="inlineStr">
        <is>
          <t>.</t>
        </is>
      </c>
      <c r="L294" t="inlineStr">
        <is>
          <t>.</t>
        </is>
      </c>
      <c r="M294" t="inlineStr">
        <is>
          <t>.</t>
        </is>
      </c>
      <c r="N294" t="inlineStr">
        <is>
          <t>.</t>
        </is>
      </c>
      <c r="O294" t="inlineStr">
        <is>
          <t>.</t>
        </is>
      </c>
    </row>
    <row r="295">
      <c r="A295" t="inlineStr">
        <is>
          <t>GIMAP8</t>
        </is>
      </c>
      <c r="B295" t="inlineStr">
        <is>
          <t>6.85022595051609e-06</t>
        </is>
      </c>
      <c r="C295" t="inlineStr">
        <is>
          <t>GTPase, IMAP family member 8</t>
        </is>
      </c>
      <c r="D295" t="inlineStr">
        <is>
          <t xml:space="preserve">FUNCTION: Exerts an anti-apoptotic effect in the immune system and is involved in responses to infections. {ECO:0000250}.; </t>
        </is>
      </c>
      <c r="E295" t="inlineStr">
        <is>
          <t>.</t>
        </is>
      </c>
      <c r="F295" t="inlineStr">
        <is>
          <t xml:space="preserve">TISSUE SPECIFICITY: Detected in T-cells. {ECO:0000269|PubMed:23454188}.; </t>
        </is>
      </c>
      <c r="G295" t="inlineStr">
        <is>
          <t>unclassifiable (Anatomical System);amygdala;smooth muscle;cartilage;uterus;pancreas;prostate;lung;nasopharynx;placenta;thyroid;germinal center;kidney;spinal ganglion;</t>
        </is>
      </c>
      <c r="H295" t="inlineStr">
        <is>
          <t>trigeminal ganglion;</t>
        </is>
      </c>
      <c r="I295" t="inlineStr">
        <is>
          <t>.</t>
        </is>
      </c>
      <c r="J295" t="inlineStr">
        <is>
          <t>.</t>
        </is>
      </c>
      <c r="K295" t="inlineStr">
        <is>
          <t>.</t>
        </is>
      </c>
      <c r="L295" t="inlineStr">
        <is>
          <t>.</t>
        </is>
      </c>
      <c r="M295" t="inlineStr">
        <is>
          <t>.</t>
        </is>
      </c>
      <c r="N295" t="inlineStr">
        <is>
          <t>.</t>
        </is>
      </c>
      <c r="O295" t="inlineStr">
        <is>
          <t>.</t>
        </is>
      </c>
    </row>
    <row r="296">
      <c r="A296" t="inlineStr">
        <is>
          <t>GIPC1</t>
        </is>
      </c>
      <c r="B296" t="inlineStr">
        <is>
          <t>0.020370586194085</t>
        </is>
      </c>
      <c r="C296" t="inlineStr">
        <is>
          <t>GIPC PDZ domain containing family member 1</t>
        </is>
      </c>
      <c r="D296" t="inlineStr">
        <is>
          <t xml:space="preserve">FUNCTION: May be involved in G protein-linked signaling.; </t>
        </is>
      </c>
      <c r="E296" t="inlineStr">
        <is>
          <t>.</t>
        </is>
      </c>
      <c r="F296" t="inlineStr">
        <is>
          <t xml:space="preserve">TISSUE SPECIFICITY: Widely expressed.; </t>
        </is>
      </c>
      <c r="G296" t="inlineStr">
        <is>
          <t>ovary;salivary gland;intestine;colon;parathyroid;fovea centralis;choroid;vein;skin;retina;bone marrow;uterus;prostate;optic nerve;cerebral cortex;endometrium;bone;testis;brain;bladder;unclassifiable (Anatomical System);lymph node;cartilage;heart;tongue;islets of Langerhans;muscle;urinary;pharynx;blood;lens;breast;bile duct;pancreas;lung;cornea;placenta;macula lutea;visual apparatus;alveolus;liver;cervix;spleen;head and neck;kidney;mammary gland;aorta;stomach;cerebellum;</t>
        </is>
      </c>
      <c r="H296" t="inlineStr">
        <is>
          <t>subthalamic nucleus;superior cervical ganglion;cingulate cortex;</t>
        </is>
      </c>
      <c r="I296" t="inlineStr">
        <is>
          <t>.</t>
        </is>
      </c>
      <c r="J296" t="inlineStr">
        <is>
          <t>.</t>
        </is>
      </c>
      <c r="K296" t="inlineStr">
        <is>
          <t>.</t>
        </is>
      </c>
      <c r="L296" t="inlineStr">
        <is>
          <t>.</t>
        </is>
      </c>
      <c r="M296" t="inlineStr">
        <is>
          <t>.</t>
        </is>
      </c>
      <c r="N296" t="inlineStr">
        <is>
          <t>.</t>
        </is>
      </c>
      <c r="O296" t="inlineStr">
        <is>
          <t>.</t>
        </is>
      </c>
    </row>
    <row r="297">
      <c r="A297" t="inlineStr">
        <is>
          <t>GJA5</t>
        </is>
      </c>
      <c r="B297" t="inlineStr">
        <is>
          <t>0.09799649643541</t>
        </is>
      </c>
      <c r="C297" t="inlineStr">
        <is>
          <t>gap junction protein alpha 5</t>
        </is>
      </c>
      <c r="D297" t="inlineStr">
        <is>
          <t xml:space="preserve">FUNCTION: One gap junction consists of a cluster of closely packed pairs of transmembrane channels, the connexons, through which materials of low MW diffuse from one cell to a neighboring cell.; </t>
        </is>
      </c>
      <c r="E297" t="inlineStr">
        <is>
          <t xml:space="preserve">DISEASE: Atrial standstill 1 (ATRST1) [MIM:108770]: A rare arrhythmia characterized by the absence of electrical and mechanical activity in the atria. Electrocardiographically, it is characterized by bradycardia, the absence of P waves, and a junctional narrow complex escape rhythm. {ECO:0000269|PubMed:16790700}. Note=The disease may be caused by mutations affecting distinct genetic loci, including the gene represented in this entry. A rare GJA5 genotype has been detected in combination with a mutation in SCN5A in a large family with atrial standstill.; DISEASE: Atrial fibrillation, familial, 11 (ATFB11) [MIM:614049]: A familial form of atrial fibrillation, a common sustained cardiac rhythm disturbance. Atrial fibrillation is characterized by disorganized atrial electrical activity and ineffective atrial contraction promoting blood stasis in the atria and reduces ventricular filling. It can result in palpitations, syncope, thromboembolic stroke, and congestive heart failure. {ECO:0000269|PubMed:20650941}. Note=The disease is caused by mutations affecting the gene represented in this entry.; </t>
        </is>
      </c>
      <c r="F297" t="inlineStr">
        <is>
          <t>.</t>
        </is>
      </c>
      <c r="G297" t="inlineStr">
        <is>
          <t>unclassifiable (Anatomical System);lymph node;heart;ovary;cartilage;islets of Langerhans;skin;uterus;lung;placenta;liver;testis;spleen;kidney;</t>
        </is>
      </c>
      <c r="H297" t="inlineStr">
        <is>
          <t>superior cervical ganglion;placenta;</t>
        </is>
      </c>
      <c r="I297">
        <f>HYPERLINK("https://omim.org/entry/108770", "108770")</f>
        <v/>
      </c>
      <c r="J297">
        <f>HYPERLINK("https://omim.org/entry/614049", "614049")</f>
        <v/>
      </c>
      <c r="K297" t="inlineStr">
        <is>
          <t>.</t>
        </is>
      </c>
      <c r="L297" t="inlineStr">
        <is>
          <t>.</t>
        </is>
      </c>
      <c r="M297" t="inlineStr">
        <is>
          <t>.</t>
        </is>
      </c>
      <c r="N297" t="inlineStr">
        <is>
          <t>.</t>
        </is>
      </c>
      <c r="O297" t="inlineStr">
        <is>
          <t>.</t>
        </is>
      </c>
    </row>
    <row r="298">
      <c r="A298" t="inlineStr">
        <is>
          <t>GLE1</t>
        </is>
      </c>
      <c r="B298" t="inlineStr">
        <is>
          <t>1.53824816142355e-05</t>
        </is>
      </c>
      <c r="C298" t="inlineStr">
        <is>
          <t>GLE1, RNA export mediator</t>
        </is>
      </c>
      <c r="D298" t="inlineStr">
        <is>
          <t xml:space="preserve">FUNCTION: Required for the export of mRNAs containing poly(A) tails from the nucleus into the cytoplasm. May be involved in the terminal step of the mRNA transport through the nuclear pore complex (NPC). {ECO:0000269|PubMed:12668658, ECO:0000269|PubMed:16000379, ECO:0000269|PubMed:9618489}.; </t>
        </is>
      </c>
      <c r="E298" t="inlineStr">
        <is>
          <t xml:space="preserve">DISEASE: Lethal congenital contracture syndrome 1 (LCCS1) [MIM:253310]: A form of lethal congenital contracture syndrome, an autosomal recessive disorder characterized by degeneration of anterior horn neurons, extreme skeletal muscle atrophy, and congenital non-progressive joint contractures (arthrogryposis). The contractures can involve the upper or lower limbs and/or the vertebral column, leading to various degrees of flexion or extension limitations evident at birth. LCCS1 patients manifest early fetal hydrops and akinesia, micrognathia, pulmonary hypoplasia, pterygia, and multiple joint contractures. It leads to prenatal death. {ECO:0000269|PubMed:18204449}. Note=The disease is caused by mutations affecting the gene represented in this entry.; DISEASE: Lethal arthrogryposis with anterior horn cell disease (LAAHD) [MIM:611890]: A disorder characterized by fetal akinesia, arthrogryposis and motor neuron loss. The fetus often survives delivery, but dies early as a result of respiratory failure. Neuropathological findings resemble those of lethal congenital contracture syndrome type 1, but are less severe. {ECO:0000269|PubMed:18204449}. Note=The disease is caused by mutations affecting the gene represented in this entry.; </t>
        </is>
      </c>
      <c r="F298" t="inlineStr">
        <is>
          <t>.</t>
        </is>
      </c>
      <c r="G298" t="inlineStr">
        <is>
          <t>ovary;salivary gland;intestine;colon;fovea centralis;choroid;skin;retina;bone marrow;uterus;prostate;optic nerve;bone;thyroid;iris;testis;germinal center;brain;bladder;unclassifiable (Anatomical System);heart;pharynx;blood;lens;skeletal muscle;bile duct;breast;lung;nasopharynx;placenta;macula lutea;visual apparatus;liver;spleen;head and neck;cervix;kidney;mammary gland;stomach;thymus;</t>
        </is>
      </c>
      <c r="H298" t="inlineStr">
        <is>
          <t>dorsal root ganglion;testis - interstitial;superior cervical ganglion;testis - seminiferous tubule;testis;ciliary ganglion;atrioventricular node;skeletal muscle;</t>
        </is>
      </c>
      <c r="I298">
        <f>HYPERLINK("https://omim.org/entry/253310", "253310")</f>
        <v/>
      </c>
      <c r="J298">
        <f>HYPERLINK("https://omim.org/entry/611890", "611890")</f>
        <v/>
      </c>
      <c r="K298" t="inlineStr">
        <is>
          <t>.</t>
        </is>
      </c>
      <c r="L298" t="inlineStr">
        <is>
          <t>.</t>
        </is>
      </c>
      <c r="M298" t="inlineStr">
        <is>
          <t>.</t>
        </is>
      </c>
      <c r="N298" t="inlineStr">
        <is>
          <t>.</t>
        </is>
      </c>
      <c r="O298" t="inlineStr">
        <is>
          <t>.</t>
        </is>
      </c>
    </row>
    <row r="299">
      <c r="A299" t="inlineStr">
        <is>
          <t>GLYR1</t>
        </is>
      </c>
      <c r="B299" t="inlineStr">
        <is>
          <t>0.999877719491225</t>
        </is>
      </c>
      <c r="C299" t="inlineStr">
        <is>
          <t>glyoxylate reductase 1 homolog (Arabidopsis)</t>
        </is>
      </c>
      <c r="D299" t="inlineStr">
        <is>
          <t xml:space="preserve">FUNCTION: May have oxidoreductase activity. Regulates p38 MAP kinase activity by mediating stress activation of p38alpha/MAPK14 and specifically regulating MAPK14 signaling. Indirectly promotes phosphorylation of MAPK14 and activation of ATF2. The phosphorylation of MAPK14 requires upstream activity of MAP2K4 and MAP2K6. Recruited on chromatin, recognizes and binds trimethylated 'Lys-36' of histone H3 (H3K36me3). {ECO:0000269|PubMed:16352664, ECO:0000269|PubMed:20850016}.; </t>
        </is>
      </c>
      <c r="E299" t="inlineStr">
        <is>
          <t>.</t>
        </is>
      </c>
      <c r="F299" t="inlineStr">
        <is>
          <t>.</t>
        </is>
      </c>
      <c r="G299" t="inlineStr">
        <is>
          <t>ovary;sympathetic chain;colon;parathyroid;fovea centralis;choroid;skin;retina;bone marrow;uterus;prostate;optic nerve;whole body;cochlea;cerebral cortex;endometrium;synovium;bone;testis;germinal center;brain;tonsil;unclassifiable (Anatomical System);lymph node;cartilage;heart;lacrimal gland;cerebellum cortex;islets of Langerhans;hypothalamus;spinal cord;muscle;blood;lens;skeletal muscle;breast;pancreas;lung;nasopharynx;placenta;macula lutea;visual apparatus;hippocampus;liver;spleen;cervix;kidney;mammary gland;stomach;cerebellum;</t>
        </is>
      </c>
      <c r="H299" t="inlineStr">
        <is>
          <t>amygdala;medulla oblongata;subthalamic nucleus;superior cervical ganglion;globus pallidus;ciliary ganglion;atrioventricular node;trigeminal ganglion;skeletal muscle;cingulate cortex;cerebellum;</t>
        </is>
      </c>
      <c r="I299" t="inlineStr">
        <is>
          <t>.</t>
        </is>
      </c>
      <c r="J299" t="inlineStr">
        <is>
          <t>.</t>
        </is>
      </c>
      <c r="K299" t="inlineStr">
        <is>
          <t>.</t>
        </is>
      </c>
      <c r="L299" t="inlineStr">
        <is>
          <t>.</t>
        </is>
      </c>
      <c r="M299" t="inlineStr">
        <is>
          <t>.</t>
        </is>
      </c>
      <c r="N299" t="inlineStr">
        <is>
          <t>.</t>
        </is>
      </c>
      <c r="O299" t="inlineStr">
        <is>
          <t>.</t>
        </is>
      </c>
    </row>
    <row r="300">
      <c r="A300" t="inlineStr">
        <is>
          <t>GNAL</t>
        </is>
      </c>
      <c r="B300" t="inlineStr">
        <is>
          <t>0.987372719895044</t>
        </is>
      </c>
      <c r="C300" t="inlineStr">
        <is>
          <t>G protein subunit alpha L</t>
        </is>
      </c>
      <c r="D300" t="inlineStr">
        <is>
          <t xml:space="preserve">FUNCTION: Guanine nucleotide-binding proteins (G proteins) are involved as modulators or transducers in various transmembrane signaling systems. G(olf) alpha mediates signal transduction within the olfactory neuroepithelium and the basal ganglia. May be involved in some aspect of visual transduction, and in mediating the effect of one or more hormones/neurotransmitters.; </t>
        </is>
      </c>
      <c r="E300" t="inlineStr">
        <is>
          <t>.</t>
        </is>
      </c>
      <c r="F300" t="inlineStr">
        <is>
          <t xml:space="preserve">TISSUE SPECIFICITY: Detected in olfactory neuroepithelium, brain, testis, and to a lower extent in retina, lung alveoli, spleen. Trace amounts where seen in kidney, adrenal gland and liver. Found to be expressed in all the insulinomas examined.; </t>
        </is>
      </c>
      <c r="G300" t="inlineStr">
        <is>
          <t>uterus;unclassifiable (Anatomical System);lung;frontal lobe;placenta;pituitary gland;testis;brain;</t>
        </is>
      </c>
      <c r="H300" t="inlineStr">
        <is>
          <t>amygdala;occipital lobe;thalamus;superior cervical ganglion;medulla oblongata;hypothalamus;caudate nucleus;pons;skeletal muscle;fetal brain;globus pallidus;trigeminal ganglion;cingulate cortex;parietal lobe;</t>
        </is>
      </c>
      <c r="I300" t="inlineStr">
        <is>
          <t>.</t>
        </is>
      </c>
      <c r="J300" t="inlineStr">
        <is>
          <t>.</t>
        </is>
      </c>
      <c r="K300" t="inlineStr">
        <is>
          <t>.</t>
        </is>
      </c>
      <c r="L300" t="inlineStr">
        <is>
          <t>.</t>
        </is>
      </c>
      <c r="M300" t="inlineStr">
        <is>
          <t>.</t>
        </is>
      </c>
      <c r="N300" t="inlineStr">
        <is>
          <t>.</t>
        </is>
      </c>
      <c r="O300" t="inlineStr">
        <is>
          <t>.</t>
        </is>
      </c>
    </row>
    <row r="301">
      <c r="A301" t="inlineStr">
        <is>
          <t>GNL1</t>
        </is>
      </c>
      <c r="B301" t="inlineStr">
        <is>
          <t>0.999930615118599</t>
        </is>
      </c>
      <c r="C301" t="inlineStr">
        <is>
          <t>G protein nucleolar 1 (putative)</t>
        </is>
      </c>
      <c r="D301" t="inlineStr">
        <is>
          <t xml:space="preserve">FUNCTION: Possible regulatory or functional link with the histocompatibility cluster.; </t>
        </is>
      </c>
      <c r="E301" t="inlineStr">
        <is>
          <t>.</t>
        </is>
      </c>
      <c r="F301" t="inlineStr">
        <is>
          <t>.</t>
        </is>
      </c>
      <c r="G301" t="inlineStr">
        <is>
          <t>.</t>
        </is>
      </c>
      <c r="H301" t="inlineStr">
        <is>
          <t>.</t>
        </is>
      </c>
      <c r="I301" t="inlineStr">
        <is>
          <t>.</t>
        </is>
      </c>
      <c r="J301" t="inlineStr">
        <is>
          <t>.</t>
        </is>
      </c>
      <c r="K301" t="inlineStr">
        <is>
          <t>.</t>
        </is>
      </c>
      <c r="L301" t="inlineStr">
        <is>
          <t>.</t>
        </is>
      </c>
      <c r="M301" t="inlineStr">
        <is>
          <t>.</t>
        </is>
      </c>
      <c r="N301" t="inlineStr">
        <is>
          <t>.</t>
        </is>
      </c>
      <c r="O301" t="inlineStr">
        <is>
          <t>.</t>
        </is>
      </c>
    </row>
    <row r="302">
      <c r="A302" t="inlineStr">
        <is>
          <t>GNPTAB</t>
        </is>
      </c>
      <c r="B302" t="inlineStr">
        <is>
          <t>4.22557947344879e-06</t>
        </is>
      </c>
      <c r="C302" t="inlineStr">
        <is>
          <t>N-acetylglucosamine-1-phosphate transferase alpha and beta subunits</t>
        </is>
      </c>
      <c r="D302" t="inlineStr">
        <is>
          <t xml:space="preserve">FUNCTION: Catalyzes the formation of mannose 6-phosphate (M6P) markers on high mannose type oligosaccharides in the Golgi apparatus. M6P residues are required to bind to the M6P receptors (MPR), which mediate the vesicular transport of lysosomal enzymes to the endosomal/prelysosomal compartment. {ECO:0000269|PubMed:19955174, ECO:0000269|PubMed:23733939}.; </t>
        </is>
      </c>
      <c r="E302" t="inlineStr">
        <is>
          <t xml:space="preserve">DISEASE: Mucolipidosis type II (MLII) [MIM:252500]: Fatal, autosomal recessive, lysosomal storage disorder characterized by severe clinical and radiologic features, peculiar fibroblast inclusions, and no excessive mucopolysacchariduria. Congenital dislocation of the hip, thoracic deformities, hernia, and hyperplastic gums are evident soon after birth. {ECO:0000269|PubMed:16200072, ECO:0000269|PubMed:16835905, ECO:0000269|PubMed:19197337, ECO:0000269|PubMed:19617216, ECO:0000269|PubMed:19634183, ECO:0000269|PubMed:19938078, ECO:0000269|PubMed:22495880, ECO:0000269|PubMed:23566849, ECO:0000269|PubMed:23733939, ECO:0000269|PubMed:23773965, ECO:0000269|PubMed:24375680, ECO:0000269|PubMed:24798265, ECO:0000269|PubMed:25505245, ECO:0000269|PubMed:25788519}. Note=The disease is caused by mutations affecting the gene represented in this entry.; DISEASE: Mucolipidosis type III complementation group A (MLIIIA) [MIM:252600]: Autosomal recessive disease of lysosomal enzyme targeting. Clinically MLIII is characterized by restricted joint mobility, skeletal dysplasia, and short stature. Mildly coarsened facial features and thickening of the skin have been described. Cardiac valvular disease and corneal clouding may also occur. Half of the reported patients show learning disabilities or mental retardation. {ECO:0000269|PubMed:16094673, ECO:0000269|PubMed:16465621, ECO:0000269|PubMed:16630736, ECO:0000269|PubMed:17034777, ECO:0000269|PubMed:19197337, ECO:0000269|PubMed:19617216, ECO:0000269|PubMed:19634183, ECO:0000269|PubMed:19938078, ECO:0000269|PubMed:23566849, ECO:0000269|PubMed:24045841, ECO:0000269|PubMed:24375680, ECO:0000269|PubMed:24550498, ECO:0000269|PubMed:25505245, ECO:0000269|PubMed:25788519}. Note=The disease is caused by mutations affecting the gene represented in this entry.; DISEASE: Note=Defects in GNPTAB have been suggested to play a role in susceptibility to persistent stuttering. Stuttering is a common speech disorder characterized by repetitions, prolongations, and interruptions in the flow of speech. {ECO:0000269|PubMed:20147709}.; </t>
        </is>
      </c>
      <c r="F302" t="inlineStr">
        <is>
          <t xml:space="preserve">TISSUE SPECIFICITY: Expressed in the heart, whole brain, placenta, lung, liver, skeletal muscle, kidney and pancreas. {ECO:0000269|PubMed:16120602}.; </t>
        </is>
      </c>
      <c r="G302" t="inlineStr">
        <is>
          <t>ovary;salivary gland;sympathetic chain;intestine;colon;parathyroid;skin;bone marrow;uterus;prostate;whole body;frontal lobe;cerebral cortex;endometrium;larynx;bone;testis;brain;bladder;gall bladder;unclassifiable (Anatomical System);cartilage;heart;lacrimal gland;islets of Langerhans;spinal cord;pharynx;blood;skeletal muscle;breast;pancreas;lung;nasopharynx;placenta;liver;cervix;spleen;head and neck;kidney;mammary gland;aorta;stomach;</t>
        </is>
      </c>
      <c r="H302" t="inlineStr">
        <is>
          <t>amygdala;superior cervical ganglion;occipital lobe;fetal brain;prefrontal cortex;ciliary ganglion;pons;caudate nucleus;atrioventricular node;trigeminal ganglion;cingulate cortex;</t>
        </is>
      </c>
      <c r="I302">
        <f>HYPERLINK("https://omim.org/entry/252500", "252500")</f>
        <v/>
      </c>
      <c r="J302">
        <f>HYPERLINK("https://omim.org/entry/252600", "252600")</f>
        <v/>
      </c>
      <c r="K302" t="inlineStr">
        <is>
          <t>.</t>
        </is>
      </c>
      <c r="L302" t="inlineStr">
        <is>
          <t>.</t>
        </is>
      </c>
      <c r="M302" t="inlineStr">
        <is>
          <t>.</t>
        </is>
      </c>
      <c r="N302" t="inlineStr">
        <is>
          <t>.</t>
        </is>
      </c>
      <c r="O302" t="inlineStr">
        <is>
          <t>.</t>
        </is>
      </c>
    </row>
    <row r="303">
      <c r="A303" t="inlineStr">
        <is>
          <t>GOLGA4</t>
        </is>
      </c>
      <c r="B303" t="inlineStr">
        <is>
          <t>2.26164990605558e-09</t>
        </is>
      </c>
      <c r="C303" t="inlineStr">
        <is>
          <t>golgin A4</t>
        </is>
      </c>
      <c r="D303" t="inlineStr">
        <is>
          <t xml:space="preserve">FUNCTION: May play a role in delivery of transport vesicles containing GPI-linked proteins from the trans-Golgi network through its interaction with MACF1. {ECO:0000269|PubMed:15265687}.; </t>
        </is>
      </c>
      <c r="E303" t="inlineStr">
        <is>
          <t>.</t>
        </is>
      </c>
      <c r="F303" t="inlineStr">
        <is>
          <t>.</t>
        </is>
      </c>
      <c r="G303" t="inlineStr">
        <is>
          <t>ovary;salivary gland;intestine;colon;parathyroid;fovea centralis;skin;retina;bone marrow;uterus;prostate;atrium;frontal lobe;cochlea;endometrium;larynx;bone;thyroid;testis;germinal center;brain;pineal gland;artery;bladder;unclassifiable (Anatomical System);lymph node;cartilage;lacrimal gland;tongue;islets of Langerhans;hypothalamus;adrenal cortex;pharynx;blood;lens;skeletal muscle;breast;pancreas;lung;adrenal gland;placenta;macula lutea;visual apparatus;liver;spleen;head and neck;kidney;mammary gland;aorta;stomach;</t>
        </is>
      </c>
      <c r="H303" t="inlineStr">
        <is>
          <t>testis - interstitial;superior cervical ganglion;thyroid;testis;trigeminal ganglion;</t>
        </is>
      </c>
      <c r="I303" t="inlineStr">
        <is>
          <t>.</t>
        </is>
      </c>
      <c r="J303" t="inlineStr">
        <is>
          <t>.</t>
        </is>
      </c>
      <c r="K303" t="inlineStr">
        <is>
          <t>.</t>
        </is>
      </c>
      <c r="L303" t="inlineStr">
        <is>
          <t>.</t>
        </is>
      </c>
      <c r="M303" t="inlineStr">
        <is>
          <t>.</t>
        </is>
      </c>
      <c r="N303" t="inlineStr">
        <is>
          <t>.</t>
        </is>
      </c>
      <c r="O303" t="inlineStr">
        <is>
          <t>.</t>
        </is>
      </c>
    </row>
    <row r="304">
      <c r="A304" t="inlineStr">
        <is>
          <t>GOLGA6L2</t>
        </is>
      </c>
      <c r="B304" t="inlineStr">
        <is>
          <t>8.97094503942648e-06</t>
        </is>
      </c>
      <c r="C304" t="inlineStr">
        <is>
          <t>golgin A6 family-like 2</t>
        </is>
      </c>
      <c r="D304" t="inlineStr">
        <is>
          <t>.</t>
        </is>
      </c>
      <c r="E304" t="inlineStr">
        <is>
          <t>.</t>
        </is>
      </c>
      <c r="F304" t="inlineStr">
        <is>
          <t>.</t>
        </is>
      </c>
      <c r="G304" t="inlineStr">
        <is>
          <t>lung;testis;</t>
        </is>
      </c>
      <c r="H304" t="inlineStr">
        <is>
          <t>.</t>
        </is>
      </c>
      <c r="I304" t="inlineStr">
        <is>
          <t>.</t>
        </is>
      </c>
      <c r="J304" t="inlineStr">
        <is>
          <t>.</t>
        </is>
      </c>
      <c r="K304" t="inlineStr">
        <is>
          <t>.</t>
        </is>
      </c>
      <c r="L304" t="inlineStr">
        <is>
          <t>.</t>
        </is>
      </c>
      <c r="M304" t="inlineStr">
        <is>
          <t>.</t>
        </is>
      </c>
      <c r="N304" t="inlineStr">
        <is>
          <t>.</t>
        </is>
      </c>
      <c r="O304" t="inlineStr">
        <is>
          <t>.</t>
        </is>
      </c>
    </row>
    <row r="305">
      <c r="A305" t="inlineStr">
        <is>
          <t>GP6</t>
        </is>
      </c>
      <c r="B305" t="inlineStr">
        <is>
          <t>1.19709008860195e-14</t>
        </is>
      </c>
      <c r="C305" t="inlineStr">
        <is>
          <t>glycoprotein VI platelet</t>
        </is>
      </c>
      <c r="D305" t="inlineStr">
        <is>
          <t xml:space="preserve">FUNCTION: Collagen receptor involved in collagen-induced platelet adhesion and activation. Plays a key role in platelet procoagulant activity and subsequent thrombin and fibrin formation. This procoagulant function may contribute to arterial and venous thrombus formation. The signaling pathway involves the FcR gamma- chain, the Src kinases (likely Fyn/Lyn), the adapter protein LAT and leads to the activation of phospholipase C gamma2. {ECO:0000269|PubMed:10961879}.; </t>
        </is>
      </c>
      <c r="E305" t="inlineStr">
        <is>
          <t xml:space="preserve">DISEASE: Bleeding disorder, platelet-type 11 (BDPLT11) [MIM:614201]: A mild to moderate bleeding disorder caused by defective platelet activation and aggregation in response to collagen. {ECO:0000269|PubMed:19549989, ECO:0000269|PubMed:19552682}. Note=The disease is caused by mutations affecting the gene represented in this entry.; </t>
        </is>
      </c>
      <c r="F305" t="inlineStr">
        <is>
          <t xml:space="preserve">TISSUE SPECIFICITY: Megakaryocytes and platelets. {ECO:0000269|PubMed:10961879}.; </t>
        </is>
      </c>
      <c r="G305" t="inlineStr">
        <is>
          <t>breast;tongue;epididymis;muscle;hypopharynx;colon;head and neck;brain;</t>
        </is>
      </c>
      <c r="H305" t="inlineStr">
        <is>
          <t>dorsal root ganglion;superior cervical ganglion;globus pallidus;appendix;ciliary ganglion;atrioventricular node;pons;trigeminal ganglion;skeletal muscle;</t>
        </is>
      </c>
      <c r="I305">
        <f>HYPERLINK("https://omim.org/entry/614201", "614201")</f>
        <v/>
      </c>
      <c r="J305" t="inlineStr">
        <is>
          <t>.</t>
        </is>
      </c>
      <c r="K305" t="inlineStr">
        <is>
          <t>.</t>
        </is>
      </c>
      <c r="L305" t="inlineStr">
        <is>
          <t>.</t>
        </is>
      </c>
      <c r="M305" t="inlineStr">
        <is>
          <t>.</t>
        </is>
      </c>
      <c r="N305" t="inlineStr">
        <is>
          <t>.</t>
        </is>
      </c>
      <c r="O305" t="inlineStr">
        <is>
          <t>.</t>
        </is>
      </c>
    </row>
    <row r="306">
      <c r="A306" t="inlineStr">
        <is>
          <t>GPC1</t>
        </is>
      </c>
      <c r="B306" t="inlineStr">
        <is>
          <t>0.109569938244377</t>
        </is>
      </c>
      <c r="C306" t="inlineStr">
        <is>
          <t>glypican 1</t>
        </is>
      </c>
      <c r="D306" t="inlineStr">
        <is>
          <t xml:space="preserve">FUNCTION: Cell surface proteoglycan that bears heparan sulfate. Binds, via the heparan sulfate side chains, alpha-4 (V) collagen and participates in Schwann cell myelination (By similarity). May act as a catalyst in increasing the rate of conversion of prion protein PRPN(C) to PRNP(Sc) via associating (via the heparan sulfate side chains) with both forms of PRPN, targeting them to lipid rafts and facilitating their interaction. Required for proper skeletal muscle differentiation by sequestering FGF2 in lipid rafts preventing its binding to receptors (FGFRs) and inhibiting the FGF-mediated signaling. {ECO:0000250, ECO:0000269|PubMed:19936054, ECO:0000269|PubMed:21642435}.; </t>
        </is>
      </c>
      <c r="E306" t="inlineStr">
        <is>
          <t xml:space="preserve">DISEASE: Note=Associates (via the heparan sulfate side chains) with fibrillar APP-beta amyloid peptides in primitive and classic amyloid plaques and may be involved in the deposition of these senile plaques in the Alzheimer disease (AD) brain (PubMed:15084524). {ECO:0000269|PubMed:15084524}.; DISEASE: Note=Misprocessing of GPC1 is found in fibroblasts of patients with Niemann-Pick Type C1 disease. This is due to the defective deaminative degradation of heparan sulfate chains (PubMed:16645004). {ECO:0000269|PubMed:16645004}.; </t>
        </is>
      </c>
      <c r="F306" t="inlineStr">
        <is>
          <t>.</t>
        </is>
      </c>
      <c r="G306" t="inlineStr">
        <is>
          <t>myocardium;ovary;sympathetic chain;colon;parathyroid;fovea centralis;choroid;skin;retina;bone marrow;uterus;prostate;optic nerve;whole body;cerebral cortex;endometrium;bone;thyroid;iris;pituitary gland;testis;brain;bladder;unclassifiable (Anatomical System);cartilage;heart;muscle;blood;lens;skeletal muscle;pancreas;lung;epididymis;placenta;macula lutea;visual apparatus;hippocampus;liver;duodenum;alveolus;head and neck;cervix;kidney;mammary gland;stomach;thymus;</t>
        </is>
      </c>
      <c r="H306" t="inlineStr">
        <is>
          <t>amygdala;heart;prefrontal cortex;trigeminal ganglion;cingulate cortex;skeletal muscle;</t>
        </is>
      </c>
      <c r="I306" t="inlineStr">
        <is>
          <t>.</t>
        </is>
      </c>
      <c r="J306" t="inlineStr">
        <is>
          <t>.</t>
        </is>
      </c>
      <c r="K306" t="inlineStr">
        <is>
          <t>.</t>
        </is>
      </c>
      <c r="L306" t="inlineStr">
        <is>
          <t>.</t>
        </is>
      </c>
      <c r="M306" t="inlineStr">
        <is>
          <t>.</t>
        </is>
      </c>
      <c r="N306" t="inlineStr">
        <is>
          <t>.</t>
        </is>
      </c>
      <c r="O306" t="inlineStr">
        <is>
          <t>.</t>
        </is>
      </c>
    </row>
    <row r="307">
      <c r="A307" t="inlineStr">
        <is>
          <t>GPRC5B</t>
        </is>
      </c>
      <c r="B307" t="inlineStr">
        <is>
          <t>0.527206905590426</t>
        </is>
      </c>
      <c r="C307" t="inlineStr">
        <is>
          <t>G protein-coupled receptor class C group 5 member B</t>
        </is>
      </c>
      <c r="D307" t="inlineStr">
        <is>
          <t xml:space="preserve">FUNCTION: Unknown. This retinoic acid-inducible G-protein coupled receptor provide evidence for a possible interaction between retinoid and G-protein signaling pathways.; </t>
        </is>
      </c>
      <c r="E307" t="inlineStr">
        <is>
          <t>.</t>
        </is>
      </c>
      <c r="F307" t="inlineStr">
        <is>
          <t xml:space="preserve">TISSUE SPECIFICITY: Expression is high in kidney, pancreas, and testis, medium in brain, heart, prostate, small intestine, and spleen, low in liver, placenta, skeletal muscle, colon, ovary, and thymus, and not detectable in lung and peripheral leukocyte. According to PubMed:10945465, highly expressed in most brain areas examined, with the highest levels observed in corpus callosum, caudate nucleus, putamen, substantia nigra, thalamus, hippocampus, and spinal chord as well as in dorsal root ganglia (DRG). In the periphery, expression levels are relatively low, compared to the CNS, with the strongest expression detected in pancreas, testis, uterus, and stomach. {ECO:0000269|PubMed:10783259, ECO:0000269|PubMed:10945465}.; </t>
        </is>
      </c>
      <c r="G307" t="inlineStr">
        <is>
          <t>medulla oblongata;ovary;colon;parathyroid;fovea centralis;choroid;skin;retina;uterus;prostate;optic nerve;whole body;frontal lobe;endometrium;thyroid;testis;spinal ganglion;brain;pineal gland;unclassifiable (Anatomical System);amygdala;cartilage;heart;tongue;islets of Langerhans;hypothalamus;lens;skeletal muscle;breast;pancreas;lung;adrenal gland;nasopharynx;placenta;macula lutea;visual apparatus;hippocampus;liver;head and neck;kidney;mammary gland;stomach;aorta;thymus;</t>
        </is>
      </c>
      <c r="H307" t="inlineStr">
        <is>
          <t>whole brain;amygdala;medulla oblongata;thalamus;occipital lobe;olfactory bulb;cerebellum peduncles;hypothalamus;spinal cord;temporal lobe;caudate nucleus;pons;skeletal muscle;subthalamic nucleus;prefrontal cortex;globus pallidus;testis;cingulate cortex;parietal lobe;cerebellum;</t>
        </is>
      </c>
      <c r="I307" t="inlineStr">
        <is>
          <t>.</t>
        </is>
      </c>
      <c r="J307" t="inlineStr">
        <is>
          <t>.</t>
        </is>
      </c>
      <c r="K307" t="inlineStr">
        <is>
          <t>.</t>
        </is>
      </c>
      <c r="L307" t="inlineStr">
        <is>
          <t>.</t>
        </is>
      </c>
      <c r="M307" t="inlineStr">
        <is>
          <t>.</t>
        </is>
      </c>
      <c r="N307" t="inlineStr">
        <is>
          <t>.</t>
        </is>
      </c>
      <c r="O307" t="inlineStr">
        <is>
          <t>.</t>
        </is>
      </c>
    </row>
    <row r="308">
      <c r="A308" t="inlineStr">
        <is>
          <t>GRIA1</t>
        </is>
      </c>
      <c r="B308" t="inlineStr">
        <is>
          <t>0.999436340840325</t>
        </is>
      </c>
      <c r="C308" t="inlineStr">
        <is>
          <t>glutamate ionotropic receptor AMPA type subunit 1</t>
        </is>
      </c>
      <c r="D308" t="inlineStr">
        <is>
          <t xml:space="preserve">FUNCTION: Ionotropic glutamate receptor. L-glutamate acts as an excitatory neurotransmitter at many synapses in the central nervous system. Binding of the excitatory neurotransmitter L- glutamate induces a conformation change, leading to the opening of the cation channel, and thereby converts the chemical signal to an electrical impulse. The receptor then desensitizes rapidly and enters a transient inactive state, characterized by the presence of bound agonist. In the presence of CACNG4 or CACNG7 or CACNG8, shows resensitization which is characterized by a delayed accumulation of current flux upon continued application of glutamate. {ECO:0000269|PubMed:20805473, ECO:0000269|PubMed:21172611}.; </t>
        </is>
      </c>
      <c r="E308" t="inlineStr">
        <is>
          <t>.</t>
        </is>
      </c>
      <c r="F308" t="inlineStr">
        <is>
          <t xml:space="preserve">TISSUE SPECIFICITY: Widely expressed in brain.; </t>
        </is>
      </c>
      <c r="G308" t="inlineStr">
        <is>
          <t>unclassifiable (Anatomical System);frontal lobe;placenta;brain;skeletal muscle;</t>
        </is>
      </c>
      <c r="H308" t="inlineStr">
        <is>
          <t>amygdala;occipital lobe;superior cervical ganglion;medulla oblongata;cerebellum peduncles;temporal lobe;pons;caudate nucleus;atrioventricular node;subthalamic nucleus;fetal brain;globus pallidus;trigeminal ganglion;parietal lobe;cerebellum;</t>
        </is>
      </c>
      <c r="I308" t="inlineStr">
        <is>
          <t>.</t>
        </is>
      </c>
      <c r="J308" t="inlineStr">
        <is>
          <t>.</t>
        </is>
      </c>
      <c r="K308" t="inlineStr">
        <is>
          <t>.</t>
        </is>
      </c>
      <c r="L308" t="inlineStr">
        <is>
          <t>.</t>
        </is>
      </c>
      <c r="M308" t="inlineStr">
        <is>
          <t>.</t>
        </is>
      </c>
      <c r="N308" t="inlineStr">
        <is>
          <t>.</t>
        </is>
      </c>
      <c r="O308" t="inlineStr">
        <is>
          <t>.</t>
        </is>
      </c>
    </row>
    <row r="309">
      <c r="A309" t="inlineStr">
        <is>
          <t>GRID2</t>
        </is>
      </c>
      <c r="B309" t="inlineStr">
        <is>
          <t>0.999998446555818</t>
        </is>
      </c>
      <c r="C309" t="inlineStr">
        <is>
          <t>glutamate ionotropic receptor delta type subunit 2</t>
        </is>
      </c>
      <c r="D309" t="inlineStr">
        <is>
          <t xml:space="preserve">FUNCTION: Receptor for glutamate. L-glutamate acts as an excitatory neurotransmitter at many synapses in the central nervous system. The postsynaptic actions of Glu are mediated by a variety of receptors that are named according to their selective agonists.; </t>
        </is>
      </c>
      <c r="E309" t="inlineStr">
        <is>
          <t xml:space="preserve">DISEASE: Spinocerebellar ataxia, autosomal recessive, 18 (SCAR18) [MIM:616204]: Spinocerebellar ataxia defines a clinically and genetically heterogeneous group of cerebellar disorders. Patients show progressive incoordination of gait and often poor coordination of hands, speech and eye movements, due to degeneration of the cerebellum with variable involvement of the brainstem and spinal cord. SCAR18 features include progressive cerebellar atrophy, delayed psychomotor development, severely impaired gait, ocular movement abnormalities, and intellectual disability. {ECO:0000269|PubMed:23611888, ECO:0000269|PubMed:24078737, ECO:0000269|PubMed:25841024}. Note=The disease is caused by mutations affecting the gene represented in this entry.; </t>
        </is>
      </c>
      <c r="F309" t="inlineStr">
        <is>
          <t>.</t>
        </is>
      </c>
      <c r="G309" t="inlineStr">
        <is>
          <t>unclassifiable (Anatomical System);lung;testis;</t>
        </is>
      </c>
      <c r="H309" t="inlineStr">
        <is>
          <t>superior cervical ganglion;globus pallidus;skeletal muscle;</t>
        </is>
      </c>
      <c r="I309">
        <f>HYPERLINK("https://omim.org/entry/616204", "616204")</f>
        <v/>
      </c>
      <c r="J309" t="inlineStr">
        <is>
          <t>.</t>
        </is>
      </c>
      <c r="K309" t="inlineStr">
        <is>
          <t>.</t>
        </is>
      </c>
      <c r="L309" t="inlineStr">
        <is>
          <t>.</t>
        </is>
      </c>
      <c r="M309" t="inlineStr">
        <is>
          <t>.</t>
        </is>
      </c>
      <c r="N309" t="inlineStr">
        <is>
          <t>.</t>
        </is>
      </c>
      <c r="O309" t="inlineStr">
        <is>
          <t>.</t>
        </is>
      </c>
    </row>
    <row r="310">
      <c r="A310" t="inlineStr">
        <is>
          <t>GRIN2A</t>
        </is>
      </c>
      <c r="B310" t="inlineStr">
        <is>
          <t>0.99804480805101</t>
        </is>
      </c>
      <c r="C310" t="inlineStr">
        <is>
          <t>glutamate ionotropic receptor NMDA type subunit 2A</t>
        </is>
      </c>
      <c r="D310" t="inlineStr">
        <is>
          <t xml:space="preserve">FUNCTION: NMDA receptor subtype of glutamate-gated ion channels possesses high calcium permeability and voltage-dependent sensitivity to magnesium. Activation requires binding of agonist to both types of subunits.; </t>
        </is>
      </c>
      <c r="E310" t="inlineStr">
        <is>
          <t xml:space="preserve">DISEASE: Epilepsy, focal, with speech disorder and with or without mental retardation (FESD) [MIM:245570]: A highly variable neurologic disorder with features ranging from severe early-onset seizures associated with delayed psychomotor development, persistent speech difficulties, and mental retardation to a more benign entity characterized by childhood onset of mild or asymptomatic seizures associated with transient speech difficulties followed by remission of seizures in adolescence and normal psychomotor development. The disorder encompasses several clinical entities, including Landau-Kleffner syndrome, epileptic encephalopathy with continuous spike and wave during slow-wave sleep, autosomal dominant rolandic epilepsy, mental retardation and speech dyspraxia, and benign epilepsy with centrotemporal spikes. {ECO:0000269|PubMed:20890276, ECO:0000269|PubMed:23033978, ECO:0000269|PubMed:23933818, ECO:0000269|PubMed:23933819, ECO:0000269|PubMed:23933820, ECO:0000269|PubMed:24504326, ECO:0000269|PubMed:24903190}. Note=The disease is caused by mutations affecting the gene represented in this entry.; DISEASE: Note=A chromosomal aberration involving GRIN2A has been found in a family with epilepsy and neurodevelopmental defects. Translocation t(16;17)(p13.2;q11.2).; DISEASE: Note=GRIN2A somatic mutations have been frequently found in cutaneous malignant melanoma, suggesting that the glutamate signaling pathway may play a role in the pathogenesis of melanoma. {ECO:0000269|PubMed:21499247, ECO:0000269|PubMed:24455489}.; </t>
        </is>
      </c>
      <c r="F310" t="inlineStr">
        <is>
          <t>.</t>
        </is>
      </c>
      <c r="G310" t="inlineStr">
        <is>
          <t>medulla oblongata;frontal lobe;nasopharynx;head and neck;kidney;lens;brain;skeletal muscle;</t>
        </is>
      </c>
      <c r="H310" t="inlineStr">
        <is>
          <t>subthalamic nucleus;medulla oblongata;occipital lobe;superior cervical ganglion;temporal lobe;globus pallidus;pons;atrioventricular node;trigeminal ganglion;parietal lobe;skeletal muscle;</t>
        </is>
      </c>
      <c r="I310">
        <f>HYPERLINK("https://omim.org/entry/245570", "245570")</f>
        <v/>
      </c>
      <c r="J310" t="inlineStr">
        <is>
          <t>.</t>
        </is>
      </c>
      <c r="K310" t="inlineStr">
        <is>
          <t>.</t>
        </is>
      </c>
      <c r="L310" t="inlineStr">
        <is>
          <t>.</t>
        </is>
      </c>
      <c r="M310" t="inlineStr">
        <is>
          <t>.</t>
        </is>
      </c>
      <c r="N310" t="inlineStr">
        <is>
          <t>.</t>
        </is>
      </c>
      <c r="O310" t="inlineStr">
        <is>
          <t>.</t>
        </is>
      </c>
    </row>
    <row r="311">
      <c r="A311" t="inlineStr">
        <is>
          <t>GRM4</t>
        </is>
      </c>
      <c r="B311" t="inlineStr">
        <is>
          <t>0.979350085369263</t>
        </is>
      </c>
      <c r="C311" t="inlineStr">
        <is>
          <t>glutamate receptor, metabotropic 4</t>
        </is>
      </c>
      <c r="D311" t="inlineStr">
        <is>
          <t xml:space="preserve">FUNCTION: G-protein coupled receptor for glutamate. Ligand binding causes a conformation change that triggers signaling via guanine nucleotide-binding proteins (G proteins) and modulates the activity of down-stream effectors. Signaling inhibits adenylate cyclase activity. {ECO:0000269|PubMed:7617140, ECO:0000269|PubMed:8738157, ECO:0000269|PubMed:9473604}.; </t>
        </is>
      </c>
      <c r="E311" t="inlineStr">
        <is>
          <t>.</t>
        </is>
      </c>
      <c r="F311" t="inlineStr">
        <is>
          <t xml:space="preserve">TISSUE SPECIFICITY: Strongly expressed in the cerebellum. Expressed at low levels in hippocampus, hypothalamus and thalamus. No expression detected in liver. {ECO:0000269|PubMed:7617140, ECO:0000269|PubMed:8738157}.; </t>
        </is>
      </c>
      <c r="G311" t="inlineStr">
        <is>
          <t>.</t>
        </is>
      </c>
      <c r="H311" t="inlineStr">
        <is>
          <t>.</t>
        </is>
      </c>
      <c r="I311" t="inlineStr">
        <is>
          <t>.</t>
        </is>
      </c>
      <c r="J311" t="inlineStr">
        <is>
          <t>.</t>
        </is>
      </c>
      <c r="K311" t="inlineStr">
        <is>
          <t>.</t>
        </is>
      </c>
      <c r="L311" t="inlineStr">
        <is>
          <t>.</t>
        </is>
      </c>
      <c r="M311" t="inlineStr">
        <is>
          <t>.</t>
        </is>
      </c>
      <c r="N311" t="inlineStr">
        <is>
          <t>.</t>
        </is>
      </c>
      <c r="O311" t="inlineStr">
        <is>
          <t>.</t>
        </is>
      </c>
    </row>
    <row r="312">
      <c r="A312" t="inlineStr">
        <is>
          <t>GRM5</t>
        </is>
      </c>
      <c r="B312" t="inlineStr">
        <is>
          <t>0.985984068270878</t>
        </is>
      </c>
      <c r="C312" t="inlineStr">
        <is>
          <t>glutamate receptor, metabotropic 5</t>
        </is>
      </c>
      <c r="D312" t="inlineStr">
        <is>
          <t xml:space="preserve">FUNCTION: G-protein coupled receptor for glutamate. Ligand binding causes a conformation change that triggers signaling via guanine nucleotide-binding proteins (G proteins) and modulates the activity of down-stream effectors. Signaling activates a phosphatidylinositol-calcium second messenger system and generates a calcium-activated chloride current. Plays an important role in the regulation of synaptic plasticity and the modulation of the neural network activity. {ECO:0000269|PubMed:7908515, ECO:0000269|Ref.7}.; </t>
        </is>
      </c>
      <c r="E312" t="inlineStr">
        <is>
          <t>.</t>
        </is>
      </c>
      <c r="F312" t="inlineStr">
        <is>
          <t>.</t>
        </is>
      </c>
      <c r="G312" t="inlineStr">
        <is>
          <t>unclassifiable (Anatomical System);medulla oblongata;lung;whole body;brain;</t>
        </is>
      </c>
      <c r="H312" t="inlineStr">
        <is>
          <t>whole brain;amygdala;occipital lobe;superior cervical ganglion;medulla oblongata;temporal lobe;pons;caudate nucleus;subthalamic nucleus;fetal brain;prefrontal cortex;globus pallidus;cingulate cortex;parietal lobe;</t>
        </is>
      </c>
      <c r="I312" t="inlineStr">
        <is>
          <t>.</t>
        </is>
      </c>
      <c r="J312" t="inlineStr">
        <is>
          <t>.</t>
        </is>
      </c>
      <c r="K312" t="inlineStr">
        <is>
          <t>.</t>
        </is>
      </c>
      <c r="L312" t="inlineStr">
        <is>
          <t>.</t>
        </is>
      </c>
      <c r="M312" t="inlineStr">
        <is>
          <t>.</t>
        </is>
      </c>
      <c r="N312" t="inlineStr">
        <is>
          <t>.</t>
        </is>
      </c>
      <c r="O312" t="inlineStr">
        <is>
          <t>.</t>
        </is>
      </c>
    </row>
    <row r="313">
      <c r="A313" t="inlineStr">
        <is>
          <t>GTF2IP1</t>
        </is>
      </c>
      <c r="B313" t="inlineStr">
        <is>
          <t>.</t>
        </is>
      </c>
      <c r="C313" t="inlineStr">
        <is>
          <t>general transcription factor IIi pseudogene 1</t>
        </is>
      </c>
      <c r="D313" t="inlineStr">
        <is>
          <t>.</t>
        </is>
      </c>
      <c r="E313" t="inlineStr">
        <is>
          <t>.</t>
        </is>
      </c>
      <c r="F313" t="inlineStr">
        <is>
          <t>.</t>
        </is>
      </c>
      <c r="G313" t="inlineStr">
        <is>
          <t>.</t>
        </is>
      </c>
      <c r="H313" t="inlineStr">
        <is>
          <t>.</t>
        </is>
      </c>
      <c r="I313" t="inlineStr">
        <is>
          <t>.</t>
        </is>
      </c>
      <c r="J313" t="inlineStr">
        <is>
          <t>.</t>
        </is>
      </c>
      <c r="K313" t="inlineStr">
        <is>
          <t>.</t>
        </is>
      </c>
      <c r="L313" t="inlineStr">
        <is>
          <t>.</t>
        </is>
      </c>
      <c r="M313" t="inlineStr">
        <is>
          <t>.</t>
        </is>
      </c>
      <c r="N313" t="inlineStr">
        <is>
          <t>.</t>
        </is>
      </c>
      <c r="O313" t="inlineStr">
        <is>
          <t>.</t>
        </is>
      </c>
    </row>
    <row r="314">
      <c r="A314" t="inlineStr">
        <is>
          <t>GTF2IP4</t>
        </is>
      </c>
      <c r="B314" t="inlineStr">
        <is>
          <t>.</t>
        </is>
      </c>
      <c r="C314" t="inlineStr">
        <is>
          <t>general transcription factor IIi pseudogene 4</t>
        </is>
      </c>
      <c r="D314" t="inlineStr">
        <is>
          <t>.</t>
        </is>
      </c>
      <c r="E314" t="inlineStr">
        <is>
          <t>.</t>
        </is>
      </c>
      <c r="F314" t="inlineStr">
        <is>
          <t>.</t>
        </is>
      </c>
      <c r="G314" t="inlineStr">
        <is>
          <t>.</t>
        </is>
      </c>
      <c r="H314" t="inlineStr">
        <is>
          <t>.</t>
        </is>
      </c>
      <c r="I314" t="inlineStr">
        <is>
          <t>.</t>
        </is>
      </c>
      <c r="J314" t="inlineStr">
        <is>
          <t>.</t>
        </is>
      </c>
      <c r="K314" t="inlineStr">
        <is>
          <t>.</t>
        </is>
      </c>
      <c r="L314" t="inlineStr">
        <is>
          <t>.</t>
        </is>
      </c>
      <c r="M314" t="inlineStr">
        <is>
          <t>.</t>
        </is>
      </c>
      <c r="N314" t="inlineStr">
        <is>
          <t>.</t>
        </is>
      </c>
      <c r="O314" t="inlineStr">
        <is>
          <t>.</t>
        </is>
      </c>
    </row>
    <row r="315">
      <c r="A315" t="inlineStr">
        <is>
          <t>GUCY1B3</t>
        </is>
      </c>
      <c r="B315" t="inlineStr">
        <is>
          <t>0.000916633852893547</t>
        </is>
      </c>
      <c r="C315" t="inlineStr">
        <is>
          <t>guanylate cyclase 1, soluble, beta 3</t>
        </is>
      </c>
      <c r="D315" t="inlineStr">
        <is>
          <t xml:space="preserve">FUNCTION: Mediates responses to nitric oxide (NO) by catalyzing the biosynthesis of the signaling molecule cGMP. {ECO:0000250|UniProtKB:P16068, ECO:0000269|PubMed:1352257}.; </t>
        </is>
      </c>
      <c r="E315" t="inlineStr">
        <is>
          <t>.</t>
        </is>
      </c>
      <c r="F315" t="inlineStr">
        <is>
          <t xml:space="preserve">TISSUE SPECIFICITY: Detected in brain cortex and cerebellum (at protein level). {ECO:0000269|PubMed:1352257}.; </t>
        </is>
      </c>
      <c r="G315" t="inlineStr">
        <is>
          <t>islets of Langerhans;colon;fovea centralis;choroid;lens;skeletal muscle;retina;pancreas;optic nerve;placenta;hippocampus;macula lutea;spleen;germinal center;</t>
        </is>
      </c>
      <c r="H315" t="inlineStr">
        <is>
          <t>amygdala;dorsal root ganglion;medulla oblongata;occipital lobe;superior cervical ganglion;temporal lobe;caudate nucleus;pons;subthalamic nucleus;prefrontal cortex;globus pallidus;trigeminal ganglion;parietal lobe;cingulate cortex;</t>
        </is>
      </c>
      <c r="I315" t="inlineStr">
        <is>
          <t>.</t>
        </is>
      </c>
      <c r="J315" t="inlineStr">
        <is>
          <t>.</t>
        </is>
      </c>
      <c r="K315" t="inlineStr">
        <is>
          <t>.</t>
        </is>
      </c>
      <c r="L315" t="inlineStr">
        <is>
          <t>.</t>
        </is>
      </c>
      <c r="M315" t="inlineStr">
        <is>
          <t>.</t>
        </is>
      </c>
      <c r="N315" t="inlineStr">
        <is>
          <t>.</t>
        </is>
      </c>
      <c r="O315" t="inlineStr">
        <is>
          <t>.</t>
        </is>
      </c>
    </row>
    <row r="316">
      <c r="A316" t="inlineStr">
        <is>
          <t>HACE1</t>
        </is>
      </c>
      <c r="B316" t="inlineStr">
        <is>
          <t>0.00159566252447192</t>
        </is>
      </c>
      <c r="C316" t="inlineStr">
        <is>
          <t>HECT domain and ankyrin repeat containing E3 ubiquitin protein ligase 1</t>
        </is>
      </c>
      <c r="D316" t="inlineStr">
        <is>
          <t xml:space="preserve">FUNCTION: E3 ubiquitin-protein ligase involved in Golgi membrane fusion and regulation of small GTPases. Acts as a regulator of Golgi membrane dynamics during the cell cycle: recruited to Golgi membrane by Rab proteins and regulates postmitotic Golgi membrane fusion. Acts by mediating ubiquitination during mitotic Golgi disassembly, ubiquitination serving as a signal for Golgi reassembly later, after cell division. Specifically interacts with GTP-bound RAC1, mediating ubiquitination and subsequent degradation of active RAC1, thereby playing a role in host defense against pathogens. May also act as a transcription regulator via its interaction with RARB. {ECO:0000269|PubMed:15254018, ECO:0000269|PubMed:21988917, ECO:0000269|PubMed:22036506}.; </t>
        </is>
      </c>
      <c r="E316" t="inlineStr">
        <is>
          <t xml:space="preserve">DISEASE: Note=Defects in HACE1 are a cause of Wilms tumor (WT). WT is a pediatric malignancy of kidney and one of the most common solid cancers in childhood. HACE1 is epigenetically down-regulated in sporadic Wilms tumor. Moreover, a t(5;6)(q21;q21) translocation that truncates HACE1 has been found in a child with bilateral, young-onset Wilms tumor (PubMed:19948536). {ECO:0000269|PubMed:17694067, ECO:0000269|PubMed:19948536}.; </t>
        </is>
      </c>
      <c r="F316" t="inlineStr">
        <is>
          <t xml:space="preserve">TISSUE SPECIFICITY: Expressed in multiple tissues including heart, brain and kidney. {ECO:0000269|PubMed:15254018}.; </t>
        </is>
      </c>
      <c r="G316" t="inlineStr">
        <is>
          <t>unclassifiable (Anatomical System);lymph node;heart;ovary;islets of Langerhans;hypothalamus;colon;parathyroid;skin;lung;ganglion;frontal lobe;endometrium;bone;placenta;pituitary gland;hypopharynx;liver;testis;head and neck;brain;stomach;cerebellum;</t>
        </is>
      </c>
      <c r="H316" t="inlineStr">
        <is>
          <t>dorsal root ganglion;superior cervical ganglion;ciliary ganglion;atrioventricular node;trigeminal ganglion;skeletal muscle;</t>
        </is>
      </c>
      <c r="I316" t="inlineStr">
        <is>
          <t>.</t>
        </is>
      </c>
      <c r="J316" t="inlineStr">
        <is>
          <t>.</t>
        </is>
      </c>
      <c r="K316" t="inlineStr">
        <is>
          <t>.</t>
        </is>
      </c>
      <c r="L316" t="inlineStr">
        <is>
          <t>.</t>
        </is>
      </c>
      <c r="M316" t="inlineStr">
        <is>
          <t>.</t>
        </is>
      </c>
      <c r="N316" t="inlineStr">
        <is>
          <t>.</t>
        </is>
      </c>
      <c r="O316" t="inlineStr">
        <is>
          <t>.</t>
        </is>
      </c>
    </row>
    <row r="317">
      <c r="A317" t="inlineStr">
        <is>
          <t>HARS2</t>
        </is>
      </c>
      <c r="B317" t="inlineStr">
        <is>
          <t>8.12767561165649e-05</t>
        </is>
      </c>
      <c r="C317" t="inlineStr">
        <is>
          <t>histidyl-tRNA synthetase 2, mitochondrial</t>
        </is>
      </c>
      <c r="D317" t="inlineStr">
        <is>
          <t>.</t>
        </is>
      </c>
      <c r="E317" t="inlineStr">
        <is>
          <t>.</t>
        </is>
      </c>
      <c r="F317" t="inlineStr">
        <is>
          <t xml:space="preserve">TISSUE SPECIFICITY: A high level expression is seen in the heart, kidney and skeletal muscle while a lower level expression is seen in the brain and liver.; </t>
        </is>
      </c>
      <c r="G317" t="inlineStr">
        <is>
          <t>lymphoreticular;myocardium;ovary;salivary gland;intestine;colon;parathyroid;fovea centralis;choroid;skin;retina;uterus;prostate;optic nerve;whole body;frontal lobe;endometrium;bone;testis;spinal ganglion;brain;bladder;unclassifiable (Anatomical System);lymph node;cartilage;heart;muscle;pharynx;blood;lens;breast;pancreas;lung;epididymis;nasopharynx;trabecular meshwork;placenta;macula lutea;visual apparatus;liver;spleen;cervix;kidney;mammary gland;stomach;</t>
        </is>
      </c>
      <c r="H317" t="inlineStr">
        <is>
          <t>superior cervical ganglion;trigeminal ganglion;skeletal muscle;</t>
        </is>
      </c>
      <c r="I317" t="inlineStr">
        <is>
          <t>.</t>
        </is>
      </c>
      <c r="J317" t="inlineStr">
        <is>
          <t>.</t>
        </is>
      </c>
      <c r="K317" t="inlineStr">
        <is>
          <t>.</t>
        </is>
      </c>
      <c r="L317" t="inlineStr">
        <is>
          <t>.</t>
        </is>
      </c>
      <c r="M317" t="inlineStr">
        <is>
          <t>.</t>
        </is>
      </c>
      <c r="N317" t="inlineStr">
        <is>
          <t>.</t>
        </is>
      </c>
      <c r="O317" t="inlineStr">
        <is>
          <t>.</t>
        </is>
      </c>
    </row>
    <row r="318">
      <c r="A318" t="inlineStr">
        <is>
          <t>HDLBP</t>
        </is>
      </c>
      <c r="B318" t="inlineStr">
        <is>
          <t>0.999998382970679</t>
        </is>
      </c>
      <c r="C318" t="inlineStr">
        <is>
          <t>high density lipoprotein binding protein</t>
        </is>
      </c>
      <c r="D318" t="inlineStr">
        <is>
          <t xml:space="preserve">FUNCTION: Appears to play a role in cell sterol metabolism. It may function to protect cells from over-accumulation of cholesterol.; </t>
        </is>
      </c>
      <c r="E318" t="inlineStr">
        <is>
          <t>.</t>
        </is>
      </c>
      <c r="F318" t="inlineStr">
        <is>
          <t>.</t>
        </is>
      </c>
      <c r="G318" t="inlineStr">
        <is>
          <t>ovary;salivary gland;intestine;colon;parathyroid;vein;skin;bone marrow;uterus;prostate;optic nerve;whole body;cochlea;endometrium;oesophagus;larynx;bone;thyroid;iris;testis;germinal center;brain;unclassifiable (Anatomical System);cartilage;heart;islets of Langerhans;urinary;adrenal cortex;pharynx;blood;skeletal muscle;breast;pancreas;lung;cornea;nasopharynx;placenta;visual apparatus;liver;cervix;spleen;head and neck;kidney;mammary gland;aorta;stomach;</t>
        </is>
      </c>
      <c r="H318" t="inlineStr">
        <is>
          <t>testis - interstitial;prostate;smooth muscle;testis - seminiferous tubule;placenta;thyroid;liver;testis;skeletal muscle;</t>
        </is>
      </c>
      <c r="I318" t="inlineStr">
        <is>
          <t>.</t>
        </is>
      </c>
      <c r="J318" t="inlineStr">
        <is>
          <t>.</t>
        </is>
      </c>
      <c r="K318" t="inlineStr">
        <is>
          <t>.</t>
        </is>
      </c>
      <c r="L318" t="inlineStr">
        <is>
          <t>.</t>
        </is>
      </c>
      <c r="M318" t="inlineStr">
        <is>
          <t>.</t>
        </is>
      </c>
      <c r="N318" t="inlineStr">
        <is>
          <t>.</t>
        </is>
      </c>
      <c r="O318" t="inlineStr">
        <is>
          <t>.</t>
        </is>
      </c>
    </row>
    <row r="319">
      <c r="A319" t="inlineStr">
        <is>
          <t>HERC2</t>
        </is>
      </c>
      <c r="B319" t="inlineStr">
        <is>
          <t>1</t>
        </is>
      </c>
      <c r="C319" t="inlineStr">
        <is>
          <t>HECT and RLD domain containing E3 ubiquitin protein ligase 2</t>
        </is>
      </c>
      <c r="D319" t="inlineStr">
        <is>
          <t xml:space="preserve">FUNCTION: E3 ubiquitin-protein ligase that regulates ubiquitin- dependent retention of repair proteins on damaged chromosomes. Recruited to sites of DNA damage in response to ionizing radiation (IR) and facilitates the assembly of UBE2N and RNF8 promoting DNA damage-induced formation of 'Lys-63'-linked ubiquitin chains. Acts as a mediator of binding specificity between UBE2N and RNF8. Involved in the maintenance of RNF168 levels. E3 ubiquitin-protein ligase that promotes the ubiquitination and proteasomal degradation of XPA which influences the circadian oscillation of DNA excision repair activity. {ECO:0000269|PubMed:20023648, ECO:0000269|PubMed:20304803, ECO:0000269|PubMed:22508508}.; </t>
        </is>
      </c>
      <c r="E319" t="inlineStr">
        <is>
          <t xml:space="preserve">DISEASE: Mental retardation, autosomal recessive 38 (MRT38) [MIM:615516]: A disorder characterized by significantly below average general intellectual functioning associated with impairments in adaptive behavior and manifested during the developmental period. MRT38 is characterized by global developmental delay affecting motor, speech, adaptive, and social development. Patients manifest autistic features, aggression, self-injury, impulsivity, and distractibility. {ECO:0000269|PubMed:23065719}. Note=The disease is caused by mutations affecting the gene represented in this entry.; </t>
        </is>
      </c>
      <c r="F319" t="inlineStr">
        <is>
          <t>.</t>
        </is>
      </c>
      <c r="G319" t="inlineStr">
        <is>
          <t>ovary;colon;parathyroid;fovea centralis;choroid;skin;retina;bone marrow;uterus;prostate;optic nerve;frontal lobe;cerebral cortex;endometrium;larynx;bone;thyroid;iris;testis;germinal center;brain;unclassifiable (Anatomical System);cartilage;heart;nervous;islets of Langerhans;blood;lens;skeletal muscle;breast;pancreas;lung;cornea;adrenal gland;epididymis;nasopharynx;placenta;macula lutea;hippocampus;duodenum;hypopharynx;liver;spleen;head and neck;kidney;mammary gland;stomach;thymus;</t>
        </is>
      </c>
      <c r="H319" t="inlineStr">
        <is>
          <t>whole brain;amygdala;medulla oblongata;thalamus;superior cervical ganglion;prefrontal cortex;caudate nucleus;pons;trigeminal ganglion;cingulate cortex;</t>
        </is>
      </c>
      <c r="I319">
        <f>HYPERLINK("https://omim.org/entry/615516", "615516")</f>
        <v/>
      </c>
      <c r="J319" t="inlineStr">
        <is>
          <t>.</t>
        </is>
      </c>
      <c r="K319" t="inlineStr">
        <is>
          <t>.</t>
        </is>
      </c>
      <c r="L319" t="inlineStr">
        <is>
          <t>.</t>
        </is>
      </c>
      <c r="M319" t="inlineStr">
        <is>
          <t>.</t>
        </is>
      </c>
      <c r="N319" t="inlineStr">
        <is>
          <t>.</t>
        </is>
      </c>
      <c r="O319" t="inlineStr">
        <is>
          <t>.</t>
        </is>
      </c>
    </row>
    <row r="320">
      <c r="A320" t="inlineStr">
        <is>
          <t>HGS</t>
        </is>
      </c>
      <c r="B320" t="inlineStr">
        <is>
          <t>0.131424768706374</t>
        </is>
      </c>
      <c r="C320" t="inlineStr">
        <is>
          <t>hepatocyte growth factor-regulated tyrosine kinase substrate</t>
        </is>
      </c>
      <c r="D320" t="inlineStr">
        <is>
          <t xml:space="preserve">FUNCTION: Involved in intracellular signal transduction mediated by cytokines and growth factors. When associated with STAM, it suppresses DNA signaling upon stimulation by IL-2 and GM-CSF. Could be a direct effector of PI3-kinase in vesicular pathway via early endosomes and may regulate trafficking to early and late endosomes by recruiting clathrin. May concentrate ubiquitinated receptors within clathrin-coated regions. Involved in down- regulation of receptor tyrosine kinase via multivesicular body (MVBs) when complexed with STAM (ESCRT-0 complex). The ESCRT-0 complex binds ubiquitin and acts as sorting machinery that recognizes ubiquitinated receptors and transfers them to further sequential lysosomal sorting/trafficking processes. May contribute to the efficient recruitment of SMADs to the activin receptor complex. Involved in receptor recycling via its association with the CART complex, a multiprotein complex required for efficient transferrin receptor recycling but not for EGFR degradation.; </t>
        </is>
      </c>
      <c r="E320" t="inlineStr">
        <is>
          <t>.</t>
        </is>
      </c>
      <c r="F320" t="inlineStr">
        <is>
          <t xml:space="preserve">TISSUE SPECIFICITY: Ubiquitous expression in adult and fetal tissues with higher expression in testis and peripheral blood leukocytes. {ECO:0000269|PubMed:9407053, ECO:0000269|PubMed:9630564}.; </t>
        </is>
      </c>
      <c r="G320" t="inlineStr">
        <is>
          <t>medulla oblongata;ovary;salivary gland;colon;vein;skin;retina;bone marrow;uterus;prostate;optic nerve;whole body;endometrium;larynx;bone;thyroid;iris;pituitary gland;testis;germinal center;brain;bladder;unclassifiable (Anatomical System);lymph node;cartilage;heart;tongue;islets of Langerhans;muscle;urinary;blood;lens;skeletal muscle;breast;pancreas;lung;placenta;visual apparatus;hippocampus;liver;cervix;spleen;head and neck;kidney;mammary gland;stomach;peripheral nerve;cerebellum;</t>
        </is>
      </c>
      <c r="H320" t="inlineStr">
        <is>
          <t>amygdala;superior cervical ganglion;testis;trigeminal ganglion;</t>
        </is>
      </c>
      <c r="I320" t="inlineStr">
        <is>
          <t>.</t>
        </is>
      </c>
      <c r="J320" t="inlineStr">
        <is>
          <t>.</t>
        </is>
      </c>
      <c r="K320" t="inlineStr">
        <is>
          <t>.</t>
        </is>
      </c>
      <c r="L320" t="inlineStr">
        <is>
          <t>.</t>
        </is>
      </c>
      <c r="M320" t="inlineStr">
        <is>
          <t>.</t>
        </is>
      </c>
      <c r="N320" t="inlineStr">
        <is>
          <t>.</t>
        </is>
      </c>
      <c r="O320" t="inlineStr">
        <is>
          <t>.</t>
        </is>
      </c>
    </row>
    <row r="321">
      <c r="A321" t="inlineStr">
        <is>
          <t>HIPK3</t>
        </is>
      </c>
      <c r="B321" t="inlineStr">
        <is>
          <t>0.893187377239476</t>
        </is>
      </c>
      <c r="C321" t="inlineStr">
        <is>
          <t>homeodomain interacting protein kinase 3</t>
        </is>
      </c>
      <c r="D321" t="inlineStr">
        <is>
          <t xml:space="preserve">FUNCTION: Serine/threonine-protein kinase involved in transcription regulation, apoptosis and steroidogenic gene expression. Phosphorylates JUN and RUNX2. Seems to negatively regulate apoptosis by promoting FADD phosphorylation. Enhances androgen receptor-mediated transcription. May act as a transcriptional corepressor for NK homeodomain transcription factors. The phosphorylation of NR5A1 activates SF1 leading to increased steroidogenic gene expression upon cAMP signaling pathway stimulation. In osteoblasts, supports transcription activation: phosphorylates RUNX2 that synergizes with SPEN/MINT to enhance FGFR2-mediated activation of the osteocalcin FGF- responsive element (OCFRE). {ECO:0000269|PubMed:14766760, ECO:0000269|PubMed:17210646}.; </t>
        </is>
      </c>
      <c r="E321" t="inlineStr">
        <is>
          <t>.</t>
        </is>
      </c>
      <c r="F321" t="inlineStr">
        <is>
          <t xml:space="preserve">TISSUE SPECIFICITY: Overexpressed in multidrug resistant cells. Highly expressed in heart and skeletal muscle, and at lower levels in placenta, pancreas, brain, spleen, prostate, thymus, testis, small intestine, colon and leukocytes. Not found in liver and lung. {ECO:0000269|PubMed:11034606, ECO:0000269|PubMed:9373137, ECO:0000269|PubMed:9725910}.; </t>
        </is>
      </c>
      <c r="G321" t="inlineStr">
        <is>
          <t>unclassifiable (Anatomical System);ovary;heart;islets of Langerhans;spinal cord;colon;parathyroid;blood;skin;skeletal muscle;retina;breast;uterus;lung;frontal lobe;larynx;placenta;hippocampus;hypopharynx;liver;testis;cervix;head and neck;germinal center;kidney;stomach;thymus;</t>
        </is>
      </c>
      <c r="H321" t="inlineStr">
        <is>
          <t>superior cervical ganglion;ciliary ganglion;atrioventricular node;skeletal muscle;</t>
        </is>
      </c>
      <c r="I321" t="inlineStr">
        <is>
          <t>.</t>
        </is>
      </c>
      <c r="J321" t="inlineStr">
        <is>
          <t>.</t>
        </is>
      </c>
      <c r="K321" t="inlineStr">
        <is>
          <t>.</t>
        </is>
      </c>
      <c r="L321" t="inlineStr">
        <is>
          <t>.</t>
        </is>
      </c>
      <c r="M321" t="inlineStr">
        <is>
          <t>.</t>
        </is>
      </c>
      <c r="N321" t="inlineStr">
        <is>
          <t>.</t>
        </is>
      </c>
      <c r="O321" t="inlineStr">
        <is>
          <t>.</t>
        </is>
      </c>
    </row>
    <row r="322">
      <c r="A322" t="inlineStr">
        <is>
          <t>HIRA</t>
        </is>
      </c>
      <c r="B322" t="inlineStr">
        <is>
          <t>0.999998171154956</t>
        </is>
      </c>
      <c r="C322" t="inlineStr">
        <is>
          <t>histone cell cycle regulator</t>
        </is>
      </c>
      <c r="D322" t="inlineStr">
        <is>
          <t xml:space="preserve">FUNCTION: Cooperates with ASF1A to promote replication-independent chromatin assembly. Required for the periodic repression of histone gene transcription during the cell cycle. Required for the formation of senescence-associated heterochromatin foci (SAHF) and efficient senescence-associated cell cycle exit. {ECO:0000269|PubMed:12370293, ECO:0000269|PubMed:14718166, ECO:0000269|PubMed:15621527}.; </t>
        </is>
      </c>
      <c r="E322" t="inlineStr">
        <is>
          <t>.</t>
        </is>
      </c>
      <c r="F322" t="inlineStr">
        <is>
          <t xml:space="preserve">TISSUE SPECIFICITY: Expressed at high levels in kidney, pancreas and skeletal muscle and at lower levels in brain, heart, liver, lung, and placenta. {ECO:0000269|PubMed:9063745}.; </t>
        </is>
      </c>
      <c r="G322" t="inlineStr">
        <is>
          <t>colon;skin;retina;bone marrow;uterus;prostate;whole body;larynx;thyroid;bone;testis;germinal center;brain;unclassifiable (Anatomical System);amygdala;heart;cartilage;blood;skeletal muscle;breast;pancreas;lung;epididymis;placenta;duodenum;liver;spleen;head and neck;kidney;stomach;</t>
        </is>
      </c>
      <c r="H322" t="inlineStr">
        <is>
          <t>amygdala;whole brain;fetal liver;thyroid;</t>
        </is>
      </c>
      <c r="I322" t="inlineStr">
        <is>
          <t>.</t>
        </is>
      </c>
      <c r="J322" t="inlineStr">
        <is>
          <t>.</t>
        </is>
      </c>
      <c r="K322" t="inlineStr">
        <is>
          <t>.</t>
        </is>
      </c>
      <c r="L322" t="inlineStr">
        <is>
          <t>.</t>
        </is>
      </c>
      <c r="M322" t="inlineStr">
        <is>
          <t>.</t>
        </is>
      </c>
      <c r="N322" t="inlineStr">
        <is>
          <t>.</t>
        </is>
      </c>
      <c r="O322" t="inlineStr">
        <is>
          <t>.</t>
        </is>
      </c>
    </row>
    <row r="323">
      <c r="A323" t="inlineStr">
        <is>
          <t>HIVEP1</t>
        </is>
      </c>
      <c r="B323" t="inlineStr">
        <is>
          <t>0.999986917229393</t>
        </is>
      </c>
      <c r="C323" t="inlineStr">
        <is>
          <t>human immunodeficiency virus type I enhancer binding protein 1</t>
        </is>
      </c>
      <c r="D323" t="inlineStr">
        <is>
          <t xml:space="preserve">FUNCTION: This protein specifically binds to the DNA sequence 5'- GGGACTTTCC-3' which is found in the enhancer elements of numerous viral promoters such as those of SV40, CMV, or HIV-1. In addition, related sequences are found in the enhancer elements of a number of cellular promoters, including those of the class I MHC, interleukin-2 receptor, and interferon-beta genes. It may act in T-cell activation. Involved in activating HIV-1 gene expression. Isoform 2 and isoform 3 also bind to the IPCS (IRF1 and p53 common sequence) DNA sequence in the promoter region of interferon regulatory factor 1 and p53 genes and are involved in transcription regulation of these genes. Isoform 2 does not activate HIV-1 gene expression. Isoform 2 and isoform 3 may be involved in apoptosis.; </t>
        </is>
      </c>
      <c r="E323" t="inlineStr">
        <is>
          <t>.</t>
        </is>
      </c>
      <c r="F323" t="inlineStr">
        <is>
          <t>.</t>
        </is>
      </c>
      <c r="G323" t="inlineStr">
        <is>
          <t>.</t>
        </is>
      </c>
      <c r="H323" t="inlineStr">
        <is>
          <t>.</t>
        </is>
      </c>
      <c r="I323" t="inlineStr">
        <is>
          <t>.</t>
        </is>
      </c>
      <c r="J323" t="inlineStr">
        <is>
          <t>.</t>
        </is>
      </c>
      <c r="K323" t="inlineStr">
        <is>
          <t>.</t>
        </is>
      </c>
      <c r="L323" t="inlineStr">
        <is>
          <t>.</t>
        </is>
      </c>
      <c r="M323" t="inlineStr">
        <is>
          <t>.</t>
        </is>
      </c>
      <c r="N323" t="inlineStr">
        <is>
          <t>.</t>
        </is>
      </c>
      <c r="O323" t="inlineStr">
        <is>
          <t>.</t>
        </is>
      </c>
    </row>
    <row r="324">
      <c r="A324" t="inlineStr">
        <is>
          <t>HLA-A</t>
        </is>
      </c>
      <c r="B324" t="inlineStr">
        <is>
          <t>0.132779664827761</t>
        </is>
      </c>
      <c r="C324" t="inlineStr">
        <is>
          <t>major histocompatibility complex, class I, A</t>
        </is>
      </c>
      <c r="D324" t="inlineStr">
        <is>
          <t xml:space="preserve">FUNCTION: Involved in the presentation of foreign antigens to the immune system.; </t>
        </is>
      </c>
      <c r="E324" t="inlineStr">
        <is>
          <t>.</t>
        </is>
      </c>
      <c r="F324" t="inlineStr">
        <is>
          <t>.</t>
        </is>
      </c>
      <c r="G324" t="inlineStr">
        <is>
          <t>unclassifiable (Anatomical System);lymph node;endometrium;islets of Langerhans;bone;testis;colon;cervix;</t>
        </is>
      </c>
      <c r="H324" t="inlineStr">
        <is>
          <t>.</t>
        </is>
      </c>
      <c r="I324" t="inlineStr">
        <is>
          <t>.</t>
        </is>
      </c>
      <c r="J324" t="inlineStr">
        <is>
          <t>.</t>
        </is>
      </c>
      <c r="K324" t="inlineStr">
        <is>
          <t>.</t>
        </is>
      </c>
      <c r="L324" t="inlineStr">
        <is>
          <t>.</t>
        </is>
      </c>
      <c r="M324" t="inlineStr">
        <is>
          <t>.</t>
        </is>
      </c>
      <c r="N324" t="inlineStr">
        <is>
          <t>.</t>
        </is>
      </c>
      <c r="O324" t="inlineStr">
        <is>
          <t>.</t>
        </is>
      </c>
    </row>
    <row r="325">
      <c r="A325" t="inlineStr">
        <is>
          <t>HLA-DQB1</t>
        </is>
      </c>
      <c r="B325" t="inlineStr">
        <is>
          <t>0.353015151654053</t>
        </is>
      </c>
      <c r="C325" t="inlineStr">
        <is>
          <t>major histocompatibility complex, class II, DQ beta 1</t>
        </is>
      </c>
      <c r="D325" t="inlineStr">
        <is>
          <t xml:space="preserve">FUNCTION: Binds peptides derived from antigens that access the endocytic route of antigen presenting cells (APC) and presents them on the cell surface for recognition by the CD4 T-cells. The peptide binding cleft accommodates peptides of 10-30 residues. The peptides presented by MHC class II molecules are generated mostly by degradation of proteins that access the endocytic route, where they are processed by lysosomal proteases and other hydrolases. Exogenous antigens that have been endocytosed by the APC are thus readily available for presentation via MHC II molecules, and for this reason this antigen presentation pathway is usually referred to as exogenous. As membrane proteins on their way to degradation in lysosomes as part of their normal turn-over are also contained in the endosomal/lysosomal compartments, exogenous antigens must compete with those derived from endogenous components. Autophagy is also a source of endogenous peptides, autophagosomes constitutively fuse with MHC class II loading compartments. In addition to APCs, other cells of the gastrointestinal tract, such as epithelial cells, express MHC class II molecules and CD74 and act as APCs, which is an unusual trait of the GI tract. To produce a MHC class II molecule that presents an antigen, three MHC class II molecules (heterodimers of an alpha and a beta chain) associate with a CD74 trimer in the ER to form a heterononamer. Soon after the entry of this complex into the endosomal/lysosomal system where antigen processing occurs, CD74 undergoes a sequential degradation by various proteases, including CTSS and CTSL, leaving a small fragment termed CLIP (class-II-associated invariant chain peptide). The removal of CLIP is facilitated by HLA-DM via direct binding to the alpha-beta-CLIP complex so that CLIP is released. HLA-DM stabilizes MHC class II molecules until primary high affinity antigenic peptides are bound. The MHC II molecule bound to a peptide is then transported to the cell membrane surface. In B-cells, the interaction between HLA-DM and MHC class II molecules is regulated by HLA-DO. Primary dendritic cells (DCs) also to express HLA-DO. Lysosomal microenvironment has been implicated in the regulation of antigen loading into MHC II molecules, increased acidification produces increased proteolysis and efficient peptide loading.; </t>
        </is>
      </c>
      <c r="E325" t="inlineStr">
        <is>
          <t>.</t>
        </is>
      </c>
      <c r="F325" t="inlineStr">
        <is>
          <t>.</t>
        </is>
      </c>
      <c r="G325" t="inlineStr">
        <is>
          <t>.</t>
        </is>
      </c>
      <c r="H325" t="inlineStr">
        <is>
          <t>.</t>
        </is>
      </c>
      <c r="I325" t="inlineStr">
        <is>
          <t>.</t>
        </is>
      </c>
      <c r="J325" t="inlineStr">
        <is>
          <t>.</t>
        </is>
      </c>
      <c r="K325" t="inlineStr">
        <is>
          <t>.</t>
        </is>
      </c>
      <c r="L325" t="inlineStr">
        <is>
          <t>.</t>
        </is>
      </c>
      <c r="M325" t="inlineStr">
        <is>
          <t>.</t>
        </is>
      </c>
      <c r="N325" t="inlineStr">
        <is>
          <t>.</t>
        </is>
      </c>
      <c r="O325" t="inlineStr">
        <is>
          <t>.</t>
        </is>
      </c>
    </row>
    <row r="326">
      <c r="A326" t="inlineStr">
        <is>
          <t>HMCN1</t>
        </is>
      </c>
      <c r="B326" t="inlineStr">
        <is>
          <t>2.19206065668674e-18</t>
        </is>
      </c>
      <c r="C326" t="inlineStr">
        <is>
          <t>hemicentin 1</t>
        </is>
      </c>
      <c r="D326" t="inlineStr">
        <is>
          <t>.</t>
        </is>
      </c>
      <c r="E326" t="inlineStr">
        <is>
          <t>.</t>
        </is>
      </c>
      <c r="F326" t="inlineStr">
        <is>
          <t xml:space="preserve">TISSUE SPECIFICITY: Isoform 1 and isoform 2 are expressed in skin fibroblasts and retinal pigment epithelium (RPE) cells. {ECO:0000269|PubMed:14570714}.; </t>
        </is>
      </c>
      <c r="G326" t="inlineStr">
        <is>
          <t>unclassifiable (Anatomical System);cartilage;skin;skeletal muscle;breast;uterus;whole body;lung;larynx;bone;thyroid;placenta;duodenum;liver;head and neck;kidney;spinal ganglion;mammary gland;artery;aorta;stomach;</t>
        </is>
      </c>
      <c r="H326" t="inlineStr">
        <is>
          <t>dorsal root ganglion;subthalamic nucleus;superior cervical ganglion;globus pallidus;ciliary ganglion;atrioventricular node;trigeminal ganglion;skeletal muscle;skin;cerebellum;</t>
        </is>
      </c>
      <c r="I326" t="inlineStr">
        <is>
          <t>.</t>
        </is>
      </c>
      <c r="J326" t="inlineStr">
        <is>
          <t>.</t>
        </is>
      </c>
      <c r="K326" t="inlineStr">
        <is>
          <t>.</t>
        </is>
      </c>
      <c r="L326" t="inlineStr">
        <is>
          <t>.</t>
        </is>
      </c>
      <c r="M326" t="inlineStr">
        <is>
          <t>.</t>
        </is>
      </c>
      <c r="N326" t="inlineStr">
        <is>
          <t>.</t>
        </is>
      </c>
      <c r="O326" t="inlineStr">
        <is>
          <t>.</t>
        </is>
      </c>
    </row>
    <row r="327">
      <c r="A327" t="inlineStr">
        <is>
          <t>HNRNPC</t>
        </is>
      </c>
      <c r="B327" t="inlineStr">
        <is>
          <t>0.985848437293407</t>
        </is>
      </c>
      <c r="C327" t="inlineStr">
        <is>
          <t>heterogeneous nuclear ribonucleoprotein C (C1/C2)</t>
        </is>
      </c>
      <c r="D327" t="inlineStr">
        <is>
          <t xml:space="preserve">FUNCTION: Binds pre-mRNA and nucleates the assembly of 40S hnRNP particles (PubMed:8264621). Specifically recognizes and binds N6- methyladenosine (m6A)-containing RNAs, a modification present at internal sites of mRNAs that affects mRNA splicing, processing and stability. M6A alters the local structure in mRNAs and long non- coding RNAs (lncRNAs) via a mechanism named 'm(6)A-switch' to facilitate binding of HNRNPC, leading to regulation of mRNA splicing (PubMed:25719671). Single HNRNPC tetramers bind 230-240 nucleotides. Trimers of HNRNPC tetramers bind 700 nucleotides. May play a role in the early steps of spliceosome assembly and pre- mRNA splicing. Interacts with poly-U tracts in the 3'-UTR or 5'- UTR of mRNA and modulates the stability and the level of translation of bound mRNA molecules (PubMed:12509468, PubMed:16010978, PubMed:7567451, PubMed:8264621). {ECO:0000269|PubMed:12509468, ECO:0000269|PubMed:16010978, ECO:0000269|PubMed:25719671, ECO:0000269|PubMed:7567451, ECO:0000269|PubMed:8264621}.; </t>
        </is>
      </c>
      <c r="E327" t="inlineStr">
        <is>
          <t>.</t>
        </is>
      </c>
      <c r="F327" t="inlineStr">
        <is>
          <t>.</t>
        </is>
      </c>
      <c r="G327" t="inlineStr">
        <is>
          <t>ovary;umbilical cord;skin;retina;bone marrow;prostate;frontal lobe;cochlea;endometrium;thyroid;germinal center;bladder;brain;heart;cartilage;urinary;adrenal cortex;pharynx;blood;lens;breast;trabecular meshwork;macula lutea;visual apparatus;liver;alveolus;spleen;cervix;mammary gland;peripheral nerve;salivary gland;intestine;colon;parathyroid;fovea centralis;choroid;vein;uterus;whole body;cerebral cortex;bone;pituitary gland;testis;spinal ganglion;unclassifiable (Anatomical System);lymph node;cerebellum cortex;islets of Langerhans;hypothalamus;oral cavity;muscle;pancreas;lung;adrenal gland;placenta;hippocampus;duodenum;head and neck;kidney;stomach;aorta;thymus;</t>
        </is>
      </c>
      <c r="H327" t="inlineStr">
        <is>
          <t>.</t>
        </is>
      </c>
      <c r="I327" t="inlineStr">
        <is>
          <t>.</t>
        </is>
      </c>
      <c r="J327" t="inlineStr">
        <is>
          <t>.</t>
        </is>
      </c>
      <c r="K327" t="inlineStr">
        <is>
          <t>.</t>
        </is>
      </c>
      <c r="L327" t="inlineStr">
        <is>
          <t>.</t>
        </is>
      </c>
      <c r="M327" t="inlineStr">
        <is>
          <t>.</t>
        </is>
      </c>
      <c r="N327" t="inlineStr">
        <is>
          <t>.</t>
        </is>
      </c>
      <c r="O327" t="inlineStr">
        <is>
          <t>.</t>
        </is>
      </c>
    </row>
    <row r="328">
      <c r="A328" t="inlineStr">
        <is>
          <t>HOXA9</t>
        </is>
      </c>
      <c r="B328" t="inlineStr">
        <is>
          <t>0.000100012594431347</t>
        </is>
      </c>
      <c r="C328" t="inlineStr">
        <is>
          <t>homeobox A9</t>
        </is>
      </c>
      <c r="D328" t="inlineStr">
        <is>
          <t xml:space="preserve">FUNCTION: Sequence-specific transcription factor which is part of a developmental regulatory system that provides cells with specific positional identities on the anterior-posterior axis. Required for induction of E-selectin and VCAM-1, on the endothelial cells surface at sites of inflammation. {ECO:0000269|PubMed:22269951}.; </t>
        </is>
      </c>
      <c r="E328" t="inlineStr">
        <is>
          <t xml:space="preserve">DISEASE: Note=A chromosomal aberration involving HOXA9 is found in a form of acute myeloid leukemia. Translocation t(7;11)(p15;p15) with NUP98.; DISEASE: Note=A chromosomal aberration involving HOXA9 may contribute to disease progression in chronic myeloid leukemia. Translocation t(7;17)(p15;q23) with MSI2.; </t>
        </is>
      </c>
      <c r="F328" t="inlineStr">
        <is>
          <t>.</t>
        </is>
      </c>
      <c r="G328" t="inlineStr">
        <is>
          <t>unclassifiable (Anatomical System);ovary;cartilage;colon;blood;skin;uterus;prostate;endometrium;placenta;bone;testis;cervix;kidney;</t>
        </is>
      </c>
      <c r="H328" t="inlineStr">
        <is>
          <t>superior cervical ganglion;trigeminal ganglion;skeletal muscle;</t>
        </is>
      </c>
      <c r="I328" t="inlineStr">
        <is>
          <t>.</t>
        </is>
      </c>
      <c r="J328" t="inlineStr">
        <is>
          <t>.</t>
        </is>
      </c>
      <c r="K328" t="inlineStr">
        <is>
          <t>.</t>
        </is>
      </c>
      <c r="L328" t="inlineStr">
        <is>
          <t>.</t>
        </is>
      </c>
      <c r="M328" t="inlineStr">
        <is>
          <t>.</t>
        </is>
      </c>
      <c r="N328" t="inlineStr">
        <is>
          <t>.</t>
        </is>
      </c>
      <c r="O328" t="inlineStr">
        <is>
          <t>.</t>
        </is>
      </c>
    </row>
    <row r="329">
      <c r="A329" t="inlineStr">
        <is>
          <t>HOXB8</t>
        </is>
      </c>
      <c r="B329" t="inlineStr">
        <is>
          <t>0.444768417534794</t>
        </is>
      </c>
      <c r="C329" t="inlineStr">
        <is>
          <t>homeobox B8</t>
        </is>
      </c>
      <c r="D329" t="inlineStr">
        <is>
          <t xml:space="preserve">FUNCTION: Sequence-specific transcription factor which is part of a developmental regulatory system that provides cells with specific positional identities on the anterior-posterior axis.; </t>
        </is>
      </c>
      <c r="E329" t="inlineStr">
        <is>
          <t>.</t>
        </is>
      </c>
      <c r="F329" t="inlineStr">
        <is>
          <t>.</t>
        </is>
      </c>
      <c r="G329" t="inlineStr">
        <is>
          <t>unclassifiable (Anatomical System);prostate;whole body;ovary;placenta;testis;colon;parathyroid;cervix;blood;kidney;</t>
        </is>
      </c>
      <c r="H329" t="inlineStr">
        <is>
          <t>.</t>
        </is>
      </c>
      <c r="I329" t="inlineStr">
        <is>
          <t>.</t>
        </is>
      </c>
      <c r="J329" t="inlineStr">
        <is>
          <t>.</t>
        </is>
      </c>
      <c r="K329" t="inlineStr">
        <is>
          <t>.</t>
        </is>
      </c>
      <c r="L329" t="inlineStr">
        <is>
          <t>.</t>
        </is>
      </c>
      <c r="M329" t="inlineStr">
        <is>
          <t>.</t>
        </is>
      </c>
      <c r="N329" t="inlineStr">
        <is>
          <t>.</t>
        </is>
      </c>
      <c r="O329" t="inlineStr">
        <is>
          <t>.</t>
        </is>
      </c>
    </row>
    <row r="330">
      <c r="A330" t="inlineStr">
        <is>
          <t>HOXD11</t>
        </is>
      </c>
      <c r="B330" t="inlineStr">
        <is>
          <t>0.0131898476206074</t>
        </is>
      </c>
      <c r="C330" t="inlineStr">
        <is>
          <t>homeobox D11</t>
        </is>
      </c>
      <c r="D330" t="inlineStr">
        <is>
          <t xml:space="preserve">FUNCTION: Sequence-specific transcription factor which is part of a developmental regulatory system that provides cells with specific positional identities on the anterior-posterior axis.; </t>
        </is>
      </c>
      <c r="E330" t="inlineStr">
        <is>
          <t>.</t>
        </is>
      </c>
      <c r="F330" t="inlineStr">
        <is>
          <t>.</t>
        </is>
      </c>
      <c r="G330" t="inlineStr">
        <is>
          <t>unclassifiable (Anatomical System);uterus;prostate;whole body;heart;bone;placenta;urinary;cervix;kidney;brain;skin;</t>
        </is>
      </c>
      <c r="H330" t="inlineStr">
        <is>
          <t>superior cervical ganglion;atrioventricular node;</t>
        </is>
      </c>
      <c r="I330" t="inlineStr">
        <is>
          <t>.</t>
        </is>
      </c>
      <c r="J330" t="inlineStr">
        <is>
          <t>.</t>
        </is>
      </c>
      <c r="K330" t="inlineStr">
        <is>
          <t>.</t>
        </is>
      </c>
      <c r="L330" t="inlineStr">
        <is>
          <t>.</t>
        </is>
      </c>
      <c r="M330" t="inlineStr">
        <is>
          <t>.</t>
        </is>
      </c>
      <c r="N330" t="inlineStr">
        <is>
          <t>.</t>
        </is>
      </c>
      <c r="O330" t="inlineStr">
        <is>
          <t>.</t>
        </is>
      </c>
    </row>
    <row r="331">
      <c r="A331" t="inlineStr">
        <is>
          <t>HPS5</t>
        </is>
      </c>
      <c r="B331" t="inlineStr">
        <is>
          <t>9.07535902902917e-06</t>
        </is>
      </c>
      <c r="C331" t="inlineStr">
        <is>
          <t>HPS5, biogenesis of lysosomal organelles complex 2 subunit 2</t>
        </is>
      </c>
      <c r="D331" t="inlineStr">
        <is>
          <t xml:space="preserve">FUNCTION: May regulate the synthesis and function of lysosomes and of highly specialized organelles, such as melanosomes and platelet dense granules. Regulates intracellular vesicular trafficking in fibroblasts. May be involved in the regulation of general functions of integrins. {ECO:0000269|PubMed:15296495, ECO:0000269|PubMed:17301833}.; </t>
        </is>
      </c>
      <c r="E331" t="inlineStr">
        <is>
          <t>.</t>
        </is>
      </c>
      <c r="F331" t="inlineStr">
        <is>
          <t xml:space="preserve">TISSUE SPECIFICITY: Widely expressed. Isoform 1:Highly expressed in lungs and testis. Isoform 2:Highly expressed in placenta, kidney, testis ovary, lung and thymus. {ECO:0000269|PubMed:15296495}.; </t>
        </is>
      </c>
      <c r="G331" t="inlineStr">
        <is>
          <t>ovary;salivary gland;colon;parathyroid;skin;uterus;prostate;optic nerve;endometrium;bone;pituitary gland;testis;germinal center;brain;bladder;unclassifiable (Anatomical System);lymph node;cartilage;heart;lacrimal gland;islets of Langerhans;adrenal cortex;pharynx;blood;skeletal muscle;breast;lung;nasopharynx;placenta;visual apparatus;liver;spleen;kidney;mammary gland;stomach;aorta;</t>
        </is>
      </c>
      <c r="H331" t="inlineStr">
        <is>
          <t>superior cervical ganglion;testis;trigeminal ganglion;skeletal muscle;</t>
        </is>
      </c>
      <c r="I331" t="inlineStr">
        <is>
          <t>.</t>
        </is>
      </c>
      <c r="J331" t="inlineStr">
        <is>
          <t>.</t>
        </is>
      </c>
      <c r="K331" t="inlineStr">
        <is>
          <t>.</t>
        </is>
      </c>
      <c r="L331" t="inlineStr">
        <is>
          <t>.</t>
        </is>
      </c>
      <c r="M331" t="inlineStr">
        <is>
          <t>.</t>
        </is>
      </c>
      <c r="N331" t="inlineStr">
        <is>
          <t>.</t>
        </is>
      </c>
      <c r="O331" t="inlineStr">
        <is>
          <t>.</t>
        </is>
      </c>
    </row>
    <row r="332">
      <c r="A332" t="inlineStr">
        <is>
          <t>HRC</t>
        </is>
      </c>
      <c r="B332" t="inlineStr">
        <is>
          <t>3.13676309509999e-05</t>
        </is>
      </c>
      <c r="C332" t="inlineStr">
        <is>
          <t>histidine rich calcium binding protein</t>
        </is>
      </c>
      <c r="D332" t="inlineStr">
        <is>
          <t xml:space="preserve">FUNCTION: May play a role in the regulation of calcium sequestration or release in the SR of skeletal and cardiac muscle.; </t>
        </is>
      </c>
      <c r="E332" t="inlineStr">
        <is>
          <t>.</t>
        </is>
      </c>
      <c r="F332" t="inlineStr">
        <is>
          <t>.</t>
        </is>
      </c>
      <c r="G332" t="inlineStr">
        <is>
          <t>unclassifiable (Anatomical System);myocardium;prostate;heart;liver;choroid;skeletal muscle;</t>
        </is>
      </c>
      <c r="H332" t="inlineStr">
        <is>
          <t>superior cervical ganglion;heart;skeletal muscle;</t>
        </is>
      </c>
      <c r="I332" t="inlineStr">
        <is>
          <t>.</t>
        </is>
      </c>
      <c r="J332" t="inlineStr">
        <is>
          <t>.</t>
        </is>
      </c>
      <c r="K332" t="inlineStr">
        <is>
          <t>.</t>
        </is>
      </c>
      <c r="L332" t="inlineStr">
        <is>
          <t>.</t>
        </is>
      </c>
      <c r="M332" t="inlineStr">
        <is>
          <t>.</t>
        </is>
      </c>
      <c r="N332" t="inlineStr">
        <is>
          <t>.</t>
        </is>
      </c>
      <c r="O332" t="inlineStr">
        <is>
          <t>.</t>
        </is>
      </c>
    </row>
    <row r="333">
      <c r="A333" t="inlineStr">
        <is>
          <t>HSPA5</t>
        </is>
      </c>
      <c r="B333" t="inlineStr">
        <is>
          <t>0.885688897994033</t>
        </is>
      </c>
      <c r="C333" t="inlineStr">
        <is>
          <t>heat shock protein family A (Hsp70) member 5</t>
        </is>
      </c>
      <c r="D333" t="inlineStr">
        <is>
          <t xml:space="preserve">FUNCTION: Probably plays a role in facilitating the assembly of multimeric protein complexes inside the endoplasmic reticulum. Involved in the correct folding of proteins and degradation of misfolded proteins via its interaction with DNAJC10, probably to facilitate the release of DNAJC10 from its substrate. {ECO:0000269|PubMed:2294010, ECO:0000269|PubMed:23769672, ECO:0000269|PubMed:23990668}.; </t>
        </is>
      </c>
      <c r="E333" t="inlineStr">
        <is>
          <t xml:space="preserve">DISEASE: Note=Autoantigen in rheumatoid arthritis. {ECO:0000269|PubMed:11160188}.; </t>
        </is>
      </c>
      <c r="F333" t="inlineStr">
        <is>
          <t>.</t>
        </is>
      </c>
      <c r="G333" t="inlineStr">
        <is>
          <t>myocardium;smooth muscle;ovary;colon;choroid;skin;retina;bone marrow;uterus;prostate;optic nerve;frontal lobe;cochlea;oesophagus;endometrium;larynx;bone;thyroid;pituitary gland;testis;brain;unclassifiable (Anatomical System);lymph node;cartilage;heart;islets of Langerhans;urinary;blood;skeletal muscle;breast;pancreas;lung;trabecular meshwork;placenta;visual apparatus;hippocampus;liver;head and neck;cervix;kidney;mammary gland;stomach;thymus;</t>
        </is>
      </c>
      <c r="H333" t="inlineStr">
        <is>
          <t>fetal liver;olfactory bulb;placenta;thyroid;testis;pituitary;</t>
        </is>
      </c>
      <c r="I333" t="inlineStr">
        <is>
          <t>.</t>
        </is>
      </c>
      <c r="J333" t="inlineStr">
        <is>
          <t>.</t>
        </is>
      </c>
      <c r="K333" t="inlineStr">
        <is>
          <t>.</t>
        </is>
      </c>
      <c r="L333" t="inlineStr">
        <is>
          <t>.</t>
        </is>
      </c>
      <c r="M333" t="inlineStr">
        <is>
          <t>.</t>
        </is>
      </c>
      <c r="N333" t="inlineStr">
        <is>
          <t>.</t>
        </is>
      </c>
      <c r="O333" t="inlineStr">
        <is>
          <t>.</t>
        </is>
      </c>
    </row>
    <row r="334">
      <c r="A334" t="inlineStr">
        <is>
          <t>HTR1B</t>
        </is>
      </c>
      <c r="B334" t="inlineStr">
        <is>
          <t>0.645559516982246</t>
        </is>
      </c>
      <c r="C334" t="inlineStr">
        <is>
          <t>5-hydroxytryptamine receptor 1B</t>
        </is>
      </c>
      <c r="D334" t="inlineStr">
        <is>
          <t xml:space="preserve">FUNCTION: G-protein coupled receptor for 5-hydroxytryptamine (serotonin). Also functions as a receptor for ergot alkaloid derivatives, various anxiolytic and antidepressant drugs and other psychoactive substances, such as lysergic acid diethylamide (LSD). Ligand binding causes a conformation change that triggers signaling via guanine nucleotide-binding proteins (G proteins) and modulates the activity of down-stream effectors, such as adenylate cyclase. Signaling inhibits adenylate cyclase activity. Arrestin family members inhibit signaling via G proteins and mediate activation of alternative signaling pathways. Regulates the release of 5-hydroxytryptamine, dopamine and acetylcholine in the brain, and thereby affects neural activity, nociceptive processing, pain perception, mood and behavior. Besides, plays a role in vasoconstriction of cerebral arteries. {ECO:0000269|PubMed:10452531, ECO:0000269|PubMed:1315531, ECO:0000269|PubMed:1328844, ECO:0000269|PubMed:1348246, ECO:0000269|PubMed:1351684, ECO:0000269|PubMed:1559993, ECO:0000269|PubMed:1565658, ECO:0000269|PubMed:15853772, ECO:0000269|PubMed:1610347, ECO:0000269|PubMed:23519210, ECO:0000269|PubMed:23519215, ECO:0000269|PubMed:8218242}.; </t>
        </is>
      </c>
      <c r="E334" t="inlineStr">
        <is>
          <t>.</t>
        </is>
      </c>
      <c r="F334" t="inlineStr">
        <is>
          <t xml:space="preserve">TISSUE SPECIFICITY: Detected in cerebral artery smooth muscle cells (at protein level). Detected in brain cortex, striatum, amygdala, medulla, hippocampus, caudate nucleus and putamen. {ECO:0000269|PubMed:1348246, ECO:0000269|PubMed:1351684, ECO:0000269|PubMed:15853772}.; </t>
        </is>
      </c>
      <c r="G334" t="inlineStr">
        <is>
          <t>.</t>
        </is>
      </c>
      <c r="H334" t="inlineStr">
        <is>
          <t>.</t>
        </is>
      </c>
      <c r="I334" t="inlineStr">
        <is>
          <t>.</t>
        </is>
      </c>
      <c r="J334" t="inlineStr">
        <is>
          <t>.</t>
        </is>
      </c>
      <c r="K334" t="inlineStr">
        <is>
          <t>.</t>
        </is>
      </c>
      <c r="L334" t="inlineStr">
        <is>
          <t>.</t>
        </is>
      </c>
      <c r="M334" t="inlineStr">
        <is>
          <t>.</t>
        </is>
      </c>
      <c r="N334" t="inlineStr">
        <is>
          <t>.</t>
        </is>
      </c>
      <c r="O334" t="inlineStr">
        <is>
          <t>.</t>
        </is>
      </c>
    </row>
    <row r="335">
      <c r="A335" t="inlineStr">
        <is>
          <t>HYDIN</t>
        </is>
      </c>
      <c r="B335" t="inlineStr">
        <is>
          <t>.</t>
        </is>
      </c>
      <c r="C335" t="inlineStr">
        <is>
          <t>HYDIN, axonemal central pair apparatus protein</t>
        </is>
      </c>
      <c r="D335" t="inlineStr">
        <is>
          <t xml:space="preserve">FUNCTION: Required for ciliary motility. {ECO:0000250}.; </t>
        </is>
      </c>
      <c r="E335" t="inlineStr">
        <is>
          <t xml:space="preserve">DISEASE: Ciliary dyskinesia, primary, 5 (CILD5) [MIM:608647]: An autosomal recessive form of primary dyskinesia, a disorder characterized by abnormalities of motile cilia. Respiratory infections leading to chronic inflammation and bronchiectasis are recurrent, due to defects in the respiratory cilia; reduced fertility is often observed in male patients due to abnormalities of sperm tails. Half of the patients exhibit randomization of left-right body asymmetry and situs inversus, due to dysfunction of monocilia at the embryonic node. Primary ciliary dyskinesia associated with situs inversus is referred to as Kartagener syndrome. CILD5 is characterized by early onset of a progressive decline in lung function due to an inability to clear mucus and particles from the airways. Affected individuals have recurrent infections of the sinuses, ears, airways, and lungs. Sperm motility is also decreased. Individuals with CILD5 do not have situs inversus. {ECO:0000269|PubMed:23022101, ECO:0000269|PubMed:25186273}. Note=The disease is caused by mutations affecting the gene represented in this entry.; </t>
        </is>
      </c>
      <c r="F335" t="inlineStr">
        <is>
          <t>.</t>
        </is>
      </c>
      <c r="G335" t="inlineStr">
        <is>
          <t>unclassifiable (Anatomical System);lung;ovary;islets of Langerhans;thyroid;muscle;testis;kidney;brain;skeletal muscle;retina;</t>
        </is>
      </c>
      <c r="H335" t="inlineStr">
        <is>
          <t>dorsal root ganglion;subthalamic nucleus;superior cervical ganglion;cerebellum peduncles;globus pallidus;ciliary ganglion;atrioventricular node;trigeminal ganglion;skeletal muscle;parietal lobe;</t>
        </is>
      </c>
      <c r="I335">
        <f>HYPERLINK("https://omim.org/entry/608647", "608647")</f>
        <v/>
      </c>
      <c r="J335" t="inlineStr">
        <is>
          <t>.</t>
        </is>
      </c>
      <c r="K335" t="inlineStr">
        <is>
          <t>.</t>
        </is>
      </c>
      <c r="L335" t="inlineStr">
        <is>
          <t>.</t>
        </is>
      </c>
      <c r="M335" t="inlineStr">
        <is>
          <t>.</t>
        </is>
      </c>
      <c r="N335" t="inlineStr">
        <is>
          <t>.</t>
        </is>
      </c>
      <c r="O335" t="inlineStr">
        <is>
          <t>.</t>
        </is>
      </c>
    </row>
    <row r="336">
      <c r="A336" t="inlineStr">
        <is>
          <t>IARS2</t>
        </is>
      </c>
      <c r="B336" t="inlineStr">
        <is>
          <t>0.472741795319536</t>
        </is>
      </c>
      <c r="C336" t="inlineStr">
        <is>
          <t>isoleucyl-tRNA synthetase 2, mitochondrial</t>
        </is>
      </c>
      <c r="D336" t="inlineStr">
        <is>
          <t>.</t>
        </is>
      </c>
      <c r="E336" t="inlineStr">
        <is>
          <t xml:space="preserve">DISEASE: Cataracts, growth hormone deficiency, sensory neuropathy, sensorineural hearing loss, and skeletal dysplasia (CAGSSS) [MIM:616007]: An autosomal recessive disorder characterized by cataracts, short-stature secondary to growth hormone deficiency, sensorineural hearing deficit, peripheral sensory neuropathy, skeletal dysplasia, scoliosis, and facial dysmorphism. {ECO:0000269|PubMed:25130867}. Note=The disease is caused by mutations affecting the gene represented in this entry.; </t>
        </is>
      </c>
      <c r="F336" t="inlineStr">
        <is>
          <t>.</t>
        </is>
      </c>
      <c r="G336" t="inlineStr">
        <is>
          <t>lymphoreticular;ovary;colon;skin;bone marrow;uterus;prostate;whole body;endometrium;larynx;bone;thyroid;pituitary gland;testis;dura mater;germinal center;spinal ganglion;brain;gall bladder;unclassifiable (Anatomical System);meninges;lymph node;cartilage;heart;tongue;hypothalamus;blood;lens;skeletal muscle;breast;bile duct;pia mater;lung;nasopharynx;trabecular meshwork;placenta;visual apparatus;hypopharynx;liver;cervix;spleen;head and neck;kidney;mammary gland;aorta;stomach;</t>
        </is>
      </c>
      <c r="H336" t="inlineStr">
        <is>
          <t>amygdala;adipose tissue;testis;parietal lobe;</t>
        </is>
      </c>
      <c r="I336">
        <f>HYPERLINK("https://omim.org/entry/616007", "616007")</f>
        <v/>
      </c>
      <c r="J336" t="inlineStr">
        <is>
          <t>.</t>
        </is>
      </c>
      <c r="K336" t="inlineStr">
        <is>
          <t>.</t>
        </is>
      </c>
      <c r="L336" t="inlineStr">
        <is>
          <t>.</t>
        </is>
      </c>
      <c r="M336" t="inlineStr">
        <is>
          <t>.</t>
        </is>
      </c>
      <c r="N336" t="inlineStr">
        <is>
          <t>.</t>
        </is>
      </c>
      <c r="O336" t="inlineStr">
        <is>
          <t>.</t>
        </is>
      </c>
    </row>
    <row r="337">
      <c r="A337" t="inlineStr">
        <is>
          <t>IFFO2</t>
        </is>
      </c>
      <c r="B337" t="inlineStr">
        <is>
          <t>0.382583916452741</t>
        </is>
      </c>
      <c r="C337" t="inlineStr">
        <is>
          <t>intermediate filament family orphan 2</t>
        </is>
      </c>
      <c r="D337" t="inlineStr">
        <is>
          <t>.</t>
        </is>
      </c>
      <c r="E337" t="inlineStr">
        <is>
          <t>.</t>
        </is>
      </c>
      <c r="F337" t="inlineStr">
        <is>
          <t>.</t>
        </is>
      </c>
      <c r="G337" t="inlineStr">
        <is>
          <t>ovary;adrenal medulla;colon;parathyroid;fovea centralis;choroid;skin;retina;bone marrow;uterus;prostate;optic nerve;whole body;frontal lobe;oesophagus;endometrium;thyroid;bone;testis;spinal ganglion;brain;unclassifiable (Anatomical System);heart;tongue;blood;lens;lung;placenta;macula lutea;liver;spleen;head and neck;kidney;mammary gland;stomach;</t>
        </is>
      </c>
      <c r="H337" t="inlineStr">
        <is>
          <t>cerebellum peduncles;globus pallidus;ciliary ganglion;atrioventricular node;trigeminal ganglion;skin;cerebellum;</t>
        </is>
      </c>
      <c r="I337" t="inlineStr">
        <is>
          <t>.</t>
        </is>
      </c>
      <c r="J337" t="inlineStr">
        <is>
          <t>.</t>
        </is>
      </c>
      <c r="K337" t="inlineStr">
        <is>
          <t>.</t>
        </is>
      </c>
      <c r="L337" t="inlineStr">
        <is>
          <t>.</t>
        </is>
      </c>
      <c r="M337" t="inlineStr">
        <is>
          <t>.</t>
        </is>
      </c>
      <c r="N337" t="inlineStr">
        <is>
          <t>.</t>
        </is>
      </c>
      <c r="O337" t="inlineStr">
        <is>
          <t>.</t>
        </is>
      </c>
    </row>
    <row r="338">
      <c r="A338" t="inlineStr">
        <is>
          <t>IFIT1</t>
        </is>
      </c>
      <c r="B338" t="inlineStr">
        <is>
          <t>0.00534820018141597</t>
        </is>
      </c>
      <c r="C338" t="inlineStr">
        <is>
          <t>interferon induced protein with tetratricopeptide repeats 1</t>
        </is>
      </c>
      <c r="D338" t="inlineStr">
        <is>
          <t xml:space="preserve">FUNCTION: Interferon-induced antiviral RNA-binding protein that specifically binds single-stranded RNA bearing a 5'-triphosphate group (PPP-RNA), thereby acting as a sensor of viral single- stranded RNAs and inhibiting expression of viral messenger RNAs. Single-stranded PPP-RNAs, which lack 2'-O-methylation of the 5' cap and bear a 5'-triphosphate group instead, are specific from viruses, providing a molecular signature to distinguish between self and non-self mRNAs by the host during viral infection. Directly binds PPP-RNA in a non-sequence-specific manner. Viruses evolved several ways to evade this restriction system such as encoding their own 2'-O-methylase for their mRNAs or by stealing host cap containing the 2'-O-methylation (cap snatching mechanism). Exhibits antiviral activity against several viruses including human papilloma and hepatitis C viruses. {ECO:0000269|PubMed:19008854, ECO:0000269|PubMed:19416887, ECO:0000269|PubMed:21976647, ECO:0000269|PubMed:23334420}.; </t>
        </is>
      </c>
      <c r="E338" t="inlineStr">
        <is>
          <t>.</t>
        </is>
      </c>
      <c r="F338" t="inlineStr">
        <is>
          <t>.</t>
        </is>
      </c>
      <c r="G338" t="inlineStr">
        <is>
          <t>.</t>
        </is>
      </c>
      <c r="H338" t="inlineStr">
        <is>
          <t>.</t>
        </is>
      </c>
      <c r="I338" t="inlineStr">
        <is>
          <t>.</t>
        </is>
      </c>
      <c r="J338" t="inlineStr">
        <is>
          <t>.</t>
        </is>
      </c>
      <c r="K338" t="inlineStr">
        <is>
          <t>.</t>
        </is>
      </c>
      <c r="L338" t="inlineStr">
        <is>
          <t>.</t>
        </is>
      </c>
      <c r="M338" t="inlineStr">
        <is>
          <t>.</t>
        </is>
      </c>
      <c r="N338" t="inlineStr">
        <is>
          <t>.</t>
        </is>
      </c>
      <c r="O338" t="inlineStr">
        <is>
          <t>.</t>
        </is>
      </c>
    </row>
    <row r="339">
      <c r="A339" t="inlineStr">
        <is>
          <t>IFNG</t>
        </is>
      </c>
      <c r="B339" t="inlineStr">
        <is>
          <t>0.0204465656775392</t>
        </is>
      </c>
      <c r="C339" t="inlineStr">
        <is>
          <t>interferon, gamma</t>
        </is>
      </c>
      <c r="D339" t="inlineStr">
        <is>
          <t xml:space="preserve">FUNCTION: Produced by lymphocytes activated by specific antigens or mitogens. IFN-gamma, in addition to having antiviral activity, has important immunoregulatory functions. It is a potent activator of macrophages, it has antiproliferative effects on transformed cells and it can potentiate the antiviral and antitumor effects of the type I interferons.; </t>
        </is>
      </c>
      <c r="E339" t="inlineStr">
        <is>
          <t xml:space="preserve">DISEASE: Aplastic anemia (AA) [MIM:609135]: A form of anemia in which the bone marrow fails to produce adequate numbers of peripheral blood elements. It is characterized by peripheral pancytopenia and marrow hypoplasia. {ECO:0000269|PubMed:15327519}. Note=Disease susceptibility may be associated with variations affecting the gene represented in this entry.; </t>
        </is>
      </c>
      <c r="F339" t="inlineStr">
        <is>
          <t xml:space="preserve">TISSUE SPECIFICITY: Released primarily from activated T lymphocytes.; </t>
        </is>
      </c>
      <c r="G339" t="inlineStr">
        <is>
          <t>unclassifiable (Anatomical System);lymph node;lung;testis;blood;kidney;</t>
        </is>
      </c>
      <c r="H339" t="inlineStr">
        <is>
          <t>dorsal root ganglion;superior cervical ganglion;ciliary ganglion;atrioventricular node;pons;trigeminal ganglion;skeletal muscle;</t>
        </is>
      </c>
      <c r="I339">
        <f>HYPERLINK("https://omim.org/entry/609135", "609135")</f>
        <v/>
      </c>
      <c r="J339" t="inlineStr">
        <is>
          <t>.</t>
        </is>
      </c>
      <c r="K339" t="inlineStr">
        <is>
          <t>.</t>
        </is>
      </c>
      <c r="L339" t="inlineStr">
        <is>
          <t>.</t>
        </is>
      </c>
      <c r="M339" t="inlineStr">
        <is>
          <t>.</t>
        </is>
      </c>
      <c r="N339" t="inlineStr">
        <is>
          <t>.</t>
        </is>
      </c>
      <c r="O339" t="inlineStr">
        <is>
          <t>.</t>
        </is>
      </c>
    </row>
    <row r="340">
      <c r="A340" t="inlineStr">
        <is>
          <t>IFT140</t>
        </is>
      </c>
      <c r="B340" t="inlineStr">
        <is>
          <t>9.13769895125714e-18</t>
        </is>
      </c>
      <c r="C340" t="inlineStr">
        <is>
          <t>intraflagellar transport 140</t>
        </is>
      </c>
      <c r="D340" t="inlineStr">
        <is>
          <t xml:space="preserve">FUNCTION: Component of the IFT complex A (IFT-A), a complex required for retrograde ciliary transport. Plays a pivotal role in proper development and function of ciliated cells. Involved in ciliogenesis and cilia maintenance. {ECO:0000269|PubMed:22503633}.; </t>
        </is>
      </c>
      <c r="E340" t="inlineStr">
        <is>
          <t xml:space="preserve">DISEASE: Short-rib thoracic dysplasia 9 with or without polydactyly (SRTD9) [MIM:266920]: A form of short-rib thoracic dysplasia, a group of autosomal recessive ciliopathies that are characterized by a constricted thoracic cage, short ribs, shortened tubular bones, and a 'trident' appearance of the acetabular roof. Polydactyly is variably present. Non-skeletal involvement can include cleft lip/palate as well as anomalies of major organs such as the brain, eye, heart, kidneys, liver, pancreas, intestines, and genitalia. Some forms of the disease are lethal in the neonatal period due to respiratory insufficiency secondary to a severely restricted thoracic cage, whereas others are compatible with life. Disease spectrum encompasses Ellis-van Creveld syndrome, asphyxiating thoracic dystrophy (Jeune syndrome), Mainzer-Saldino syndrome, and short rib-polydactyly syndrome. SRTD9 is characterized by phalangeal cone-shaped epiphyses, chronic renal disease, nearly constant retinal dystrophy, and mild radiographic abnormality of the proximal femur. Occasional features include short stature, cerebellar ataxia, and hepatic fibrosis. {ECO:0000269|PubMed:22503633, ECO:0000269|PubMed:23418020}. Note=The disease is caused by mutations affecting the gene represented in this entry.; </t>
        </is>
      </c>
      <c r="F340" t="inlineStr">
        <is>
          <t>.</t>
        </is>
      </c>
      <c r="G340" t="inlineStr">
        <is>
          <t>ovary;colon;parathyroid;fovea centralis;choroid;skin;retina;bone marrow;uterus;prostate;frontal lobe;endometrium;thyroid;bone;testis;brain;tonsil;unclassifiable (Anatomical System);lymph node;cartilage;heart;blood;lens;breast;pancreas;lung;epididymis;placenta;macula lutea;visual apparatus;duodenum;kidney;mammary gland;stomach;thymus;</t>
        </is>
      </c>
      <c r="H340" t="inlineStr">
        <is>
          <t>superior cervical ganglion;skeletal muscle;</t>
        </is>
      </c>
      <c r="I340">
        <f>HYPERLINK("https://omim.org/entry/266920", "266920")</f>
        <v/>
      </c>
      <c r="J340" t="inlineStr">
        <is>
          <t>.</t>
        </is>
      </c>
      <c r="K340" t="inlineStr">
        <is>
          <t>.</t>
        </is>
      </c>
      <c r="L340" t="inlineStr">
        <is>
          <t>.</t>
        </is>
      </c>
      <c r="M340" t="inlineStr">
        <is>
          <t>.</t>
        </is>
      </c>
      <c r="N340" t="inlineStr">
        <is>
          <t>.</t>
        </is>
      </c>
      <c r="O340" t="inlineStr">
        <is>
          <t>.</t>
        </is>
      </c>
    </row>
    <row r="341">
      <c r="A341" t="inlineStr">
        <is>
          <t>IFT80</t>
        </is>
      </c>
      <c r="B341" t="inlineStr">
        <is>
          <t>1.44402047985056e-10</t>
        </is>
      </c>
      <c r="C341" t="inlineStr">
        <is>
          <t>intraflagellar transport 80</t>
        </is>
      </c>
      <c r="D341" t="inlineStr">
        <is>
          <t xml:space="preserve">FUNCTION: Component of the intraflagellar transport (IFT) complex B, which is essential for the development and maintenance of motile and sensory cilia. {ECO:0000269|PubMed:17468754}.; </t>
        </is>
      </c>
      <c r="E341" t="inlineStr">
        <is>
          <t>.</t>
        </is>
      </c>
      <c r="F341" t="inlineStr">
        <is>
          <t xml:space="preserve">TISSUE SPECIFICITY: Isoform IFT80-L is widely expressed. {ECO:0000269|PubMed:18601909}.; </t>
        </is>
      </c>
      <c r="G341" t="inlineStr">
        <is>
          <t>unclassifiable (Anatomical System);lymph node;heart;ovary;tongue;islets of Langerhans;hypothalamus;parathyroid;skin;skeletal muscle;retina;uterus;whole body;lung;frontal lobe;endometrium;bone;placenta;hippocampus;pituitary gland;liver;testis;head and neck;germinal center;kidney;brain;stomach;peripheral nerve;</t>
        </is>
      </c>
      <c r="H341" t="inlineStr">
        <is>
          <t>medulla oblongata;superior cervical ganglion;subthalamic nucleus;globus pallidus;ciliary ganglion;atrioventricular node;parietal lobe;</t>
        </is>
      </c>
      <c r="I341" t="inlineStr">
        <is>
          <t>.</t>
        </is>
      </c>
      <c r="J341" t="inlineStr">
        <is>
          <t>.</t>
        </is>
      </c>
      <c r="K341" t="inlineStr">
        <is>
          <t>.</t>
        </is>
      </c>
      <c r="L341" t="inlineStr">
        <is>
          <t>.</t>
        </is>
      </c>
      <c r="M341" t="inlineStr">
        <is>
          <t>.</t>
        </is>
      </c>
      <c r="N341" t="inlineStr">
        <is>
          <t>.</t>
        </is>
      </c>
      <c r="O341" t="inlineStr">
        <is>
          <t>.</t>
        </is>
      </c>
    </row>
    <row r="342">
      <c r="A342" t="inlineStr">
        <is>
          <t>IGF1</t>
        </is>
      </c>
      <c r="B342" t="inlineStr">
        <is>
          <t>0.469523496452965</t>
        </is>
      </c>
      <c r="C342" t="inlineStr">
        <is>
          <t>insulin like growth factor 1</t>
        </is>
      </c>
      <c r="D342" t="inlineStr">
        <is>
          <t xml:space="preserve">FUNCTION: The insulin-like growth factors, isolated from plasma, are structurally and functionally related to insulin but have a much higher growth-promoting activity. May be a physiological regulator of [1-14C]-2-deoxy-D-glucose (2DG) transport and glycogen synthesis in osteoblasts. Stimulates glucose transport in rat bone-derived osteoblastic (PyMS) cells and is effective at much lower concentrations than insulin, not only regarding glycogen and DNA synthesis but also with regard to enhancing glucose uptake. May play a role in synapse maturation. {ECO:0000269|PubMed:21076856, ECO:0000269|PubMed:24132240}.; </t>
        </is>
      </c>
      <c r="E342" t="inlineStr">
        <is>
          <t xml:space="preserve">DISEASE: Insulin-like growth factor I deficiency (IGF1 deficiency) [MIM:608747]: Autosomal recessive disorder characterized by growth retardation, sensorineural deafness and mental retardation. {ECO:0000269|PubMed:8857020}. Note=The disease is caused by mutations affecting the gene represented in this entry.; </t>
        </is>
      </c>
      <c r="F342" t="inlineStr">
        <is>
          <t>.</t>
        </is>
      </c>
      <c r="G342" t="inlineStr">
        <is>
          <t>ovary;colon;parathyroid;skin;retina;uterus;prostate;whole body;cochlea;endometrium;bone;testis;artery;unclassifiable (Anatomical System);lymph node;cartilage;heart;islets of Langerhans;hypothalamus;blood;skeletal muscle;breast;pancreas;lung;adrenal gland;internal ear;placenta;visual apparatus;liver;spleen;head and neck;kidney;mammary gland;stomach;aorta;peripheral nerve;</t>
        </is>
      </c>
      <c r="H342" t="inlineStr">
        <is>
          <t>dorsal root ganglion;uterus;superior cervical ganglion;testis - interstitial;uterus corpus;adipose tissue;liver;testis;ciliary ganglion;atrioventricular node;skeletal muscle;</t>
        </is>
      </c>
      <c r="I342">
        <f>HYPERLINK("https://omim.org/entry/608747", "608747")</f>
        <v/>
      </c>
      <c r="J342" t="inlineStr">
        <is>
          <t>.</t>
        </is>
      </c>
      <c r="K342" t="inlineStr">
        <is>
          <t>.</t>
        </is>
      </c>
      <c r="L342" t="inlineStr">
        <is>
          <t>.</t>
        </is>
      </c>
      <c r="M342" t="inlineStr">
        <is>
          <t>.</t>
        </is>
      </c>
      <c r="N342" t="inlineStr">
        <is>
          <t>.</t>
        </is>
      </c>
      <c r="O342" t="inlineStr">
        <is>
          <t>.</t>
        </is>
      </c>
    </row>
    <row r="343">
      <c r="A343" t="inlineStr">
        <is>
          <t>IGF1R</t>
        </is>
      </c>
      <c r="B343" t="inlineStr">
        <is>
          <t>0.552974259646112</t>
        </is>
      </c>
      <c r="C343" t="inlineStr">
        <is>
          <t>insulin like growth factor 1 receptor</t>
        </is>
      </c>
      <c r="D343" t="inlineStr">
        <is>
          <t xml:space="preserve">FUNCTION: Receptor tyrosine kinase which mediates actions of insulin-like growth factor 1 (IGF1). Binds IGF1 with high affinity and IGF2 and insulin (INS) with a lower affinity. The activated IGF1R is involved in cell growth and survival control. IGF1R is crucial for tumor transformation and survival of malignant cell. Ligand binding activates the receptor kinase, leading to receptor autophosphorylation, and tyrosines phosphorylation of multiple substrates, that function as signaling adapter proteins including, the insulin-receptor substrates (IRS1/2), Shc and 14-3-3 proteins. Phosphorylation of IRSs proteins lead to the activation of two main signaling pathways: the PI3K-AKT/PKB pathway and the Ras-MAPK pathway. The result of activating the MAPK pathway is increased cellular proliferation, whereas activating the PI3K pathway inhibits apoptosis and stimulates protein synthesis. Phosphorylated IRS1 can activate the 85 kDa regulatory subunit of PI3K (PIK3R1), leading to activation of several downstream substrates, including protein AKT/PKB. AKT phosphorylation, in turn, enhances protein synthesis through mTOR activation and triggers the antiapoptotic effects of IGFIR through phosphorylation and inactivation of BAD. In parallel to PI3K- driven signaling, recruitment of Grb2/SOS by phosphorylated IRS1 or Shc leads to recruitment of Ras and activation of the ras-MAPK pathway. In addition to these two main signaling pathways IGF1R signals also through the Janus kinase/signal transducer and activator of transcription pathway (JAK/STAT). Phosphorylation of JAK proteins can lead to phosphorylation/activation of signal transducers and activators of transcription (STAT) proteins. In particular activation of STAT3, may be essential for the transforming activity of IGF1R. The JAK/STAT pathway activates gene transcription and may be responsible for the transforming activity. JNK kinases can also be activated by the IGF1R. IGF1 exerts inhibiting activities on JNK activation via phosphorylation and inhibition of MAP3K5/ASK1, which is able to directly associate with the IGF1R.; </t>
        </is>
      </c>
      <c r="E343" t="inlineStr">
        <is>
          <t xml:space="preserve">DISEASE: Insulin-like growth factor 1 resistance (IGF1RES) [MIM:270450]: A disorder characterized by intrauterine growth retardation, poor postnatal growth and increased plasma IGF1 levels. {ECO:0000269|PubMed:14657428, ECO:0000269|PubMed:15928254}. Note=The disease is caused by mutations affecting the gene represented in this entry.; </t>
        </is>
      </c>
      <c r="F343" t="inlineStr">
        <is>
          <t xml:space="preserve">TISSUE SPECIFICITY: Found as a hybrid receptor with INSR in muscle, heart, kidney, adipose tissue, skeletal muscle, hepatoma, fibroblasts, spleen and placenta (at protein level). Expressed in a variety of tissues. Overexpressed in tumors, including melanomas, cancers of the colon, pancreas prostate and kidney. {ECO:0000269|PubMed:12019176, ECO:0000269|PubMed:8247543, ECO:0000269|PubMed:9202395, ECO:0000269|PubMed:9355755}.; </t>
        </is>
      </c>
      <c r="G343" t="inlineStr">
        <is>
          <t>ovary;colon;parathyroid;fovea centralis;choroid;skin;retina;uterus;optic nerve;frontal lobe;larynx;thyroid;bone;testis;brain;unclassifiable (Anatomical System);heart;islets of Langerhans;muscle;lens;skeletal muscle;bile duct;breast;pancreas;lung;epididymis;adrenal gland;placenta;macula lutea;liver;head and neck;kidney;mammary gland;</t>
        </is>
      </c>
      <c r="H343" t="inlineStr">
        <is>
          <t>superior cervical ganglion;prostate;prefrontal cortex;</t>
        </is>
      </c>
      <c r="I343">
        <f>HYPERLINK("https://omim.org/entry/270450", "270450")</f>
        <v/>
      </c>
      <c r="J343" t="inlineStr">
        <is>
          <t>.</t>
        </is>
      </c>
      <c r="K343" t="inlineStr">
        <is>
          <t>.</t>
        </is>
      </c>
      <c r="L343" t="inlineStr">
        <is>
          <t>.</t>
        </is>
      </c>
      <c r="M343" t="inlineStr">
        <is>
          <t>.</t>
        </is>
      </c>
      <c r="N343" t="inlineStr">
        <is>
          <t>.</t>
        </is>
      </c>
      <c r="O343" t="inlineStr">
        <is>
          <t>.</t>
        </is>
      </c>
    </row>
    <row r="344">
      <c r="A344" t="inlineStr">
        <is>
          <t>IGFALS</t>
        </is>
      </c>
      <c r="B344" t="inlineStr">
        <is>
          <t>2.79990921598618e-05</t>
        </is>
      </c>
      <c r="C344" t="inlineStr">
        <is>
          <t>insulin like growth factor binding protein acid labile subunit</t>
        </is>
      </c>
      <c r="D344" t="inlineStr">
        <is>
          <t xml:space="preserve">FUNCTION: Involved in protein-protein interactions that result in protein complexes, receptor-ligand binding or cell adhesion.; </t>
        </is>
      </c>
      <c r="E344" t="inlineStr">
        <is>
          <t>.</t>
        </is>
      </c>
      <c r="F344" t="inlineStr">
        <is>
          <t xml:space="preserve">TISSUE SPECIFICITY: Plasma.; </t>
        </is>
      </c>
      <c r="G344" t="inlineStr">
        <is>
          <t>uterus;iris;liver;</t>
        </is>
      </c>
      <c r="H344" t="inlineStr">
        <is>
          <t>dorsal root ganglion;superior cervical ganglion;liver;ciliary ganglion;pons;atrioventricular node;trigeminal ganglion;skeletal muscle;</t>
        </is>
      </c>
      <c r="I344" t="inlineStr">
        <is>
          <t>.</t>
        </is>
      </c>
      <c r="J344" t="inlineStr">
        <is>
          <t>.</t>
        </is>
      </c>
      <c r="K344" t="inlineStr">
        <is>
          <t>.</t>
        </is>
      </c>
      <c r="L344" t="inlineStr">
        <is>
          <t>.</t>
        </is>
      </c>
      <c r="M344" t="inlineStr">
        <is>
          <t>.</t>
        </is>
      </c>
      <c r="N344" t="inlineStr">
        <is>
          <t>.</t>
        </is>
      </c>
      <c r="O344" t="inlineStr">
        <is>
          <t>.</t>
        </is>
      </c>
    </row>
    <row r="345">
      <c r="A345" t="inlineStr">
        <is>
          <t>IGSF3</t>
        </is>
      </c>
      <c r="B345" t="inlineStr">
        <is>
          <t>0.987084919325614</t>
        </is>
      </c>
      <c r="C345" t="inlineStr">
        <is>
          <t>immunoglobulin superfamily member 3</t>
        </is>
      </c>
      <c r="D345" t="inlineStr">
        <is>
          <t>.</t>
        </is>
      </c>
      <c r="E345" t="inlineStr">
        <is>
          <t>.</t>
        </is>
      </c>
      <c r="F345" t="inlineStr">
        <is>
          <t xml:space="preserve">TISSUE SPECIFICITY: Expressed in a wide range of tissues with High expression in Placenta, kidney and lung. {ECO:0000269|PubMed:9790749}.; </t>
        </is>
      </c>
      <c r="G345" t="inlineStr">
        <is>
          <t>unclassifiable (Anatomical System);skeletal muscle;skin;retina;whole body;lung;placenta;thyroid;bone;hypopharynx;head and neck;kidney;brain;mammary gland;stomach;</t>
        </is>
      </c>
      <c r="H345" t="inlineStr">
        <is>
          <t>superior cervical ganglion;fetal brain;placenta;ciliary ganglion;skeletal muscle;</t>
        </is>
      </c>
      <c r="I345" t="inlineStr">
        <is>
          <t>.</t>
        </is>
      </c>
      <c r="J345" t="inlineStr">
        <is>
          <t>.</t>
        </is>
      </c>
      <c r="K345" t="inlineStr">
        <is>
          <t>.</t>
        </is>
      </c>
      <c r="L345" t="inlineStr">
        <is>
          <t>.</t>
        </is>
      </c>
      <c r="M345" t="inlineStr">
        <is>
          <t>.</t>
        </is>
      </c>
      <c r="N345" t="inlineStr">
        <is>
          <t>.</t>
        </is>
      </c>
      <c r="O345" t="inlineStr">
        <is>
          <t>.</t>
        </is>
      </c>
    </row>
    <row r="346">
      <c r="A346" t="inlineStr">
        <is>
          <t>IL12B</t>
        </is>
      </c>
      <c r="B346" t="inlineStr">
        <is>
          <t>0.000223245843678324</t>
        </is>
      </c>
      <c r="C346" t="inlineStr">
        <is>
          <t>interleukin 12B</t>
        </is>
      </c>
      <c r="D346" t="inlineStr">
        <is>
          <t xml:space="preserve">FUNCTION: Cytokine that can act as a growth factor for activated T and NK cells, enhance the lytic activity of NK/lymphokine- activated killer cells, and stimulate the production of IFN-gamma by resting PBMC. {ECO:0000269|PubMed:11114383}.; </t>
        </is>
      </c>
      <c r="E346" t="inlineStr">
        <is>
          <t xml:space="preserve">DISEASE: Immunodeficiency 29 (IMD29) [MIM:614890]: A form of Mendelian susceptibility to mycobacterial disease, a rare condition caused by impairment of interferon-gamma mediated immunity. It is characterized by predisposition to illness caused by moderately virulent mycobacterial species, such as Bacillus Calmette-Guerin (BCG) vaccine, environmental non-tuberculous mycobacteria, and by the more virulent Mycobacterium tuberculosis. Other microorganisms rarely cause severe clinical disease in individuals with susceptibility to mycobacterial infections, with the exception of Salmonella which infects less than 50% of these individuals. Clinical outcome severity depends on the degree of impairment of interferon-gamma mediated immunity. Some patients die of overwhelming mycobacterial disease with lepromatous-like lesions in early childhood, whereas others develop, later in life, disseminated but curable infections with tuberculoid granulomas. IMD29 is characterized by undetectable IL12B secretion from leukocytes. Affected individuals generally present with BCG disease after vaccination in childhood, and at least half also have Salmonella infection. Disease phenotype is relatively mild, and patients have a good prognosis. {ECO:0000269|PubMed:11753820, ECO:0000269|PubMed:9854038}. Note=The disease is caused by mutations affecting the gene represented in this entry.; DISEASE: Psoriasis 11 (PSORS11) [MIM:612599]: A common, chronic inflammatory disease of the skin with multifactorial etiology. It is characterized by red, scaly plaques usually found on the scalp, elbows and knees. These lesions are caused by abnormal keratinocyte proliferation and infiltration of inflammatory cells into the dermis and epidermis. Note=Disease susceptibility is associated with variations affecting the gene represented in this entry.; </t>
        </is>
      </c>
      <c r="F346" t="inlineStr">
        <is>
          <t>.</t>
        </is>
      </c>
      <c r="G346" t="inlineStr">
        <is>
          <t>unclassifiable (Anatomical System);</t>
        </is>
      </c>
      <c r="H346" t="inlineStr">
        <is>
          <t>superior cervical ganglion;trigeminal ganglion;</t>
        </is>
      </c>
      <c r="I346">
        <f>HYPERLINK("https://omim.org/entry/614890", "614890")</f>
        <v/>
      </c>
      <c r="J346">
        <f>HYPERLINK("https://omim.org/entry/612599", "612599")</f>
        <v/>
      </c>
      <c r="K346" t="inlineStr">
        <is>
          <t>.</t>
        </is>
      </c>
      <c r="L346" t="inlineStr">
        <is>
          <t>.</t>
        </is>
      </c>
      <c r="M346" t="inlineStr">
        <is>
          <t>.</t>
        </is>
      </c>
      <c r="N346" t="inlineStr">
        <is>
          <t>.</t>
        </is>
      </c>
      <c r="O346" t="inlineStr">
        <is>
          <t>.</t>
        </is>
      </c>
    </row>
    <row r="347">
      <c r="A347" t="inlineStr">
        <is>
          <t>ILDR2</t>
        </is>
      </c>
      <c r="B347" t="inlineStr">
        <is>
          <t>0.398939847020927</t>
        </is>
      </c>
      <c r="C347" t="inlineStr">
        <is>
          <t>immunoglobulin like domain containing receptor 2</t>
        </is>
      </c>
      <c r="D347" t="inlineStr">
        <is>
          <t xml:space="preserve">FUNCTION: May be involved in lipid homeostasis and ER stress pathways. {ECO:0000250}.; </t>
        </is>
      </c>
      <c r="E347" t="inlineStr">
        <is>
          <t>.</t>
        </is>
      </c>
      <c r="F347" t="inlineStr">
        <is>
          <t>.</t>
        </is>
      </c>
      <c r="G347" t="inlineStr">
        <is>
          <t>unclassifiable (Anatomical System);lung;ovary;placenta;testis;parathyroid;brain;retina;</t>
        </is>
      </c>
      <c r="H347" t="inlineStr">
        <is>
          <t>superior cervical ganglion;ciliary ganglion;trigeminal ganglion;skeletal muscle;</t>
        </is>
      </c>
      <c r="I347" t="inlineStr">
        <is>
          <t>.</t>
        </is>
      </c>
      <c r="J347" t="inlineStr">
        <is>
          <t>.</t>
        </is>
      </c>
      <c r="K347" t="inlineStr">
        <is>
          <t>.</t>
        </is>
      </c>
      <c r="L347" t="inlineStr">
        <is>
          <t>.</t>
        </is>
      </c>
      <c r="M347" t="inlineStr">
        <is>
          <t>.</t>
        </is>
      </c>
      <c r="N347" t="inlineStr">
        <is>
          <t>.</t>
        </is>
      </c>
      <c r="O347" t="inlineStr">
        <is>
          <t>.</t>
        </is>
      </c>
    </row>
    <row r="348">
      <c r="A348" t="inlineStr">
        <is>
          <t>INSM2</t>
        </is>
      </c>
      <c r="B348" t="inlineStr">
        <is>
          <t>.</t>
        </is>
      </c>
      <c r="C348" t="inlineStr">
        <is>
          <t>insulinoma-associated 2</t>
        </is>
      </c>
      <c r="D348" t="inlineStr">
        <is>
          <t xml:space="preserve">FUNCTION: May function as a growth suppressor or tumor suppressor in liver cells and in certain neurons. {ECO:0000250}.; </t>
        </is>
      </c>
      <c r="E348" t="inlineStr">
        <is>
          <t>.</t>
        </is>
      </c>
      <c r="F348" t="inlineStr">
        <is>
          <t xml:space="preserve">TISSUE SPECIFICITY: Expressed in heart, liver, skeletal muscle, kidney and pancreas, and, to a lesser extent, in brain, lung and spleen. In the pancreas, expressed in islet cells, including insulin- and glucagon-producing alpha- and beta-cells, but not in acinar cells (at protein level). Detected in adrenal glands, particularly in the deeper layer of the cortex (at protein level). {ECO:0000269|PubMed:21343251}.; </t>
        </is>
      </c>
      <c r="G348" t="inlineStr">
        <is>
          <t>unclassifiable (Anatomical System);brain;retina;</t>
        </is>
      </c>
      <c r="H348" t="inlineStr">
        <is>
          <t>.</t>
        </is>
      </c>
      <c r="I348" t="inlineStr">
        <is>
          <t>.</t>
        </is>
      </c>
      <c r="J348" t="inlineStr">
        <is>
          <t>.</t>
        </is>
      </c>
      <c r="K348" t="inlineStr">
        <is>
          <t>.</t>
        </is>
      </c>
      <c r="L348" t="inlineStr">
        <is>
          <t>.</t>
        </is>
      </c>
      <c r="M348" t="inlineStr">
        <is>
          <t>.</t>
        </is>
      </c>
      <c r="N348" t="inlineStr">
        <is>
          <t>.</t>
        </is>
      </c>
      <c r="O348" t="inlineStr">
        <is>
          <t>.</t>
        </is>
      </c>
    </row>
    <row r="349">
      <c r="A349" t="inlineStr">
        <is>
          <t>INTS8</t>
        </is>
      </c>
      <c r="B349" t="inlineStr">
        <is>
          <t>0.989948635386659</t>
        </is>
      </c>
      <c r="C349" t="inlineStr">
        <is>
          <t>integrator complex subunit 8</t>
        </is>
      </c>
      <c r="D349" t="inlineStr">
        <is>
          <t xml:space="preserve">FUNCTION: Component of the Integrator complex, a complex involved in the small nuclear RNAs (snRNA) U1 and U2 transcription and in their 3'-box-dependent processing. The Integrator complex is associated with the C-terminal domain (CTD) of RNA polymerase II largest subunit (POLR2A) and is recruited to the U1 and U2 snRNAs genes.; </t>
        </is>
      </c>
      <c r="E349" t="inlineStr">
        <is>
          <t>.</t>
        </is>
      </c>
      <c r="F349" t="inlineStr">
        <is>
          <t>.</t>
        </is>
      </c>
      <c r="G349" t="inlineStr">
        <is>
          <t>ovary;salivary gland;developmental;intestine;colon;retina;prostate;whole body;cochlea;larynx;bone;thyroid;testis;germinal center;brain;artery;bladder;unclassifiable (Anatomical System);lymph node;cartilage;tongue;islets of Langerhans;urinary;pharynx;blood;skeletal muscle;breast;pancreas;lung;nasopharynx;placenta;visual apparatus;liver;spleen;head and neck;kidney;aorta;stomach;</t>
        </is>
      </c>
      <c r="H349" t="inlineStr">
        <is>
          <t>testis - interstitial;testis - seminiferous tubule;testis;white blood cells;</t>
        </is>
      </c>
      <c r="I349" t="inlineStr">
        <is>
          <t>.</t>
        </is>
      </c>
      <c r="J349" t="inlineStr">
        <is>
          <t>.</t>
        </is>
      </c>
      <c r="K349" t="inlineStr">
        <is>
          <t>.</t>
        </is>
      </c>
      <c r="L349" t="inlineStr">
        <is>
          <t>.</t>
        </is>
      </c>
      <c r="M349" t="inlineStr">
        <is>
          <t>.</t>
        </is>
      </c>
      <c r="N349" t="inlineStr">
        <is>
          <t>.</t>
        </is>
      </c>
      <c r="O349" t="inlineStr">
        <is>
          <t>.</t>
        </is>
      </c>
    </row>
    <row r="350">
      <c r="A350" t="inlineStr">
        <is>
          <t>IRAIN</t>
        </is>
      </c>
      <c r="B350" t="inlineStr">
        <is>
          <t>.</t>
        </is>
      </c>
      <c r="C350" t="inlineStr">
        <is>
          <t>IGF1R antisense imprinted non-protein coding RNA</t>
        </is>
      </c>
      <c r="D350" t="inlineStr">
        <is>
          <t>.</t>
        </is>
      </c>
      <c r="E350" t="inlineStr">
        <is>
          <t>.</t>
        </is>
      </c>
      <c r="F350" t="inlineStr">
        <is>
          <t>.</t>
        </is>
      </c>
      <c r="G350" t="inlineStr">
        <is>
          <t>.</t>
        </is>
      </c>
      <c r="H350" t="inlineStr">
        <is>
          <t>.</t>
        </is>
      </c>
      <c r="I350" t="inlineStr">
        <is>
          <t>.</t>
        </is>
      </c>
      <c r="J350" t="inlineStr">
        <is>
          <t>.</t>
        </is>
      </c>
      <c r="K350" t="inlineStr">
        <is>
          <t>.</t>
        </is>
      </c>
      <c r="L350" t="inlineStr">
        <is>
          <t>.</t>
        </is>
      </c>
      <c r="M350" t="inlineStr">
        <is>
          <t>.</t>
        </is>
      </c>
      <c r="N350" t="inlineStr">
        <is>
          <t>.</t>
        </is>
      </c>
      <c r="O350" t="inlineStr">
        <is>
          <t>.</t>
        </is>
      </c>
    </row>
    <row r="351">
      <c r="A351" t="inlineStr">
        <is>
          <t>IRF1</t>
        </is>
      </c>
      <c r="B351" t="inlineStr">
        <is>
          <t>0.867788618113854</t>
        </is>
      </c>
      <c r="C351" t="inlineStr">
        <is>
          <t>interferon regulatory factor 1</t>
        </is>
      </c>
      <c r="D351" t="inlineStr">
        <is>
          <t xml:space="preserve">FUNCTION: Transcriptional regulator which displays a remarkable functional diversity in the regulation of cellular responses. These include the regulation of IFN and IFN-inducible genes, host response to viral and bacterial infections, regulation of many genes expressed during hematopoiesis, inflammation, immune responses and cell proliferation and differentiation, regulation of the cell cycle and induction of growth arrest and programmed cell death following DNA damage. Stimulates both innate and acquired immune responses through the activation of specific target genes and can act as a transcriptional activator and repressor regulating target genes by binding to an interferon- stimulated response element (ISRE) in their promoters. Its target genes for transcriptional activation activity include: genes involved in anti-viral response, such as IFN-alpha/beta, DDX58/RIG-I, TNFSF10/TRAIL, OAS1/2, PIAS1/GBP, EIF2AK2/PKR and RSAD2/viperin; antibacterial response, such as NOS2/INOS; anti- proliferative response, such as p53/TP53, LOX and CDKN1A; apoptosis, such as BBC3/PUMA, CASP1, CASP7 and CASP8; immune response, such as IL7, IL12A/B and IL15, PTGS2/COX2 and CYBB; DNA damage responses and DNA repair, such as POLQ/POLH; MHC class I expression, such as TAP1, PSMB9/LMP2, PSME1/PA28A, PSME2/PA28B and B2M and MHC class II expression, such as CIITA. Represses genes involved in anti-proliferative response, such as BIRC5/survivin, CCNB1, CCNE1, CDK1, CDK2 and CDK4 and in immune response, such as FOXP3, IL4, ANXA2 and TLR4. Stimulates p53/TP53-dependent transcription through enhanced recruitment of EP300 leading to increased acetylation of p53/TP53. Plays an important role in immune response directly affecting NK maturation and activity, macrophage production of IL12, Th1 development and maturation of CD8+ T-cells. Also implicated in the differentiation and maturation of dendritic cells and in the suppression of regulatory T (Treg) cells development. Acts as a tumor suppressor and plays a role not only in antagonism of tumor cell growth but also in stimulating an immune response against tumor cells. {ECO:0000269|PubMed:15226432, ECO:0000269|PubMed:15509808, ECO:0000269|PubMed:17516545, ECO:0000269|PubMed:17942705, ECO:0000269|PubMed:18084608, ECO:0000269|PubMed:18497060, ECO:0000269|PubMed:18641303, ECO:0000269|PubMed:19404407, ECO:0000269|PubMed:19851330, ECO:0000269|PubMed:21389130, ECO:0000269|PubMed:22200613, ECO:0000269|PubMed:22367195}.; </t>
        </is>
      </c>
      <c r="E351" t="inlineStr">
        <is>
          <t xml:space="preserve">DISEASE: Gastric cancer (GASC) [MIM:613659]: A malignant disease which starts in the stomach, can spread to the esophagus or the small intestine, and can extend through the stomach wall to nearby lymph nodes and organs. It also can metastasize to other parts of the body. The term gastric cancer or gastric carcinoma refers to adenocarcinoma of the stomach that accounts for most of all gastric malignant tumors. Two main histologic types are recognized, diffuse type and intestinal type carcinomas. Diffuse tumors are poorly differentiated infiltrating lesions, resulting in thickening of the stomach. In contrast, intestinal tumors are usually exophytic, often ulcerating, and associated with intestinal metaplasia of the stomach, most often observed in sporadic disease. {ECO:0000269|PubMed:10395927, ECO:0000269|PubMed:9679752}. Note=Disease susceptibility is associated with variations affecting the gene represented in this entry.; </t>
        </is>
      </c>
      <c r="F351" t="inlineStr">
        <is>
          <t>.</t>
        </is>
      </c>
      <c r="G351" t="inlineStr">
        <is>
          <t>smooth muscle;ovary;salivary gland;colon;fovea centralis;choroid;skin;retina;bone marrow;uterus;prostate;optic nerve;cerebral cortex;endometrium;larynx;thyroid;testis;germinal center;spinal ganglion;brain;tonsil;unclassifiable (Anatomical System);lymph node;cartilage;heart;small intestine;islets of Langerhans;muscle;adrenal cortex;blood;lens;breast;greater omentum;pancreas;lung;nasopharynx;placenta;macula lutea;hippocampus;alveolus;liver;spleen;head and neck;kidney;mammary gland;stomach;</t>
        </is>
      </c>
      <c r="H351" t="inlineStr">
        <is>
          <t>dorsal root ganglion;superior cervical ganglion;atrioventricular node;trigeminal ganglion;whole blood;skeletal muscle;</t>
        </is>
      </c>
      <c r="I351">
        <f>HYPERLINK("https://omim.org/entry/613659", "613659")</f>
        <v/>
      </c>
      <c r="J351" t="inlineStr">
        <is>
          <t>.</t>
        </is>
      </c>
      <c r="K351" t="inlineStr">
        <is>
          <t>.</t>
        </is>
      </c>
      <c r="L351" t="inlineStr">
        <is>
          <t>.</t>
        </is>
      </c>
      <c r="M351" t="inlineStr">
        <is>
          <t>.</t>
        </is>
      </c>
      <c r="N351" t="inlineStr">
        <is>
          <t>.</t>
        </is>
      </c>
      <c r="O351" t="inlineStr">
        <is>
          <t>.</t>
        </is>
      </c>
    </row>
    <row r="352">
      <c r="A352" t="inlineStr">
        <is>
          <t>ISL1</t>
        </is>
      </c>
      <c r="B352" t="inlineStr">
        <is>
          <t>0.606135790074323</t>
        </is>
      </c>
      <c r="C352" t="inlineStr">
        <is>
          <t>ISL LIM homeobox 1</t>
        </is>
      </c>
      <c r="D352" t="inlineStr">
        <is>
          <t xml:space="preserve">FUNCTION: Binds and regulates the promoters of the insulin, glucagon and somatostatin genes. Involved in the specificarion of motor neurons in cooperation with LHX3 and LDB1 (By similarity). {ECO:0000250}.; </t>
        </is>
      </c>
      <c r="E352" t="inlineStr">
        <is>
          <t>.</t>
        </is>
      </c>
      <c r="F352" t="inlineStr">
        <is>
          <t xml:space="preserve">TISSUE SPECIFICITY: Expressed in subsets of neurons of the adrenal medulla and dorsal root ganglion, inner nuclear and ganglion cell layers in the retina, the pineal and some regions of the brain.; </t>
        </is>
      </c>
      <c r="G352" t="inlineStr">
        <is>
          <t>unclassifiable (Anatomical System);ovary;islets of Langerhans;parathyroid;fovea centralis;choroid;lens;skeletal muscle;retina;pancreas;prostate;optic nerve;lung;placenta;macula lutea;visual apparatus;testis;stomach;</t>
        </is>
      </c>
      <c r="H352" t="inlineStr">
        <is>
          <t>superior cervical ganglion;atrioventricular node;</t>
        </is>
      </c>
      <c r="I352" t="inlineStr">
        <is>
          <t>.</t>
        </is>
      </c>
      <c r="J352" t="inlineStr">
        <is>
          <t>.</t>
        </is>
      </c>
      <c r="K352" t="inlineStr">
        <is>
          <t>.</t>
        </is>
      </c>
      <c r="L352" t="inlineStr">
        <is>
          <t>.</t>
        </is>
      </c>
      <c r="M352" t="inlineStr">
        <is>
          <t>.</t>
        </is>
      </c>
      <c r="N352" t="inlineStr">
        <is>
          <t>.</t>
        </is>
      </c>
      <c r="O352" t="inlineStr">
        <is>
          <t>.</t>
        </is>
      </c>
    </row>
    <row r="353">
      <c r="A353" t="inlineStr">
        <is>
          <t>ITGA2</t>
        </is>
      </c>
      <c r="B353" t="inlineStr">
        <is>
          <t>9.23087390177119e-09</t>
        </is>
      </c>
      <c r="C353" t="inlineStr">
        <is>
          <t>integrin subunit alpha 2</t>
        </is>
      </c>
      <c r="D353" t="inlineStr">
        <is>
          <t xml:space="preserve">FUNCTION: Integrin alpha-2/beta-1 is a receptor for laminin, collagen, collagen C-propeptides, fibronectin and E-cadherin. It recognizes the proline-hydroxylated sequence G-F-P-G-E-R in collagen. It is responsible for adhesion of platelets and other cells to collagens, modulation of collagen and collagenase gene expression, force generation and organization of newly synthesized extracellular matrix.; </t>
        </is>
      </c>
      <c r="E353" t="inlineStr">
        <is>
          <t>.</t>
        </is>
      </c>
      <c r="F353" t="inlineStr">
        <is>
          <t>.</t>
        </is>
      </c>
      <c r="G353" t="inlineStr">
        <is>
          <t>ovary;colon;parathyroid;fovea centralis;choroid;skin;retina;uterus;optic nerve;frontal lobe;thyroid;bone;brain;unclassifiable (Anatomical System);heart;cartilage;islets of Langerhans;blood;lens;skeletal muscle;breast;pancreas;lung;nasopharynx;placenta;macula lutea;visual apparatus;cervix;head and neck;kidney;stomach;</t>
        </is>
      </c>
      <c r="H353" t="inlineStr">
        <is>
          <t>dorsal root ganglion;superior cervical ganglion;ciliary ganglion;trigeminal ganglion;</t>
        </is>
      </c>
      <c r="I353" t="inlineStr">
        <is>
          <t>.</t>
        </is>
      </c>
      <c r="J353" t="inlineStr">
        <is>
          <t>.</t>
        </is>
      </c>
      <c r="K353" t="inlineStr">
        <is>
          <t>.</t>
        </is>
      </c>
      <c r="L353" t="inlineStr">
        <is>
          <t>.</t>
        </is>
      </c>
      <c r="M353" t="inlineStr">
        <is>
          <t>.</t>
        </is>
      </c>
      <c r="N353" t="inlineStr">
        <is>
          <t>.</t>
        </is>
      </c>
      <c r="O353" t="inlineStr">
        <is>
          <t>.</t>
        </is>
      </c>
    </row>
    <row r="354">
      <c r="A354" t="inlineStr">
        <is>
          <t>ITGA6</t>
        </is>
      </c>
      <c r="B354" t="inlineStr">
        <is>
          <t>0.00991360284214048</t>
        </is>
      </c>
      <c r="C354" t="inlineStr">
        <is>
          <t>integrin subunit alpha 6</t>
        </is>
      </c>
      <c r="D354" t="inlineStr">
        <is>
          <t xml:space="preserve">FUNCTION: Integrin alpha-6/beta-1 is a receptor for laminin on platelets. Integrin alpha-6/beta-4 is a receptor for laminin in epithelial cells and it plays a critical structural role in the hemidesmosome. {ECO:0000269|PubMed:17303120}.; </t>
        </is>
      </c>
      <c r="E354" t="inlineStr">
        <is>
          <t xml:space="preserve">DISEASE: Epidermolysis bullosa letalis, with pyloric atresia (EB- PA) [MIM:226730]: An autosomal recessive, frequently lethal, epidermolysis bullosa with variable involvement of skin, nails, mucosa, and with variable effects on the digestive system. It is characterized by mucocutaneous fragility, aplasia cutis congenita, and gastrointestinal atresia, which most commonly affects the pylorus. Pyloric atresia is a primary manifestation rather than a scarring process secondary to epidermolysis bullosa. Note=The disease is caused by mutations affecting the gene represented in this entry.; </t>
        </is>
      </c>
      <c r="F354" t="inlineStr">
        <is>
          <t xml:space="preserve">TISSUE SPECIFICITY: Integrin alpha-6/beta-4 is predominantly expressed by epithelia. Isoforms containing segment X1 are ubiquitously expressed. Isoforms containing segment X1X2 are expressed in heart, kidney, placenta, colon, duodenum, myoblasts and myotubes, and in a limited number of cell lines; they are always coexpressed with the ubiquitous isoform containing segment X1. In some tissues (e.g. Salivary gland), isoforms containing cytoplasmic segment A and isoforms containing segment B are detected while in others, only isoforms containing one cytoplasmic segment are found (segment A in epidermis and segment B in kidney). {ECO:0000269|PubMed:7681434}.; </t>
        </is>
      </c>
      <c r="G354" t="inlineStr">
        <is>
          <t>myocardium;medulla oblongata;ovary;sympathetic chain;rectum;skin;retina;bone marrow;prostate;optic nerve;cochlea;endometrium;thyroid;bladder;brain;gall bladder;heart;cartilage;tongue;spinal cord;adrenal cortex;pharynx;blood;lens;skeletal muscle;breast;epididymis;macula lutea;visual apparatus;liver;spleen;mammary gland;salivary gland;intestine;colon;parathyroid;fovea centralis;choroid;uterus;cerebral cortex;bone;testis;spinal ganglion;pineal gland;unclassifiable (Anatomical System);lymph node;islets of Langerhans;bile duct;pancreas;lung;cornea;adrenal gland;placenta;hippocampus;duodenum;hypopharynx;head and neck;kidney;stomach;</t>
        </is>
      </c>
      <c r="H354" t="inlineStr">
        <is>
          <t>.</t>
        </is>
      </c>
      <c r="I354">
        <f>HYPERLINK("https://omim.org/entry/226730", "226730")</f>
        <v/>
      </c>
      <c r="J354" t="inlineStr">
        <is>
          <t>.</t>
        </is>
      </c>
      <c r="K354" t="inlineStr">
        <is>
          <t>.</t>
        </is>
      </c>
      <c r="L354" t="inlineStr">
        <is>
          <t>.</t>
        </is>
      </c>
      <c r="M354" t="inlineStr">
        <is>
          <t>.</t>
        </is>
      </c>
      <c r="N354" t="inlineStr">
        <is>
          <t>.</t>
        </is>
      </c>
      <c r="O354" t="inlineStr">
        <is>
          <t>.</t>
        </is>
      </c>
    </row>
    <row r="355">
      <c r="A355" t="inlineStr">
        <is>
          <t>ITGB4</t>
        </is>
      </c>
      <c r="B355" t="inlineStr">
        <is>
          <t>1.05348780207872e-11</t>
        </is>
      </c>
      <c r="C355" t="inlineStr">
        <is>
          <t>integrin subunit beta 4</t>
        </is>
      </c>
      <c r="D355" t="inlineStr">
        <is>
          <t xml:space="preserve">FUNCTION: Integrin alpha-6/beta-4 is a receptor for laminin. Plays a critical structural role in the hemidesmosome of epithelial cells. Is required for the regulation of keratinocyte polarity and motility. {ECO:0000269|PubMed:12482924, ECO:0000269|PubMed:19403692}.; </t>
        </is>
      </c>
      <c r="E355" t="inlineStr">
        <is>
          <t xml:space="preserve">DISEASE: Epidermolysis bullosa letalis, with pyloric atresia (EB- PA) [MIM:226730]: An autosomal recessive, frequently lethal, epidermolysis bullosa with variable involvement of skin, nails, mucosa, and with variable effects on the digestive system. It is characterized by mucocutaneous fragility, aplasia cutis congenita, and gastrointestinal atresia, which most commonly affects the pylorus. Pyloric atresia is a primary manifestation rather than a scarring process secondary to epidermolysis bullosa. {ECO:0000269|PubMed:10873890, ECO:0000269|PubMed:11251584, ECO:0000269|PubMed:11328943, ECO:0000269|PubMed:9422533, ECO:0000269|PubMed:9546354, ECO:0000269|PubMed:9792864, ECO:0000269|PubMed:9892956}. Note=The disease is caused by mutations affecting the gene represented in this entry.; DISEASE: Generalized atrophic benign epidermolysis bullosa (GABEB) [MIM:226650]: A non-lethal, adult form of junctional epidermolysis bullosa characterized by life-long blistering of the skin, associated with hair and tooth abnormalities. {ECO:0000269|PubMed:10792571}. Note=The disease is caused by mutations affecting the gene represented in this entry.; </t>
        </is>
      </c>
      <c r="F355" t="inlineStr">
        <is>
          <t xml:space="preserve">TISSUE SPECIFICITY: Integrin alpha-6/beta-4 is predominantly expressed by epithelia. Isoform beta-4D is also expressed in colon and placenta. Isoform beta-4E is also expressed in epidermis, lung, duodenum, heart, spleen and stomach.; </t>
        </is>
      </c>
      <c r="G355" t="inlineStr">
        <is>
          <t>smooth muscle;ovary;colon;parathyroid;fovea centralis;choroid;skin;retina;uterus;prostate;optic nerve;frontal lobe;cerebral cortex;endometrium;larynx;bone;thyroid;iris;testis;amniotic fluid;brain;pineal gland;bladder;unclassifiable (Anatomical System);lymph node;cartilage;heart;lacrimal gland;tongue;islets of Langerhans;muscle;lens;skeletal muscle;breast;pancreas;lung;placenta;macula lutea;visual apparatus;liver;spleen;head and neck;cervix;kidney;mammary gland;stomach;thymus;</t>
        </is>
      </c>
      <c r="H355" t="inlineStr">
        <is>
          <t>dorsal root ganglion;superior cervical ganglion;subthalamic nucleus;olfactory bulb;lung;placenta;globus pallidus;ciliary ganglion;atrioventricular node;trigeminal ganglion;cingulate cortex;skeletal muscle;</t>
        </is>
      </c>
      <c r="I355">
        <f>HYPERLINK("https://omim.org/entry/226730", "226730")</f>
        <v/>
      </c>
      <c r="J355">
        <f>HYPERLINK("https://omim.org/entry/226650", "226650")</f>
        <v/>
      </c>
      <c r="K355" t="inlineStr">
        <is>
          <t>.</t>
        </is>
      </c>
      <c r="L355" t="inlineStr">
        <is>
          <t>.</t>
        </is>
      </c>
      <c r="M355" t="inlineStr">
        <is>
          <t>.</t>
        </is>
      </c>
      <c r="N355" t="inlineStr">
        <is>
          <t>.</t>
        </is>
      </c>
      <c r="O355" t="inlineStr">
        <is>
          <t>.</t>
        </is>
      </c>
    </row>
    <row r="356">
      <c r="A356" t="inlineStr">
        <is>
          <t>ITGB6</t>
        </is>
      </c>
      <c r="B356" t="inlineStr">
        <is>
          <t>1.90571778312696e-15</t>
        </is>
      </c>
      <c r="C356" t="inlineStr">
        <is>
          <t>integrin subunit beta 6</t>
        </is>
      </c>
      <c r="D356" t="inlineStr">
        <is>
          <t xml:space="preserve">FUNCTION: Integrin alpha-V/beta-6 is a receptor for fibronectin and cytotactin. It recognizes the sequence R-G-D in its ligands. Internalisation of integrin alpha-V/beta-6 via clathrin-mediated endocytosis promotes carcinoma cell invasion. {ECO:0000269|PubMed:17545607}.; </t>
        </is>
      </c>
      <c r="E356" t="inlineStr">
        <is>
          <t xml:space="preserve">DISEASE: Amelogenesis imperfecta 1H (AI1H) [MIM:616221]: A disorder characterized by defective enamel formation, resulting in hypoplastic and hypomineralized tooth enamel that may be rough, pitted, and/or discolored. {ECO:0000269|PubMed:24305999, ECO:0000269|PubMed:24319098}. Note=The disease is caused by mutations affecting the gene represented in this entry.; </t>
        </is>
      </c>
      <c r="F356" t="inlineStr">
        <is>
          <t>.</t>
        </is>
      </c>
      <c r="G356" t="inlineStr">
        <is>
          <t>unclassifiable (Anatomical System);smooth muscle;cartilage;heart;ovary;islets of Langerhans;colon;parathyroid;skin;breast;uterus;pancreas;prostate;whole body;lung;larynx;placenta;hypopharynx;head and neck;kidney;brain;mammary gland;stomach;</t>
        </is>
      </c>
      <c r="H356" t="inlineStr">
        <is>
          <t>superior cervical ganglion;atrioventricular node;pons;</t>
        </is>
      </c>
      <c r="I356">
        <f>HYPERLINK("https://omim.org/entry/616221", "616221")</f>
        <v/>
      </c>
      <c r="J356" t="inlineStr">
        <is>
          <t>.</t>
        </is>
      </c>
      <c r="K356" t="inlineStr">
        <is>
          <t>.</t>
        </is>
      </c>
      <c r="L356" t="inlineStr">
        <is>
          <t>.</t>
        </is>
      </c>
      <c r="M356" t="inlineStr">
        <is>
          <t>.</t>
        </is>
      </c>
      <c r="N356" t="inlineStr">
        <is>
          <t>.</t>
        </is>
      </c>
      <c r="O356" t="inlineStr">
        <is>
          <t>.</t>
        </is>
      </c>
    </row>
    <row r="357">
      <c r="A357" t="inlineStr">
        <is>
          <t>ITPR2</t>
        </is>
      </c>
      <c r="B357" t="inlineStr">
        <is>
          <t>5.7359279512263e-11</t>
        </is>
      </c>
      <c r="C357" t="inlineStr">
        <is>
          <t>inositol 1,4,5-trisphosphate receptor type 2</t>
        </is>
      </c>
      <c r="D357" t="inlineStr">
        <is>
          <t xml:space="preserve">FUNCTION: Receptor for inositol 1,4,5-trisphosphate, a second messenger that mediates the release of intracellular calcium. This release is regulated by cAMP both dependently and independently of PKA (By similarity). {ECO:0000250|UniProtKB:Q9Z329}.; </t>
        </is>
      </c>
      <c r="E357" t="inlineStr">
        <is>
          <t xml:space="preserve">DISEASE: Anhidrosis, isolated, with normal sweat glands (ANHD) [MIM:106190]: An autosomal recessive disorder characterized by generalized, isolated anhidrosis, severe heat intolerance, and morphologically normal eccrine sweat glands. Body growth, teeth, hair, nails, and skin are normal. {ECO:0000269|PubMed:25329695}. Note=The disease is caused by mutations affecting the gene represented in this entry.; </t>
        </is>
      </c>
      <c r="F357" t="inlineStr">
        <is>
          <t xml:space="preserve">TISSUE SPECIFICITY: Isoform Short is found in skeletal muscle and heart.; </t>
        </is>
      </c>
      <c r="G357" t="inlineStr">
        <is>
          <t>unclassifiable (Anatomical System);germinal center;</t>
        </is>
      </c>
      <c r="H357" t="inlineStr">
        <is>
          <t>dorsal root ganglion;superior cervical ganglion;globus pallidus;atrioventricular node;pons;trigeminal ganglion;skeletal muscle;skin;</t>
        </is>
      </c>
      <c r="I357">
        <f>HYPERLINK("https://omim.org/entry/106190", "106190")</f>
        <v/>
      </c>
      <c r="J357" t="inlineStr">
        <is>
          <t>.</t>
        </is>
      </c>
      <c r="K357" t="inlineStr">
        <is>
          <t>.</t>
        </is>
      </c>
      <c r="L357" t="inlineStr">
        <is>
          <t>.</t>
        </is>
      </c>
      <c r="M357" t="inlineStr">
        <is>
          <t>.</t>
        </is>
      </c>
      <c r="N357" t="inlineStr">
        <is>
          <t>.</t>
        </is>
      </c>
      <c r="O357" t="inlineStr">
        <is>
          <t>.</t>
        </is>
      </c>
    </row>
    <row r="358">
      <c r="A358" t="inlineStr">
        <is>
          <t>IVL</t>
        </is>
      </c>
      <c r="B358" t="inlineStr">
        <is>
          <t>3.43124628664551e-09</t>
        </is>
      </c>
      <c r="C358" t="inlineStr">
        <is>
          <t>involucrin</t>
        </is>
      </c>
      <c r="D358" t="inlineStr">
        <is>
          <t xml:space="preserve">FUNCTION: Part of the insoluble cornified cell envelope (CE) of stratified squamous epithelia.; </t>
        </is>
      </c>
      <c r="E358" t="inlineStr">
        <is>
          <t>.</t>
        </is>
      </c>
      <c r="F358" t="inlineStr">
        <is>
          <t xml:space="preserve">TISSUE SPECIFICITY: Keratinocytes of epidermis and other stratified squamous epithelia.; </t>
        </is>
      </c>
      <c r="G358" t="inlineStr">
        <is>
          <t>.</t>
        </is>
      </c>
      <c r="H358" t="inlineStr">
        <is>
          <t>.</t>
        </is>
      </c>
      <c r="I358" t="inlineStr">
        <is>
          <t>.</t>
        </is>
      </c>
      <c r="J358" t="inlineStr">
        <is>
          <t>.</t>
        </is>
      </c>
      <c r="K358" t="inlineStr">
        <is>
          <t>.</t>
        </is>
      </c>
      <c r="L358" t="inlineStr">
        <is>
          <t>.</t>
        </is>
      </c>
      <c r="M358" t="inlineStr">
        <is>
          <t>.</t>
        </is>
      </c>
      <c r="N358" t="inlineStr">
        <is>
          <t>.</t>
        </is>
      </c>
      <c r="O358" t="inlineStr">
        <is>
          <t>.</t>
        </is>
      </c>
    </row>
    <row r="359">
      <c r="A359" t="inlineStr">
        <is>
          <t>JMJD1C</t>
        </is>
      </c>
      <c r="B359" t="inlineStr">
        <is>
          <t>0.999999999962643</t>
        </is>
      </c>
      <c r="C359" t="inlineStr">
        <is>
          <t>jumonji domain containing 1C</t>
        </is>
      </c>
      <c r="D359" t="inlineStr">
        <is>
          <t xml:space="preserve">FUNCTION: Probable histone demethylase that specifically demethylates 'Lys-9' of histone H3, thereby playing a central role in histone code. Demethylation of Lys residue generates formaldehyde and succinate. May be involved in hormone-dependent transcriptional activation, by participating in recruitment to androgen-receptor target genes (By similarity). {ECO:0000250}.; </t>
        </is>
      </c>
      <c r="E359" t="inlineStr">
        <is>
          <t>.</t>
        </is>
      </c>
      <c r="F359" t="inlineStr">
        <is>
          <t>.</t>
        </is>
      </c>
      <c r="G359" t="inlineStr">
        <is>
          <t>lymphoreticular;ovary;sympathetic chain;skin;bone marrow;retina;prostate;optic nerve;frontal lobe;endometrium;thyroid;germinal center;bladder;brain;amygdala;heart;cartilage;urinary;blood;lens;skeletal muscle;breast;trabecular meshwork;macula lutea;liver;spleen;mammary gland;peripheral nerve;colon;parathyroid;fovea centralis;choroid;uterus;whole body;atrium;larynx;bone;testis;dura mater;pineal gland;unclassifiable (Anatomical System);meninges;lymph node;lacrimal gland;islets of Langerhans;hypothalamus;bile duct;pancreas;lung;pia mater;placenta;hippocampus;head and neck;kidney;stomach;</t>
        </is>
      </c>
      <c r="H359" t="inlineStr">
        <is>
          <t>pons;whole blood;</t>
        </is>
      </c>
      <c r="I359" t="inlineStr">
        <is>
          <t>.</t>
        </is>
      </c>
      <c r="J359" t="inlineStr">
        <is>
          <t>.</t>
        </is>
      </c>
      <c r="K359" t="inlineStr">
        <is>
          <t>.</t>
        </is>
      </c>
      <c r="L359" t="inlineStr">
        <is>
          <t>.</t>
        </is>
      </c>
      <c r="M359" t="inlineStr">
        <is>
          <t>.</t>
        </is>
      </c>
      <c r="N359" t="inlineStr">
        <is>
          <t>.</t>
        </is>
      </c>
      <c r="O359" t="inlineStr">
        <is>
          <t>.</t>
        </is>
      </c>
    </row>
    <row r="360">
      <c r="A360" t="inlineStr">
        <is>
          <t>JMY</t>
        </is>
      </c>
      <c r="B360" t="inlineStr">
        <is>
          <t>0.999722637107555</t>
        </is>
      </c>
      <c r="C360" t="inlineStr">
        <is>
          <t>junction mediating and regulatory protein, p53 cofactor</t>
        </is>
      </c>
      <c r="D360" t="inlineStr">
        <is>
          <t xml:space="preserve">FUNCTION: Acts both as a nuclear p53/TP53-cofactor and a cytoplasmic regulator of actin dynamics depending on conditions. In nucleus, acts as a cofactor that increases p53/TP53 response via its interaction with p300/EP300. Increases p53/TP53-dependent transcription and apoptosis, suggesting an important role in p53/TP53 stress response such as DNA damage. In cytoplasm, acts as a nucleation-promoting factor for both branched and unbranched actin filaments. Activates the Arp2/3 complex to induce branched actin filament networks. Also catalyzes actin polymerization in the absence of Arp2/3, creating unbranched filaments. Contributes to cell motility by controlling actin dynamics. May promote the rapid formation of a branched actin network by first nucleating new mother filaments and then activating Arp2/3 to branch off these filaments. The p53/TP53-cofactor and actin activator activities are regulated via its subcellular location (By similarity). {ECO:0000250}.; </t>
        </is>
      </c>
      <c r="E360" t="inlineStr">
        <is>
          <t>.</t>
        </is>
      </c>
      <c r="F360" t="inlineStr">
        <is>
          <t>.</t>
        </is>
      </c>
      <c r="G360" t="inlineStr">
        <is>
          <t>unclassifiable (Anatomical System);heart;ovary;skeletal muscle;skin;retina;uterus;pancreas;lung;cochlea;placenta;hypopharynx;head and neck;germinal center;</t>
        </is>
      </c>
      <c r="H360" t="inlineStr">
        <is>
          <t>.</t>
        </is>
      </c>
      <c r="I360" t="inlineStr">
        <is>
          <t>.</t>
        </is>
      </c>
      <c r="J360" t="inlineStr">
        <is>
          <t>.</t>
        </is>
      </c>
      <c r="K360" t="inlineStr">
        <is>
          <t>.</t>
        </is>
      </c>
      <c r="L360" t="inlineStr">
        <is>
          <t>.</t>
        </is>
      </c>
      <c r="M360" t="inlineStr">
        <is>
          <t>.</t>
        </is>
      </c>
      <c r="N360" t="inlineStr">
        <is>
          <t>.</t>
        </is>
      </c>
      <c r="O360" t="inlineStr">
        <is>
          <t>.</t>
        </is>
      </c>
    </row>
    <row r="361">
      <c r="A361" t="inlineStr">
        <is>
          <t>JSRP1</t>
        </is>
      </c>
      <c r="B361" t="inlineStr">
        <is>
          <t>8.90273527204223e-10</t>
        </is>
      </c>
      <c r="C361" t="inlineStr">
        <is>
          <t>junctional sarcoplasmic reticulum protein 1</t>
        </is>
      </c>
      <c r="D361" t="inlineStr">
        <is>
          <t xml:space="preserve">FUNCTION: Involved in skeletal muscle excitation/contraction coupling (EC), probably acting as a regulator of the voltage- sensitive calcium channel CACNA1S. EC is a physiological process whereby an electrical signal (depolarization of the plasma membrane) is converted into a chemical signal, a calcium gradient, by the opening of ryanodine receptor calcium release channels. May regulate CACNA1S membrane targeting and activity. {ECO:0000269|PubMed:22927026}.; </t>
        </is>
      </c>
      <c r="E361" t="inlineStr">
        <is>
          <t>.</t>
        </is>
      </c>
      <c r="F361" t="inlineStr">
        <is>
          <t>.</t>
        </is>
      </c>
      <c r="G361" t="inlineStr">
        <is>
          <t>unclassifiable (Anatomical System);uterus;whole body;muscle;colon;skeletal muscle;</t>
        </is>
      </c>
      <c r="H361" t="inlineStr">
        <is>
          <t>.</t>
        </is>
      </c>
      <c r="I361" t="inlineStr">
        <is>
          <t>.</t>
        </is>
      </c>
      <c r="J361" t="inlineStr">
        <is>
          <t>.</t>
        </is>
      </c>
      <c r="K361" t="inlineStr">
        <is>
          <t>.</t>
        </is>
      </c>
      <c r="L361" t="inlineStr">
        <is>
          <t>.</t>
        </is>
      </c>
      <c r="M361" t="inlineStr">
        <is>
          <t>.</t>
        </is>
      </c>
      <c r="N361" t="inlineStr">
        <is>
          <t>.</t>
        </is>
      </c>
      <c r="O361" t="inlineStr">
        <is>
          <t>.</t>
        </is>
      </c>
    </row>
    <row r="362">
      <c r="A362" t="inlineStr">
        <is>
          <t>KAT6A</t>
        </is>
      </c>
      <c r="B362" t="inlineStr">
        <is>
          <t>0.999999984631619</t>
        </is>
      </c>
      <c r="C362" t="inlineStr">
        <is>
          <t>lysine acetyltransferase 6A</t>
        </is>
      </c>
      <c r="D362" t="inlineStr">
        <is>
          <t xml:space="preserve">FUNCTION: Histone acetyltransferase that acetylates lysine residues in histone H3 and histone H4 (in vitro). Component of the MOZ/MORF complex which has a histone H3 acetyltransferase activity. May act as a transcriptional coactivator for RUNX1 and RUNX2. Acetylates p53/TP53 at 'Lys-120' and 'Lys-382' and controls its transcriptional activity via association with PML. {ECO:0000269|PubMed:11742995, ECO:0000269|PubMed:11965546, ECO:0000269|PubMed:12771199, ECO:0000269|PubMed:16387653, ECO:0000269|PubMed:17925393, ECO:0000269|PubMed:23431171}.; </t>
        </is>
      </c>
      <c r="E362" t="inlineStr">
        <is>
          <t xml:space="preserve">DISEASE: Note=Chromosomal aberrations involving KAT6A may be a cause of acute myeloid leukemias. Translocation t(8;16)(p11;p13) with CREBBP (PubMed:8782817). Translocation t(8;22)(p11;q13) with EP300 (PubMed:10824998). KAT6A-CREBBP may induce leukemia by inhibiting RUNX1-mediated transcription (PubMed:11742995). Inversion inv(8)(p11;q13) generates the KAT6A-NCOA2 oncogene, which consists of the N-terminal part of KAT6A and the C-terminal part of NCOA2/TIF2. KAT6A-NCOA2 binds to CREBBP and disrupts its function in transcription activation (PubMed:12676584). {ECO:0000269|PubMed:10824998, ECO:0000269|PubMed:11742995, ECO:0000269|PubMed:12676584, ECO:0000269|PubMed:8782817}.; DISEASE: Note=A chromosomal aberration involving KAT6A is a cause of therapy-related myelodysplastic syndrome. Translocation t(2;8)(p23;p11.2) with ASXL2 generates a KAT6A-ASXL2 fusion protein. {ECO:0000269|Ref.3}.; DISEASE: Mental retardation, autosomal dominant 32 (MRD32) [MIM:616268]: A form of mental retardation, a disorder characterized by significantly below average general intellectual functioning associated with impairments in adaptive behavior and manifested during the developmental period. MRD32 patients manifest intellectual disability, dysmorphic facial features, delayed psychomotor development, and lack of speech. {ECO:0000269|PubMed:25728775, ECO:0000269|PubMed:25728777}. Note=The disease is caused by mutations affecting the gene represented in this entry.; </t>
        </is>
      </c>
      <c r="F362" t="inlineStr">
        <is>
          <t>.</t>
        </is>
      </c>
      <c r="G362" t="inlineStr">
        <is>
          <t>ovary;colon;parathyroid;vein;skin;retina;bone marrow;uterus;prostate;endometrium;bone;thyroid;iris;testis;germinal center;brain;gall bladder;unclassifiable (Anatomical System);lymph node;cartilage;heart;lacrimal gland;blood;breast;bile duct;pancreas;lung;epididymis;nasopharynx;placenta;visual apparatus;hypopharynx;alveolus;liver;cervix;spleen;head and neck;kidney;mammary gland;stomach;thymus;</t>
        </is>
      </c>
      <c r="H362" t="inlineStr">
        <is>
          <t>superior cervical ganglion;trigeminal ganglion;skeletal muscle;parietal lobe;cerebellum;</t>
        </is>
      </c>
      <c r="I362">
        <f>HYPERLINK("https://omim.org/entry/616268", "616268")</f>
        <v/>
      </c>
      <c r="J362" t="inlineStr">
        <is>
          <t>.</t>
        </is>
      </c>
      <c r="K362" t="inlineStr">
        <is>
          <t>.</t>
        </is>
      </c>
      <c r="L362" t="inlineStr">
        <is>
          <t>.</t>
        </is>
      </c>
      <c r="M362" t="inlineStr">
        <is>
          <t>.</t>
        </is>
      </c>
      <c r="N362" t="inlineStr">
        <is>
          <t>.</t>
        </is>
      </c>
      <c r="O362" t="inlineStr">
        <is>
          <t>.</t>
        </is>
      </c>
    </row>
    <row r="363">
      <c r="A363" t="inlineStr">
        <is>
          <t>KCNA10</t>
        </is>
      </c>
      <c r="B363" t="inlineStr">
        <is>
          <t>0.00305948856082549</t>
        </is>
      </c>
      <c r="C363" t="inlineStr">
        <is>
          <t>potassium voltage-gated channel subfamily A member 10</t>
        </is>
      </c>
      <c r="D363" t="inlineStr">
        <is>
          <t xml:space="preserve">FUNCTION: Mediates voltage-dependent potassium ion permeability of excitable membranes. Assuming opened or closed conformations in response to the voltage difference across the membrane, the protein forms a potassium-selective channel through which potassium ions may pass in accordance with their electrochemical gradient. The channel activity is up-regulated by cAMP. {ECO:0000269|PubMed:10836990}.; </t>
        </is>
      </c>
      <c r="E363" t="inlineStr">
        <is>
          <t>.</t>
        </is>
      </c>
      <c r="F363" t="inlineStr">
        <is>
          <t xml:space="preserve">TISSUE SPECIFICITY: Detected in kidney, in proximal tubules, glomerular endothelium, in vascular endothelium and in smooth muscle cells. {ECO:0000269|PubMed:12444201}.; </t>
        </is>
      </c>
      <c r="G363" t="inlineStr">
        <is>
          <t>.</t>
        </is>
      </c>
      <c r="H363" t="inlineStr">
        <is>
          <t>.</t>
        </is>
      </c>
      <c r="I363" t="inlineStr">
        <is>
          <t>.</t>
        </is>
      </c>
      <c r="J363" t="inlineStr">
        <is>
          <t>.</t>
        </is>
      </c>
      <c r="K363" t="inlineStr">
        <is>
          <t>.</t>
        </is>
      </c>
      <c r="L363" t="inlineStr">
        <is>
          <t>.</t>
        </is>
      </c>
      <c r="M363" t="inlineStr">
        <is>
          <t>.</t>
        </is>
      </c>
      <c r="N363" t="inlineStr">
        <is>
          <t>.</t>
        </is>
      </c>
      <c r="O363" t="inlineStr">
        <is>
          <t>.</t>
        </is>
      </c>
    </row>
    <row r="364">
      <c r="A364" t="inlineStr">
        <is>
          <t>KCNB1</t>
        </is>
      </c>
      <c r="B364" t="inlineStr">
        <is>
          <t>0.982587869780031</t>
        </is>
      </c>
      <c r="C364" t="inlineStr">
        <is>
          <t>potassium voltage-gated channel subfamily B member 1</t>
        </is>
      </c>
      <c r="D364" t="inlineStr">
        <is>
          <t xml:space="preserve">FUNCTION: Voltage-gated potassium channel that mediates transmembrane potassium transport in excitable membranes, primarily in the brain, but also in the pancreas and cardiovascular system. Contributes to the regulation of the action potential (AP) repolarization, duration and frequency of repetitive AP firing in neurons, muscle cells and endocrine cells and plays a role in homeostatic attenuation of electrical excitability throughout the brain (PubMed:23161216). Plays also a role in the regulation of exocytosis independently of its electrical function (By similarity). Forms tetrameric potassium- selective channels through which potassium ions pass in accordance with their electrochemical gradient. The channel alternates between opened and closed conformations in response to the voltage difference across the membrane. Homotetrameric channels mediate a delayed-rectifier voltage-dependent outward potassium current that display rapid activation and slow inactivation in response to membrane depolarization (PubMed:8081723, PubMed:1283219, PubMed:10484328, PubMed:12560340, PubMed:19074135, PubMed:19717558, PubMed:24901643). Can form functional homotetrameric and heterotetrameric channels that contain variable proportions of KCNB2; channel properties depend on the type of alpha subunits that are part of the channel (By similarity). Can also form functional heterotetrameric channels with other alpha subunits that are non-conducting when expressed alone, such as KCNF1, KCNG1, KCNG3, KCNG4, KCNH1, KCNH2, KCNS1, KCNS2, KCNS3 and KCNV1, creating a functionally diverse range of channel complexes (PubMed:10484328, PubMed:11852086, PubMed:12060745, PubMed:19074135, PubMed:19717558, PubMed:24901643). Heterotetrameric channel activity formed with KCNS3 show increased current amplitude with the threshold for action potential activation shifted towards more negative values in hypoxic-treated pulmonary artery smooth muscle cells (By similarity). Channel properties are also modulated by cytoplasmic ancillary beta subunits such as AMIGO1, KCNE1, KCNE2 and KCNE3, slowing activation and inactivation rate of the delayed rectifier potassium channels (By similarity). In vivo, membranes probably contain a mixture of heteromeric potassium channel complexes, making it difficult to assign currents observed in intact tissues to any particular potassium channel family member. Major contributor to the slowly inactivating delayed-rectifier voltage- gated potassium current in neurons of the central nervous system, sympathetic ganglion neurons, neuroendocrine cells, pancreatic beta cells, cardiomyocytes and smooth muscle cells. Mediates the major part of the somatodendritic delayed-rectifier potassium current in hippocampal and cortical pyramidal neurons and sympathetic superior cervical ganglion (CGC) neurons that acts to slow down periods of firing, especially during high frequency stimulation. Plays a role in the induction of long-term potentiation (LTP) of neuron excitability in the CA3 layer of the hippocampus (By similarity). Contributes to the regulation of glucose-induced action potential amplitude and duration in pancreatic beta cells, hence limiting calcium influx and insulin secretion (PubMed:23161216). Plays a role in the regulation of resting membrane potential and contraction in hypoxia-treated pulmonary artery smooth muscle cells. May contribute to the regulation of the duration of both the action potential of cardiomyocytes and the heart ventricular repolarization QT interval. Contributes to the pronounced pro-apoptotic potassium current surge during neuronal apoptotic cell death in response to oxidative injury. May confer neuroprotection in response to hypoxia/ischemic insults by suppressing pyramidal neurons hyperexcitability in hippocampal and cortical regions (By similarity). Promotes trafficking of KCNG3, KCNH1 and KCNH2 to the cell surface membrane, presumably by forming heterotetrameric channels with these subunits (PubMed:12060745). Plays a role in the calcium-dependent recruitment and release of fusion-competent vesicles from the soma of neurons, neuroendocrine and glucose- induced pancreatic beta cells by binding key components of the fusion machinery in a pore-independent manner (By similarity). {ECO:0000250|UniProtKB:P15387, ECO:0000250|UniProtKB:Q03717, ECO:0000269|PubMed:10484328, ECO:0000269|PubMed:11852086, ECO:0000269|PubMed:12060745, ECO:0000269|PubMed:12560340, ECO:0000269|PubMed:1283219, ECO:0000269|PubMed:19074135, ECO:0000269|PubMed:19717558, ECO:0000269|PubMed:23161216, ECO:0000269|PubMed:24901643, ECO:0000269|PubMed:8081723}.; </t>
        </is>
      </c>
      <c r="E364" t="inlineStr">
        <is>
          <t xml:space="preserve">DISEASE: Epileptic encephalopathy, early infantile, 26 (EIEE26) [MIM:616056]: A form of epileptic encephalopathy, a heterogeneous group of severe childhood onset epilepsies characterized by refractory seizures, neurodevelopmental impairment, and poor prognosis. Development is normal prior to seizure onset, after which cognitive and motor delays become apparent. EIEE26 patients manifest multiple types of seizures, delayed psychomotor development, poor or absent speech, hypotonia, hypsarrhythmia. {ECO:0000269|PubMed:25164438}. Note=The disease is caused by mutations affecting the gene represented in this entry.; </t>
        </is>
      </c>
      <c r="F364" t="inlineStr">
        <is>
          <t xml:space="preserve">TISSUE SPECIFICITY: Expressed in neocortical pyramidal cells (PubMed:24477962). Expressed in pancreatic beta cells (at protein level) (PubMed:12403834, PubMed:14988243). Expressed in brain, heart, lung, liver, colon, kidney and adrenal gland (PubMed:19074135). Expressed in the cortex, amygdala, cerebellum, pons, thalamus, hypothalamus, hippocampus and substantia nigra (PubMed:19074135). {ECO:0000269|PubMed:12403834, ECO:0000269|PubMed:14988243, ECO:0000269|PubMed:19074135, ECO:0000269|PubMed:24477962}.; </t>
        </is>
      </c>
      <c r="G364" t="inlineStr">
        <is>
          <t>.</t>
        </is>
      </c>
      <c r="H364" t="inlineStr">
        <is>
          <t>.</t>
        </is>
      </c>
      <c r="I364">
        <f>HYPERLINK("https://omim.org/entry/616056", "616056")</f>
        <v/>
      </c>
      <c r="J364" t="inlineStr">
        <is>
          <t>.</t>
        </is>
      </c>
      <c r="K364" t="inlineStr">
        <is>
          <t>.</t>
        </is>
      </c>
      <c r="L364" t="inlineStr">
        <is>
          <t>.</t>
        </is>
      </c>
      <c r="M364" t="inlineStr">
        <is>
          <t>.</t>
        </is>
      </c>
      <c r="N364" t="inlineStr">
        <is>
          <t>.</t>
        </is>
      </c>
      <c r="O364" t="inlineStr">
        <is>
          <t>.</t>
        </is>
      </c>
    </row>
    <row r="365">
      <c r="A365" t="inlineStr">
        <is>
          <t>KCNH3</t>
        </is>
      </c>
      <c r="B365" t="inlineStr">
        <is>
          <t>0.999889995234816</t>
        </is>
      </c>
      <c r="C365" t="inlineStr">
        <is>
          <t>potassium voltage-gated channel subfamily H member 3</t>
        </is>
      </c>
      <c r="D365" t="inlineStr">
        <is>
          <t xml:space="preserve">FUNCTION: Pore-forming (alpha) subunit of voltage-gated potassium channel. Elicits an outward current with fast inactivation. Channel properties may be modulated by cAMP and subunit assembly.; </t>
        </is>
      </c>
      <c r="E365" t="inlineStr">
        <is>
          <t>.</t>
        </is>
      </c>
      <c r="F365" t="inlineStr">
        <is>
          <t xml:space="preserve">TISSUE SPECIFICITY: Detected only in brain, in particular in the telencephalon. Detected in the cerebral cortex, occipital pole, frontal and temporal lobe, putamen, amygdala, hippocampus and caudate nucleus.; </t>
        </is>
      </c>
      <c r="G365" t="inlineStr">
        <is>
          <t>unclassifiable (Anatomical System);uterus;lymph node;lung;frontal lobe;endometrium;visual apparatus;pituitary gland;blood;brain;peripheral nerve;cerebellum;</t>
        </is>
      </c>
      <c r="H365" t="inlineStr">
        <is>
          <t>.</t>
        </is>
      </c>
      <c r="I365" t="inlineStr">
        <is>
          <t>.</t>
        </is>
      </c>
      <c r="J365" t="inlineStr">
        <is>
          <t>.</t>
        </is>
      </c>
      <c r="K365" t="inlineStr">
        <is>
          <t>.</t>
        </is>
      </c>
      <c r="L365" t="inlineStr">
        <is>
          <t>.</t>
        </is>
      </c>
      <c r="M365" t="inlineStr">
        <is>
          <t>.</t>
        </is>
      </c>
      <c r="N365" t="inlineStr">
        <is>
          <t>.</t>
        </is>
      </c>
      <c r="O365" t="inlineStr">
        <is>
          <t>.</t>
        </is>
      </c>
    </row>
    <row r="366">
      <c r="A366" t="inlineStr">
        <is>
          <t>KCNJ14</t>
        </is>
      </c>
      <c r="B366" t="inlineStr">
        <is>
          <t>8.51179265459349e-05</t>
        </is>
      </c>
      <c r="C366" t="inlineStr">
        <is>
          <t>potassium voltage-gated channel subfamily J member 14</t>
        </is>
      </c>
      <c r="D366" t="inlineStr">
        <is>
          <t xml:space="preserve">FUNCTION: Inward rectifier potassium channels are characterized by a greater tendency to allow potassium to flow into the cell rather than out of it. Their voltage dependence is regulated by the concentration of extracellular potassium; as external potassium is raised, the voltage range of the channel opening shifts to more positive voltages. The inward rectification is mainly due to the blockage of outward current by internal magnesium. KCNJ14 gives rise to low-conductance channels with a low affinity to the channel blockers Barium and Cesium (By similarity). {ECO:0000250}.; </t>
        </is>
      </c>
      <c r="E366" t="inlineStr">
        <is>
          <t>.</t>
        </is>
      </c>
      <c r="F366" t="inlineStr">
        <is>
          <t xml:space="preserve">TISSUE SPECIFICITY: Expressed preferentially in retina. {ECO:0000269|PubMed:10942728}.; </t>
        </is>
      </c>
      <c r="G366" t="inlineStr">
        <is>
          <t>ovary;choroid;fovea centralis;lens;retina;prostate;optic nerve;lung;macula lutea;iris;testis;brain;stomach;</t>
        </is>
      </c>
      <c r="H366" t="inlineStr">
        <is>
          <t>superior cervical ganglion;ciliary ganglion;atrioventricular node;trigeminal ganglion;skeletal muscle;</t>
        </is>
      </c>
      <c r="I366" t="inlineStr">
        <is>
          <t>.</t>
        </is>
      </c>
      <c r="J366" t="inlineStr">
        <is>
          <t>.</t>
        </is>
      </c>
      <c r="K366" t="inlineStr">
        <is>
          <t>.</t>
        </is>
      </c>
      <c r="L366" t="inlineStr">
        <is>
          <t>.</t>
        </is>
      </c>
      <c r="M366" t="inlineStr">
        <is>
          <t>.</t>
        </is>
      </c>
      <c r="N366" t="inlineStr">
        <is>
          <t>.</t>
        </is>
      </c>
      <c r="O366" t="inlineStr">
        <is>
          <t>.</t>
        </is>
      </c>
    </row>
    <row r="367">
      <c r="A367" t="inlineStr">
        <is>
          <t>KCNS1</t>
        </is>
      </c>
      <c r="B367" t="inlineStr">
        <is>
          <t>0.362998541245244</t>
        </is>
      </c>
      <c r="C367" t="inlineStr">
        <is>
          <t>potassium voltage-gated channel modifier subfamily S member 1</t>
        </is>
      </c>
      <c r="D367" t="inlineStr">
        <is>
          <t xml:space="preserve">FUNCTION: Potassium channel subunit that does not form functional channels by itself. Can form functional heterotetrameric channels with KCNB1 and KCNB2; modulates the delayed rectifier voltage- gated potassium channel activation and deactivation rates of KCNB1 and KCNB2 (PubMed:10484328). {ECO:0000269|PubMed:10484328}.; </t>
        </is>
      </c>
      <c r="E367" t="inlineStr">
        <is>
          <t>.</t>
        </is>
      </c>
      <c r="F367" t="inlineStr">
        <is>
          <t xml:space="preserve">TISSUE SPECIFICITY: Detected in all tissues tested with the exception of skeletal muscle. Highly expressed in adult and fetal brain, fetal kidney and lung, and adult prostate and testis (PubMed:10484328). {ECO:0000269|PubMed:10484328}.; </t>
        </is>
      </c>
      <c r="G367" t="inlineStr">
        <is>
          <t>unclassifiable (Anatomical System);breast;uterus;frontal lobe;brain;skin;</t>
        </is>
      </c>
      <c r="H367" t="inlineStr">
        <is>
          <t>dorsal root ganglion;superior cervical ganglion;occipital lobe;medulla oblongata;temporal lobe;pons;atrioventricular node;skeletal muscle;subthalamic nucleus;prefrontal cortex;globus pallidus;trigeminal ganglion;parietal lobe;cingulate cortex;</t>
        </is>
      </c>
      <c r="I367" t="inlineStr">
        <is>
          <t>.</t>
        </is>
      </c>
      <c r="J367" t="inlineStr">
        <is>
          <t>.</t>
        </is>
      </c>
      <c r="K367" t="inlineStr">
        <is>
          <t>.</t>
        </is>
      </c>
      <c r="L367" t="inlineStr">
        <is>
          <t>.</t>
        </is>
      </c>
      <c r="M367" t="inlineStr">
        <is>
          <t>.</t>
        </is>
      </c>
      <c r="N367" t="inlineStr">
        <is>
          <t>.</t>
        </is>
      </c>
      <c r="O367" t="inlineStr">
        <is>
          <t>.</t>
        </is>
      </c>
    </row>
    <row r="368">
      <c r="A368" t="inlineStr">
        <is>
          <t>KCNT1</t>
        </is>
      </c>
      <c r="B368" t="inlineStr">
        <is>
          <t>0.00534873818795492</t>
        </is>
      </c>
      <c r="C368" t="inlineStr">
        <is>
          <t>potassium sodium-activated channel subfamily T member 1</t>
        </is>
      </c>
      <c r="D368" t="inlineStr">
        <is>
          <t xml:space="preserve">FUNCTION: Outwardly rectifying potassium channel subunit that may coassemble with other Slo-type channel subunits. Activated by high intracellular sodium or chloride levels. Activated upon stimulation of G-protein coupled receptors, such as CHRM1 and GRIA1. May be regulated by calcium in the absence of sodium ions (in vitro) (By similarity). {ECO:0000250}.; </t>
        </is>
      </c>
      <c r="E368" t="inlineStr">
        <is>
          <t xml:space="preserve">DISEASE: Epileptic encephalopathy, early infantile, 14 (EIEE14) [MIM:614959]: A rare epileptic encephalopathy of infancy that combines pharmacoresistant seizures with developmental delay. This severe neurologic disorder is characterized by onset in the first 6 months of life of refractory focal seizures and arrest of psychomotor development. Ictal EEG shows discharges that arise randomly from various areas of both hemispheres and migrate from one brain region to another. {ECO:0000269|PubMed:23086397}. Note=The disease is caused by mutations affecting the gene represented in this entry.; DISEASE: Epilepsy, nocturnal frontal lobe, 5 (ENFL5) [MIM:615005]: An autosomal dominant focal epilepsy syndrome characterized by childhood onset of clusters of motor seizures during sleep. Some patients may develop behavioral or psychiatric manifestations and/or intellectual disability. The phenotype is more severe than observed in other genetic forms of nocturnal frontal lobe epilepsy. {ECO:0000269|PubMed:23086396}. Note=The disease is caused by mutations affecting the gene represented in this entry.; </t>
        </is>
      </c>
      <c r="F368" t="inlineStr">
        <is>
          <t xml:space="preserve">TISSUE SPECIFICITY: Highest expression in liver, brain and spinal cord. Lowest expression in skeletal muscle. {ECO:0000269|PubMed:10718198}.; </t>
        </is>
      </c>
      <c r="G368" t="inlineStr">
        <is>
          <t>unclassifiable (Anatomical System);frontal lobe;testis;brain;</t>
        </is>
      </c>
      <c r="H368" t="inlineStr">
        <is>
          <t>.</t>
        </is>
      </c>
      <c r="I368">
        <f>HYPERLINK("https://omim.org/entry/614959", "614959")</f>
        <v/>
      </c>
      <c r="J368">
        <f>HYPERLINK("https://omim.org/entry/615005", "615005")</f>
        <v/>
      </c>
      <c r="K368" t="inlineStr">
        <is>
          <t>.</t>
        </is>
      </c>
      <c r="L368" t="inlineStr">
        <is>
          <t>.</t>
        </is>
      </c>
      <c r="M368" t="inlineStr">
        <is>
          <t>.</t>
        </is>
      </c>
      <c r="N368" t="inlineStr">
        <is>
          <t>.</t>
        </is>
      </c>
      <c r="O368" t="inlineStr">
        <is>
          <t>.</t>
        </is>
      </c>
    </row>
    <row r="369">
      <c r="A369" t="inlineStr">
        <is>
          <t>KDM3B</t>
        </is>
      </c>
      <c r="B369" t="inlineStr">
        <is>
          <t>0.999999999078234</t>
        </is>
      </c>
      <c r="C369" t="inlineStr">
        <is>
          <t>lysine demethylase 3B</t>
        </is>
      </c>
      <c r="D369" t="inlineStr">
        <is>
          <t xml:space="preserve">FUNCTION: Histone demethylase that specifically demethylates 'Lys- 9' of histone H3, thereby playing a central role in histone code. Demethylation of Lys residue generates formaldehyde and succinate. May have tumor suppressor activity. {ECO:0000269|PubMed:16603237}.; </t>
        </is>
      </c>
      <c r="E369" t="inlineStr">
        <is>
          <t>.</t>
        </is>
      </c>
      <c r="F369" t="inlineStr">
        <is>
          <t xml:space="preserve">TISSUE SPECIFICITY: Ubiquitous. Highly expressed in placenta, skeletal muscle, kidney, heart and liver. {ECO:0000269|PubMed:11087669, ECO:0000269|PubMed:11687974}.; </t>
        </is>
      </c>
      <c r="G369" t="inlineStr">
        <is>
          <t>ovary;sympathetic chain;skin;bone marrow;retina;prostate;optic nerve;frontal lobe;endometrium;thyroid;iris;germinal center;bladder;brain;heart;cartilage;pharynx;blood;lens;skeletal muscle;breast;visual apparatus;macula lutea;liver;spleen;cervix;mammary gland;peripheral nerve;salivary gland;colon;choroid;fovea centralis;uterus;whole body;cerebral cortex;larynx;bone;pituitary gland;testis;unclassifiable (Anatomical System);lymph node;islets of Langerhans;pancreas;lung;adrenal gland;nasopharynx;placenta;hippocampus;duodenum;head and neck;kidney;stomach;</t>
        </is>
      </c>
      <c r="H369" t="inlineStr">
        <is>
          <t>superior cervical ganglion;subthalamic nucleus;ciliary ganglion;atrioventricular node;trigeminal ganglion;parietal lobe;cingulate cortex;skeletal muscle;cerebellum;</t>
        </is>
      </c>
      <c r="I369" t="inlineStr">
        <is>
          <t>.</t>
        </is>
      </c>
      <c r="J369" t="inlineStr">
        <is>
          <t>.</t>
        </is>
      </c>
      <c r="K369" t="inlineStr">
        <is>
          <t>.</t>
        </is>
      </c>
      <c r="L369" t="inlineStr">
        <is>
          <t>.</t>
        </is>
      </c>
      <c r="M369" t="inlineStr">
        <is>
          <t>.</t>
        </is>
      </c>
      <c r="N369" t="inlineStr">
        <is>
          <t>.</t>
        </is>
      </c>
      <c r="O369" t="inlineStr">
        <is>
          <t>.</t>
        </is>
      </c>
    </row>
    <row r="370">
      <c r="A370" t="inlineStr">
        <is>
          <t>KERA</t>
        </is>
      </c>
      <c r="B370" t="inlineStr">
        <is>
          <t>0.000414369553245371</t>
        </is>
      </c>
      <c r="C370" t="inlineStr">
        <is>
          <t>keratocan</t>
        </is>
      </c>
      <c r="D370" t="inlineStr">
        <is>
          <t xml:space="preserve">FUNCTION: May be important in developing and maintaining corneal transparency and for the structure of the stromal matrix.; </t>
        </is>
      </c>
      <c r="E370" t="inlineStr">
        <is>
          <t xml:space="preserve">DISEASE: The autosomal recessive cornea plana 2 (CNA2) [MIM:217300]: In CNA2, the forward convex curvature is flattened, leading to a decrease in refraction, reduced visual activity, extreme hyperopia (usually plus 10 d or more), hazy corneal limbus, opacities in the corneal parenchyma, and marked arcus senilis (often detected at an early age). CNA2 is a rare disorder with a worldwide distribution, but a high prevalence in the Finnish population. {ECO:0000269|PubMed:10802664, ECO:0000269|PubMed:11726611}. Note=The disease is caused by mutations affecting the gene represented in this entry.; </t>
        </is>
      </c>
      <c r="F370" t="inlineStr">
        <is>
          <t xml:space="preserve">TISSUE SPECIFICITY: Cornea. Increased expression in the stroma of keratoconus corneas. Also detected in trachea, and in low levels, in intestine, skeletal muscle, ovary, lung and putamen. {ECO:0000269|PubMed:11683372}.; </t>
        </is>
      </c>
      <c r="G370" t="inlineStr">
        <is>
          <t>unclassifiable (Anatomical System);lung;whole body;placenta;visual apparatus;testis;</t>
        </is>
      </c>
      <c r="H370" t="inlineStr">
        <is>
          <t>superior cervical ganglion;atrioventricular node;pons;skeletal muscle;</t>
        </is>
      </c>
      <c r="I370">
        <f>HYPERLINK("https://omim.org/entry/217300", "217300")</f>
        <v/>
      </c>
      <c r="J370" t="inlineStr">
        <is>
          <t>.</t>
        </is>
      </c>
      <c r="K370" t="inlineStr">
        <is>
          <t>.</t>
        </is>
      </c>
      <c r="L370" t="inlineStr">
        <is>
          <t>.</t>
        </is>
      </c>
      <c r="M370" t="inlineStr">
        <is>
          <t>.</t>
        </is>
      </c>
      <c r="N370" t="inlineStr">
        <is>
          <t>.</t>
        </is>
      </c>
      <c r="O370" t="inlineStr">
        <is>
          <t>.</t>
        </is>
      </c>
    </row>
    <row r="371">
      <c r="A371" t="inlineStr">
        <is>
          <t>KHSRP</t>
        </is>
      </c>
      <c r="B371" t="inlineStr">
        <is>
          <t>0.99971122153684</t>
        </is>
      </c>
      <c r="C371" t="inlineStr">
        <is>
          <t>KH-type splicing regulatory protein</t>
        </is>
      </c>
      <c r="D371" t="inlineStr">
        <is>
          <t xml:space="preserve">FUNCTION: Binds to the dendritic targeting element and may play a role in mRNA trafficking (By similarity). Part of a ternary complex that binds to the downstream control sequence (DCS) of the pre-mRNA. Mediates exon inclusion in transcripts that are subject to tissue-specific alternative splicing. May interact with single- stranded DNA from the far-upstream element (FUSE). May activate gene expression. Also involved in degradation of inherently unstable mRNAs that contain AU-rich elements (AREs) in their 3'- UTR, possibly by recruiting degradation machinery to ARE- containing mRNAs. {ECO:0000250, ECO:0000269|PubMed:11003644, ECO:0000269|PubMed:8940189, ECO:0000269|PubMed:9136930}.; </t>
        </is>
      </c>
      <c r="E371" t="inlineStr">
        <is>
          <t>.</t>
        </is>
      </c>
      <c r="F371" t="inlineStr">
        <is>
          <t xml:space="preserve">TISSUE SPECIFICITY: Detected in neural and non-neural cell lines.; </t>
        </is>
      </c>
      <c r="G371" t="inlineStr">
        <is>
          <t>ovary;skin;bone marrow;retina;prostate;optic nerve;frontal lobe;endometrium;thyroid;germinal center;brain;heart;cartilage;urinary;pharynx;blood;lens;breast;epididymis;macula lutea;visual apparatus;liver;spleen;cervix;mammary gland;salivary gland;intestine;colon;parathyroid;fovea centralis;choroid;uterus;whole body;atrium;oesophagus;cerebral cortex;bone;testis;unclassifiable (Anatomical System);lymph node;islets of Langerhans;bile duct;pancreas;lung;cornea;nasopharynx;placenta;hippocampus;head and neck;kidney;stomach;cerebellum;</t>
        </is>
      </c>
      <c r="H371" t="inlineStr">
        <is>
          <t>superior cervical ganglion;temporal lobe;testis;trigeminal ganglion;parietal lobe;skeletal muscle;cerebellum;</t>
        </is>
      </c>
      <c r="I371" t="inlineStr">
        <is>
          <t>.</t>
        </is>
      </c>
      <c r="J371" t="inlineStr">
        <is>
          <t>.</t>
        </is>
      </c>
      <c r="K371" t="inlineStr">
        <is>
          <t>.</t>
        </is>
      </c>
      <c r="L371" t="inlineStr">
        <is>
          <t>.</t>
        </is>
      </c>
      <c r="M371" t="inlineStr">
        <is>
          <t>.</t>
        </is>
      </c>
      <c r="N371" t="inlineStr">
        <is>
          <t>.</t>
        </is>
      </c>
      <c r="O371" t="inlineStr">
        <is>
          <t>.</t>
        </is>
      </c>
    </row>
    <row r="372">
      <c r="A372" t="inlineStr">
        <is>
          <t>KIAA0100</t>
        </is>
      </c>
      <c r="B372" t="inlineStr">
        <is>
          <t>0.26524374601424</t>
        </is>
      </c>
      <c r="C372" t="inlineStr">
        <is>
          <t>KIAA0100</t>
        </is>
      </c>
      <c r="D372" t="inlineStr">
        <is>
          <t xml:space="preserve">FUNCTION: May be involved in membrane trafficking. {ECO:0000250|UniProtKB:K7VLR4}.; </t>
        </is>
      </c>
      <c r="E372" t="inlineStr">
        <is>
          <t>.</t>
        </is>
      </c>
      <c r="F372" t="inlineStr">
        <is>
          <t xml:space="preserve">TISSUE SPECIFICITY: Expressed in pancreas, placenta and up- regulated in breast carcinoma epithelial cells, ductal in situ carcinoma (DCIS), invasive breast carcinoma (IBC) and metastatic breast carcinoma cells (MET). {ECO:0000269|PubMed:16289875}.; </t>
        </is>
      </c>
      <c r="G372" t="inlineStr">
        <is>
          <t>smooth muscle;ovary;skin;bone marrow;retina;prostate;optic nerve;frontal lobe;endometrium;thyroid;germinal center;bladder;brain;heart;cartilage;nervous;urinary;adrenal cortex;pharynx;blood;lens;skeletal muscle;breast;visual apparatus;macula lutea;liver;spleen;cervix;mammary gland;salivary gland;intestine;colon;fovea centralis;choroid;uterus;larynx;bone;testis;spinal ganglion;unclassifiable (Anatomical System);islets of Langerhans;hypothalamus;bile duct;pancreas;lung;placenta;duodenum;amnion;head and neck;kidney;stomach;thymus;</t>
        </is>
      </c>
      <c r="H372" t="inlineStr">
        <is>
          <t>dorsal root ganglion;superior cervical ganglion;globus pallidus;atrioventricular node;trigeminal ganglion;</t>
        </is>
      </c>
      <c r="I372" t="inlineStr">
        <is>
          <t>.</t>
        </is>
      </c>
      <c r="J372" t="inlineStr">
        <is>
          <t>.</t>
        </is>
      </c>
      <c r="K372" t="inlineStr">
        <is>
          <t>.</t>
        </is>
      </c>
      <c r="L372" t="inlineStr">
        <is>
          <t>.</t>
        </is>
      </c>
      <c r="M372" t="inlineStr">
        <is>
          <t>.</t>
        </is>
      </c>
      <c r="N372" t="inlineStr">
        <is>
          <t>.</t>
        </is>
      </c>
      <c r="O372" t="inlineStr">
        <is>
          <t>.</t>
        </is>
      </c>
    </row>
    <row r="373">
      <c r="A373" t="inlineStr">
        <is>
          <t>KIAA1462</t>
        </is>
      </c>
      <c r="B373" t="inlineStr">
        <is>
          <t>0.104293752088672</t>
        </is>
      </c>
      <c r="C373" t="inlineStr">
        <is>
          <t>KIAA1462</t>
        </is>
      </c>
      <c r="D373" t="inlineStr">
        <is>
          <t>.</t>
        </is>
      </c>
      <c r="E373" t="inlineStr">
        <is>
          <t>.</t>
        </is>
      </c>
      <c r="F373" t="inlineStr">
        <is>
          <t>.</t>
        </is>
      </c>
      <c r="G373" t="inlineStr">
        <is>
          <t>.</t>
        </is>
      </c>
      <c r="H373" t="inlineStr">
        <is>
          <t>.</t>
        </is>
      </c>
      <c r="I373" t="inlineStr">
        <is>
          <t>.</t>
        </is>
      </c>
      <c r="J373" t="inlineStr">
        <is>
          <t>.</t>
        </is>
      </c>
      <c r="K373" t="inlineStr">
        <is>
          <t>.</t>
        </is>
      </c>
      <c r="L373" t="inlineStr">
        <is>
          <t>.</t>
        </is>
      </c>
      <c r="M373" t="inlineStr">
        <is>
          <t>.</t>
        </is>
      </c>
      <c r="N373" t="inlineStr">
        <is>
          <t>.</t>
        </is>
      </c>
      <c r="O373" t="inlineStr">
        <is>
          <t>.</t>
        </is>
      </c>
    </row>
    <row r="374">
      <c r="A374" t="inlineStr">
        <is>
          <t>KIAA1468</t>
        </is>
      </c>
      <c r="B374" t="inlineStr">
        <is>
          <t>0.999999559987516</t>
        </is>
      </c>
      <c r="C374" t="inlineStr">
        <is>
          <t>KIAA1468</t>
        </is>
      </c>
      <c r="D374" t="inlineStr">
        <is>
          <t>.</t>
        </is>
      </c>
      <c r="E374" t="inlineStr">
        <is>
          <t>.</t>
        </is>
      </c>
      <c r="F374" t="inlineStr">
        <is>
          <t>.</t>
        </is>
      </c>
      <c r="G374" t="inlineStr">
        <is>
          <t>ovary;sympathetic chain;colon;parathyroid;fovea centralis;skin;bone marrow;uterus;prostate;whole body;cerebral cortex;endometrium;bone;thyroid;testis;dura mater;germinal center;brain;bladder;unclassifiable (Anatomical System);meninges;cartilage;heart;lacrimal gland;islets of Langerhans;blood;skeletal muscle;bile duct;breast;pancreas;pia mater;lung;nasopharynx;placenta;macula lutea;liver;spleen;kidney;mammary gland;</t>
        </is>
      </c>
      <c r="H374" t="inlineStr">
        <is>
          <t>dorsal root ganglion;subthalamic nucleus;superior cervical ganglion;occipital lobe;globus pallidus;ciliary ganglion;atrioventricular node;trigeminal ganglion;parietal lobe;skin;</t>
        </is>
      </c>
      <c r="I374" t="inlineStr">
        <is>
          <t>.</t>
        </is>
      </c>
      <c r="J374" t="inlineStr">
        <is>
          <t>.</t>
        </is>
      </c>
      <c r="K374" t="inlineStr">
        <is>
          <t>.</t>
        </is>
      </c>
      <c r="L374" t="inlineStr">
        <is>
          <t>.</t>
        </is>
      </c>
      <c r="M374" t="inlineStr">
        <is>
          <t>.</t>
        </is>
      </c>
      <c r="N374" t="inlineStr">
        <is>
          <t>.</t>
        </is>
      </c>
      <c r="O374" t="inlineStr">
        <is>
          <t>.</t>
        </is>
      </c>
    </row>
    <row r="375">
      <c r="A375" t="inlineStr">
        <is>
          <t>KIF1A</t>
        </is>
      </c>
      <c r="B375" t="inlineStr">
        <is>
          <t>0.99998943706213</t>
        </is>
      </c>
      <c r="C375" t="inlineStr">
        <is>
          <t>kinesin family member 1A</t>
        </is>
      </c>
      <c r="D375" t="inlineStr">
        <is>
          <t xml:space="preserve">FUNCTION: Motor for anterograde axonal transport of synaptic vesicle precursors. {ECO:0000250}.; </t>
        </is>
      </c>
      <c r="E375" t="inlineStr">
        <is>
          <t xml:space="preserve">DISEASE: Neuropathy, hereditary sensory, 2C (HSN2C) [MIM:614213]: A neurodegenerative disorder characterized by onset in the first decade of progressive distal sensory loss leading to ulceration and amputation of the fingers and toes. Affected individuals also develop distal muscle weakness, primarily affecting the lower limbs. {ECO:0000269|PubMed:21820098}. Note=The disease is caused by mutations affecting the gene represented in this entry.; DISEASE: Mental retardation, autosomal dominant 9 (MRD9) [MIM:614255]: A disorder characterized by significantly below average general intellectual functioning associated with impairments in adaptive behavior and manifested during the developmental period. {ECO:0000269|PubMed:21376300}. Note=The disease is caused by mutations affecting the gene represented in this entry.; </t>
        </is>
      </c>
      <c r="F375" t="inlineStr">
        <is>
          <t xml:space="preserve">TISSUE SPECIFICITY: Expressed in neurons. {ECO:0000269|PubMed:21376300}.; </t>
        </is>
      </c>
      <c r="G375" t="inlineStr">
        <is>
          <t>myocardium;sympathetic chain;colon;fovea centralis;choroid;skin;retina;bone marrow;uterus;prostate;optic nerve;whole body;frontal lobe;endometrium;cerebral cortex;bone;iris;testis;spinal ganglion;pineal gland;brain;unclassifiable (Anatomical System);amygdala;islets of Langerhans;hypothalamus;pineal body;blood;lens;skeletal muscle;breast;pancreas;lung;macula lutea;visual apparatus;hippocampus;liver;duodenum;spleen;mammary gland;cerebellum;</t>
        </is>
      </c>
      <c r="H375" t="inlineStr">
        <is>
          <t>amygdala;whole brain;subthalamic nucleus;medulla oblongata;occipital lobe;temporal lobe;globus pallidus;pons;parietal lobe;cingulate cortex;</t>
        </is>
      </c>
      <c r="I375">
        <f>HYPERLINK("https://omim.org/entry/614213", "614213")</f>
        <v/>
      </c>
      <c r="J375">
        <f>HYPERLINK("https://omim.org/entry/614255", "614255")</f>
        <v/>
      </c>
      <c r="K375" t="inlineStr">
        <is>
          <t>.</t>
        </is>
      </c>
      <c r="L375" t="inlineStr">
        <is>
          <t>.</t>
        </is>
      </c>
      <c r="M375" t="inlineStr">
        <is>
          <t>.</t>
        </is>
      </c>
      <c r="N375" t="inlineStr">
        <is>
          <t>.</t>
        </is>
      </c>
      <c r="O375" t="inlineStr">
        <is>
          <t>.</t>
        </is>
      </c>
    </row>
    <row r="376">
      <c r="A376" t="inlineStr">
        <is>
          <t>KIF23</t>
        </is>
      </c>
      <c r="B376" t="inlineStr">
        <is>
          <t>0.999999790749235</t>
        </is>
      </c>
      <c r="C376" t="inlineStr">
        <is>
          <t>kinesin family member 23</t>
        </is>
      </c>
      <c r="D376" t="inlineStr">
        <is>
          <t xml:space="preserve">FUNCTION: Component of the centralspindlin complex that serves as a microtubule-dependent and Rho-mediated signaling required for the myosin contractile ring formation during the cell cycle cytokinesis. Essential for cytokinesis in Rho-mediated signaling. Required for the localization of ECT2 to the central spindle. Plus-end-directed motor enzyme that moves antiparallel microtubules in vitro. {ECO:0000269|PubMed:16103226, ECO:0000269|PubMed:16236794, ECO:0000269|PubMed:22522702}.; </t>
        </is>
      </c>
      <c r="E376" t="inlineStr">
        <is>
          <t>.</t>
        </is>
      </c>
      <c r="F376" t="inlineStr">
        <is>
          <t>.</t>
        </is>
      </c>
      <c r="G376" t="inlineStr">
        <is>
          <t>lymphoreticular;ovary;salivary gland;intestine;colon;skin;bone marrow;uterus;prostate;whole body;endometrium;larynx;bone;testis;germinal center;brain;bladder;unclassifiable (Anatomical System);cartilage;heart;pharynx;blood;skeletal muscle;breast;bile duct;pancreas;lung;visual apparatus;hypopharynx;liver;cervix;spleen;head and neck;kidney;stomach;thymus;</t>
        </is>
      </c>
      <c r="H376" t="inlineStr">
        <is>
          <t>superior cervical ganglion;</t>
        </is>
      </c>
      <c r="I376" t="inlineStr">
        <is>
          <t>.</t>
        </is>
      </c>
      <c r="J376" t="inlineStr">
        <is>
          <t>.</t>
        </is>
      </c>
      <c r="K376" t="inlineStr">
        <is>
          <t>.</t>
        </is>
      </c>
      <c r="L376" t="inlineStr">
        <is>
          <t>.</t>
        </is>
      </c>
      <c r="M376" t="inlineStr">
        <is>
          <t>.</t>
        </is>
      </c>
      <c r="N376" t="inlineStr">
        <is>
          <t>.</t>
        </is>
      </c>
      <c r="O376" t="inlineStr">
        <is>
          <t>.</t>
        </is>
      </c>
    </row>
    <row r="377">
      <c r="A377" t="inlineStr">
        <is>
          <t>KIF2B</t>
        </is>
      </c>
      <c r="B377" t="inlineStr">
        <is>
          <t>3.73383408114166e-15</t>
        </is>
      </c>
      <c r="C377" t="inlineStr">
        <is>
          <t>kinesin family member 2B</t>
        </is>
      </c>
      <c r="D377" t="inlineStr">
        <is>
          <t xml:space="preserve">FUNCTION: Plus end-directed microtubule-dependent motor required for spindle assembly and chromosome movement. Has microtubule depolymerization activity. {ECO:0000269|PubMed:17538014}.; </t>
        </is>
      </c>
      <c r="E377" t="inlineStr">
        <is>
          <t>.</t>
        </is>
      </c>
      <c r="F377" t="inlineStr">
        <is>
          <t xml:space="preserve">TISSUE SPECIFICITY: Highest level in lung. High level in ovary, moderate levels in heart, kidney, placenta, skeletal muscle and spleen (at protein level). Pancreas and spleen express a shorter isoform (at protein level). {ECO:0000269|PubMed:17538014}.; </t>
        </is>
      </c>
      <c r="G377" t="inlineStr">
        <is>
          <t>unclassifiable (Anatomical System);medulla oblongata;lung;testis;</t>
        </is>
      </c>
      <c r="H377" t="inlineStr">
        <is>
          <t>testis - interstitial;superior cervical ganglion;testis - seminiferous tubule;testis;</t>
        </is>
      </c>
      <c r="I377" t="inlineStr">
        <is>
          <t>.</t>
        </is>
      </c>
      <c r="J377" t="inlineStr">
        <is>
          <t>.</t>
        </is>
      </c>
      <c r="K377" t="inlineStr">
        <is>
          <t>.</t>
        </is>
      </c>
      <c r="L377" t="inlineStr">
        <is>
          <t>.</t>
        </is>
      </c>
      <c r="M377" t="inlineStr">
        <is>
          <t>.</t>
        </is>
      </c>
      <c r="N377" t="inlineStr">
        <is>
          <t>.</t>
        </is>
      </c>
      <c r="O377" t="inlineStr">
        <is>
          <t>.</t>
        </is>
      </c>
    </row>
    <row r="378">
      <c r="A378" t="inlineStr">
        <is>
          <t>KIF5C</t>
        </is>
      </c>
      <c r="B378" t="inlineStr">
        <is>
          <t>0.999515597151875</t>
        </is>
      </c>
      <c r="C378" t="inlineStr">
        <is>
          <t>kinesin family member 5C</t>
        </is>
      </c>
      <c r="D378" t="inlineStr">
        <is>
          <t xml:space="preserve">FUNCTION: Mediates dendritic trafficking of mRNAs (By similarity). Kinesin is a microtubule-associated force-producing protein that may play a role in organelle transport. {ECO:0000250}.; </t>
        </is>
      </c>
      <c r="E378" t="inlineStr">
        <is>
          <t xml:space="preserve">DISEASE: Cortical dysplasia, complex, with other brain malformations 2 (CDCBM2) [MIM:615282]: A disorder of aberrant neuronal migration and disturbed axonal guidance. Clinical features include intrauterine growth retardation, fetal akinesia, seizures, microcephaly, lack of psychomotor development, and arthrogryposis. Brain imaging shows malformations of cortical development, including polymicrogyria, gyral simplification, and thin corpus callosum. {ECO:0000269|PubMed:23603762}. Note=The disease is caused by mutations affecting the gene represented in this entry.; </t>
        </is>
      </c>
      <c r="F378" t="inlineStr">
        <is>
          <t xml:space="preserve">TISSUE SPECIFICITY: Highest expression in brain, prostate and testis, and moderate expression in kidney, small intestine and ovary.; </t>
        </is>
      </c>
      <c r="G378" t="inlineStr">
        <is>
          <t>.</t>
        </is>
      </c>
      <c r="H378" t="inlineStr">
        <is>
          <t>.</t>
        </is>
      </c>
      <c r="I378">
        <f>HYPERLINK("https://omim.org/entry/615282", "615282")</f>
        <v/>
      </c>
      <c r="J378" t="inlineStr">
        <is>
          <t>.</t>
        </is>
      </c>
      <c r="K378" t="inlineStr">
        <is>
          <t>.</t>
        </is>
      </c>
      <c r="L378" t="inlineStr">
        <is>
          <t>.</t>
        </is>
      </c>
      <c r="M378" t="inlineStr">
        <is>
          <t>.</t>
        </is>
      </c>
      <c r="N378" t="inlineStr">
        <is>
          <t>.</t>
        </is>
      </c>
      <c r="O378" t="inlineStr">
        <is>
          <t>.</t>
        </is>
      </c>
    </row>
    <row r="379">
      <c r="A379" t="inlineStr">
        <is>
          <t>KIR2DL1</t>
        </is>
      </c>
      <c r="B379" t="inlineStr">
        <is>
          <t>0.184502116558515</t>
        </is>
      </c>
      <c r="C379" t="inlineStr">
        <is>
          <t>killer cell immunoglobulin like receptor, two Ig domains and long cytoplasmic tail 1</t>
        </is>
      </c>
      <c r="D379" t="inlineStr">
        <is>
          <t xml:space="preserve">FUNCTION: Receptor on natural killer (NK) cells for HLA-C alleles. Inhibits the activity of NK cells thus preventing cell lysis. {ECO:0000269|PubMed:18604210}.; </t>
        </is>
      </c>
      <c r="E379" t="inlineStr">
        <is>
          <t>.</t>
        </is>
      </c>
      <c r="F379" t="inlineStr">
        <is>
          <t>.</t>
        </is>
      </c>
      <c r="G379" t="inlineStr">
        <is>
          <t>breast;unclassifiable (Anatomical System);blood;</t>
        </is>
      </c>
      <c r="H379" t="inlineStr">
        <is>
          <t>superior cervical ganglion;ciliary ganglion;trigeminal ganglion;</t>
        </is>
      </c>
      <c r="I379" t="inlineStr">
        <is>
          <t>.</t>
        </is>
      </c>
      <c r="J379" t="inlineStr">
        <is>
          <t>.</t>
        </is>
      </c>
      <c r="K379" t="inlineStr">
        <is>
          <t>.</t>
        </is>
      </c>
      <c r="L379" t="inlineStr">
        <is>
          <t>.</t>
        </is>
      </c>
      <c r="M379" t="inlineStr">
        <is>
          <t>.</t>
        </is>
      </c>
      <c r="N379" t="inlineStr">
        <is>
          <t>.</t>
        </is>
      </c>
      <c r="O379" t="inlineStr">
        <is>
          <t>.</t>
        </is>
      </c>
    </row>
    <row r="380">
      <c r="A380" t="inlineStr">
        <is>
          <t>KIR2DL3</t>
        </is>
      </c>
      <c r="B380" t="inlineStr">
        <is>
          <t>0.0380264991528057</t>
        </is>
      </c>
      <c r="C380" t="inlineStr">
        <is>
          <t>killer cell immunoglobulin like receptor, two Ig domains and long cytoplasmic tail 3</t>
        </is>
      </c>
      <c r="D380" t="inlineStr">
        <is>
          <t xml:space="preserve">FUNCTION: Receptor on natural killer (NK) cells for HLA-C alleles (HLA-Cw1, HLA-Cw3 and HLA-Cw7). Inhibits the activity of NK cells thus preventing cell lysis.; </t>
        </is>
      </c>
      <c r="E380" t="inlineStr">
        <is>
          <t>.</t>
        </is>
      </c>
      <c r="F380" t="inlineStr">
        <is>
          <t>.</t>
        </is>
      </c>
      <c r="G380" t="inlineStr">
        <is>
          <t>.</t>
        </is>
      </c>
      <c r="H380" t="inlineStr">
        <is>
          <t>.</t>
        </is>
      </c>
      <c r="I380" t="inlineStr">
        <is>
          <t>.</t>
        </is>
      </c>
      <c r="J380" t="inlineStr">
        <is>
          <t>.</t>
        </is>
      </c>
      <c r="K380" t="inlineStr">
        <is>
          <t>.</t>
        </is>
      </c>
      <c r="L380" t="inlineStr">
        <is>
          <t>.</t>
        </is>
      </c>
      <c r="M380" t="inlineStr">
        <is>
          <t>.</t>
        </is>
      </c>
      <c r="N380" t="inlineStr">
        <is>
          <t>.</t>
        </is>
      </c>
      <c r="O380" t="inlineStr">
        <is>
          <t>.</t>
        </is>
      </c>
    </row>
    <row r="381">
      <c r="A381" t="inlineStr">
        <is>
          <t>KIR2DL4</t>
        </is>
      </c>
      <c r="B381" t="inlineStr">
        <is>
          <t>0.875263421473205</t>
        </is>
      </c>
      <c r="C381" t="inlineStr">
        <is>
          <t>killer cell immunoglobulin like receptor, two Ig domains and long cytoplasmic tail 4</t>
        </is>
      </c>
      <c r="D381" t="inlineStr">
        <is>
          <t xml:space="preserve">FUNCTION: Receptor on natural killer (NK) cells for HLA-C alleles. Inhibits the activity of NK cells thus preventing cell lysis.; </t>
        </is>
      </c>
      <c r="E381" t="inlineStr">
        <is>
          <t>.</t>
        </is>
      </c>
      <c r="F381" t="inlineStr">
        <is>
          <t>.</t>
        </is>
      </c>
      <c r="G381" t="inlineStr">
        <is>
          <t>.</t>
        </is>
      </c>
      <c r="H381" t="inlineStr">
        <is>
          <t>.</t>
        </is>
      </c>
      <c r="I381" t="inlineStr">
        <is>
          <t>.</t>
        </is>
      </c>
      <c r="J381" t="inlineStr">
        <is>
          <t>.</t>
        </is>
      </c>
      <c r="K381" t="inlineStr">
        <is>
          <t>.</t>
        </is>
      </c>
      <c r="L381" t="inlineStr">
        <is>
          <t>.</t>
        </is>
      </c>
      <c r="M381" t="inlineStr">
        <is>
          <t>.</t>
        </is>
      </c>
      <c r="N381" t="inlineStr">
        <is>
          <t>.</t>
        </is>
      </c>
      <c r="O381" t="inlineStr">
        <is>
          <t>.</t>
        </is>
      </c>
    </row>
    <row r="382">
      <c r="A382" t="inlineStr">
        <is>
          <t>KIR2DS4</t>
        </is>
      </c>
      <c r="B382" t="inlineStr">
        <is>
          <t>.</t>
        </is>
      </c>
      <c r="C382" t="inlineStr">
        <is>
          <t>killer cell immunoglobulin like receptor, two Ig domains and short cytoplasmic tail 4</t>
        </is>
      </c>
      <c r="D382" t="inlineStr">
        <is>
          <t xml:space="preserve">FUNCTION: Receptor on natural killer (NK) cells for HLA-C alleles. Does not inhibit the activity of NK cells. {ECO:0000269|PubMed:19858347}.; </t>
        </is>
      </c>
      <c r="E382" t="inlineStr">
        <is>
          <t>.</t>
        </is>
      </c>
      <c r="F382" t="inlineStr">
        <is>
          <t>.</t>
        </is>
      </c>
      <c r="G382" t="inlineStr">
        <is>
          <t>breast;blood;</t>
        </is>
      </c>
      <c r="H382" t="inlineStr">
        <is>
          <t>subthalamic nucleus;superior cervical ganglion;globus pallidus;atrioventricular node;trigeminal ganglion;skeletal muscle;</t>
        </is>
      </c>
      <c r="I382" t="inlineStr">
        <is>
          <t>.</t>
        </is>
      </c>
      <c r="J382" t="inlineStr">
        <is>
          <t>.</t>
        </is>
      </c>
      <c r="K382" t="inlineStr">
        <is>
          <t>.</t>
        </is>
      </c>
      <c r="L382" t="inlineStr">
        <is>
          <t>.</t>
        </is>
      </c>
      <c r="M382" t="inlineStr">
        <is>
          <t>.</t>
        </is>
      </c>
      <c r="N382" t="inlineStr">
        <is>
          <t>.</t>
        </is>
      </c>
      <c r="O382" t="inlineStr">
        <is>
          <t>.</t>
        </is>
      </c>
    </row>
    <row r="383">
      <c r="A383" t="inlineStr">
        <is>
          <t>KIR3DL1</t>
        </is>
      </c>
      <c r="B383" t="inlineStr">
        <is>
          <t>9.78327262907819e-06</t>
        </is>
      </c>
      <c r="C383" t="inlineStr">
        <is>
          <t>killer cell immunoglobulin like receptor, three Ig domains and long cytoplasmic tail 1</t>
        </is>
      </c>
      <c r="D383" t="inlineStr">
        <is>
          <t xml:space="preserve">FUNCTION: Receptor on natural killer (NK) cells for HLA Bw4 allele. Inhibits the activity of NK cells thus preventing cell lysis. {ECO:0000269|PubMed:22020283}.; </t>
        </is>
      </c>
      <c r="E383" t="inlineStr">
        <is>
          <t>.</t>
        </is>
      </c>
      <c r="F383" t="inlineStr">
        <is>
          <t>.</t>
        </is>
      </c>
      <c r="G383" t="inlineStr">
        <is>
          <t>unclassifiable (Anatomical System);skeletal muscle;</t>
        </is>
      </c>
      <c r="H383" t="inlineStr">
        <is>
          <t>superior cervical ganglion;ciliary ganglion;skeletal muscle;</t>
        </is>
      </c>
      <c r="I383" t="inlineStr">
        <is>
          <t>.</t>
        </is>
      </c>
      <c r="J383" t="inlineStr">
        <is>
          <t>.</t>
        </is>
      </c>
      <c r="K383" t="inlineStr">
        <is>
          <t>.</t>
        </is>
      </c>
      <c r="L383" t="inlineStr">
        <is>
          <t>.</t>
        </is>
      </c>
      <c r="M383" t="inlineStr">
        <is>
          <t>.</t>
        </is>
      </c>
      <c r="N383" t="inlineStr">
        <is>
          <t>.</t>
        </is>
      </c>
      <c r="O383" t="inlineStr">
        <is>
          <t>.</t>
        </is>
      </c>
    </row>
    <row r="384">
      <c r="A384" t="inlineStr">
        <is>
          <t>KIR3DL2</t>
        </is>
      </c>
      <c r="B384" t="inlineStr">
        <is>
          <t>0.221236755494515</t>
        </is>
      </c>
      <c r="C384" t="inlineStr">
        <is>
          <t>killer cell immunoglobulin like receptor, three Ig domains and long cytoplasmic tail 2</t>
        </is>
      </c>
      <c r="D384" t="inlineStr">
        <is>
          <t xml:space="preserve">FUNCTION: Receptor on natural killer (NK) cells for HLA-A alleles. Inhibits the activity of NK cells thus preventing cell lysis.; </t>
        </is>
      </c>
      <c r="E384" t="inlineStr">
        <is>
          <t>.</t>
        </is>
      </c>
      <c r="F384" t="inlineStr">
        <is>
          <t>.</t>
        </is>
      </c>
      <c r="G384" t="inlineStr">
        <is>
          <t>unclassifiable (Anatomical System);</t>
        </is>
      </c>
      <c r="H384" t="inlineStr">
        <is>
          <t>.</t>
        </is>
      </c>
      <c r="I384" t="inlineStr">
        <is>
          <t>.</t>
        </is>
      </c>
      <c r="J384" t="inlineStr">
        <is>
          <t>.</t>
        </is>
      </c>
      <c r="K384" t="inlineStr">
        <is>
          <t>.</t>
        </is>
      </c>
      <c r="L384" t="inlineStr">
        <is>
          <t>.</t>
        </is>
      </c>
      <c r="M384" t="inlineStr">
        <is>
          <t>.</t>
        </is>
      </c>
      <c r="N384" t="inlineStr">
        <is>
          <t>.</t>
        </is>
      </c>
      <c r="O384" t="inlineStr">
        <is>
          <t>.</t>
        </is>
      </c>
    </row>
    <row r="385">
      <c r="A385" t="inlineStr">
        <is>
          <t>KIT</t>
        </is>
      </c>
      <c r="B385" t="inlineStr">
        <is>
          <t>0.999879540537062</t>
        </is>
      </c>
      <c r="C385" t="inlineStr">
        <is>
          <t>KIT proto-oncogene receptor tyrosine kinase</t>
        </is>
      </c>
      <c r="D385" t="inlineStr">
        <is>
          <t xml:space="preserve">FUNCTION: Tyrosine-protein kinase that acts as cell-surface receptor for the cytokine KITLG/SCF and plays an essential role in the regulation of cell survival and proliferation, hematopoiesis, stem cell maintenance, gametogenesis, mast cell development, migration and function, and in melanogenesis. In response to KITLG/SCF binding, KIT can activate several signaling pathways. Phosphorylates PIK3R1, PLCG1, SH2B2/APS and CBL. Activates the AKT1 signaling pathway by phosphorylation of PIK3R1, the regulatory subunit of phosphatidylinositol 3-kinase. Activated KIT also transmits signals via GRB2 and activation of RAS, RAF1 and the MAP kinases MAPK1/ERK2 and/or MAPK3/ERK1. Promotes activation of STAT family members STAT1, STAT3, STAT5A and STAT5B. Activation of PLCG1 leads to the production of the cellular signaling molecules diacylglycerol and inositol 1,4,5-trisphosphate. KIT signaling is modulated by protein phosphatases, and by rapid internalization and degradation of the receptor. Activated KIT promotes phosphorylation of the protein phosphatases PTPN6/SHP-1 and PTPRU, and of the transcription factors STAT1, STAT3, STAT5A and STAT5B. Promotes phosphorylation of PIK3R1, CBL, CRK (isoform Crk-II), LYN, MAPK1/ERK2 and/or MAPK3/ERK1, PLCG1, SRC and SHC1. {ECO:0000269|PubMed:10397721, ECO:0000269|PubMed:12444928, ECO:0000269|PubMed:12511554, ECO:0000269|PubMed:12878163, ECO:0000269|PubMed:17904548, ECO:0000269|PubMed:19265199, ECO:0000269|PubMed:21135090, ECO:0000269|PubMed:21640708, ECO:0000269|PubMed:7520444, ECO:0000269|PubMed:9528781}.; </t>
        </is>
      </c>
      <c r="E385" t="inlineStr">
        <is>
          <t xml:space="preserve">DISEASE: Piebald trait (PBT) [MIM:172800]: Autosomal dominant genetic developmental abnormality of pigmentation characterized by congenital patches of white skin and hair that lack melanocytes. {ECO:0000269|PubMed:11074500, ECO:0000269|PubMed:1370874, ECO:0000269|PubMed:1376329, ECO:0000269|PubMed:1717985, ECO:0000269|PubMed:7687267, ECO:0000269|PubMed:8680409, ECO:0000269|PubMed:9450866, ECO:0000269|PubMed:9699740}. Note=The disease is caused by mutations affecting the gene represented in this entry.; DISEASE: Gastrointestinal stromal tumor (GIST) [MIM:606764]: Common mesenchymal neoplasms arising in the gastrointestinal tract, most often in the stomach. They are histologically, immunohistochemically, and genetically different from typical leiomyomas, leiomyosarcomas, and schwannomas. Most GISTs are composed of a fairly uniform population of spindle-shaped cells. Some tumors are dominated by epithelioid cells or contain a mixture of spindle and epithelioid morphologies. Primary GISTs in the gastrointestinal tract commonly metastasize in the omentum and mesenteries, often as multiple nodules. However, primary tumors may also occur outside of the gastrointestinal tract, in other intra-abdominal locations, especially in the omentum and mesentery. {ECO:0000269|PubMed:11505412, ECO:0000269|PubMed:15824741, ECO:0000269|PubMed:9438854, ECO:0000269|PubMed:9697690}. Note=The gene represented in this entry is involved in disease pathogenesis.; DISEASE: Testicular germ cell tumor (TGCT) [MIM:273300]: A common malignancy in males representing 95% of all testicular neoplasms. TGCTs have various pathologic subtypes including: unclassified intratubular germ cell neoplasia, seminoma (including cases with syncytiotrophoblastic cells), spermatocytic seminoma, embryonal carcinoma, yolk sac tumor, choriocarcinoma, and teratoma. Note=The gene represented in this entry may be involved in disease pathogenesis.; DISEASE: Leukemia, acute myelogenous (AML) [MIM:601626]: A subtype of acute leukemia, a cancer of the white blood cells. AML is a malignant disease of bone marrow characterized by maturational arrest of hematopoietic precursors at an early stage of development. Clonal expansion of myeloid blasts occurs in bone marrow, blood, and other tissue. Myelogenous leukemias develop from changes in cells that normally produce neutrophils, basophils, eosinophils and monocytes. Note=The gene represented in this entry is involved in disease pathogenesis. Somatic mutations that lead to constitutive activation of KIT are detected in AML patients. These mutations fall into two classes, the most common being in-frame internal tandem duplications of variable length in the juxtamembrane region that disrupt the normal regulation of the kinase activity. Likewise, point mutations in the kinase domain can result in a constitutively activated kinase.; </t>
        </is>
      </c>
      <c r="F385" t="inlineStr">
        <is>
          <t xml:space="preserve">TISSUE SPECIFICITY: Isoform 1 and isoform 2 are detected in spermatogonia and Leydig cells. Isoform 3 is detected in round spermatids, elongating spermatids and spermatozoa (at protein level). Widely expressed. Detected in the hematopoietic system, the gastrointestinal system, in melanocytes and in germ cells. {ECO:0000269|PubMed:20601678, ECO:0000269|PubMed:2448137}.; </t>
        </is>
      </c>
      <c r="G385" t="inlineStr">
        <is>
          <t>smooth muscle;ovary;colon;parathyroid;fovea centralis;choroid;skin;retina;uterus;optic nerve;whole body;cochlea;endometrium;thyroid;testis;pineal gland;brain;gall bladder;unclassifiable (Anatomical System);heart;cartilage;urinary;adrenal cortex;lens;skeletal muscle;breast;pancreas;lung;adrenal gland;trabecular meshwork;placenta;macula lutea;kidney;peripheral nerve;</t>
        </is>
      </c>
      <c r="H385" t="inlineStr">
        <is>
          <t>thalamus;thyroid;</t>
        </is>
      </c>
      <c r="I385">
        <f>HYPERLINK("https://omim.org/entry/172800", "172800")</f>
        <v/>
      </c>
      <c r="J385">
        <f>HYPERLINK("https://omim.org/entry/606764", "606764")</f>
        <v/>
      </c>
      <c r="K385">
        <f>HYPERLINK("https://omim.org/entry/273300", "273300")</f>
        <v/>
      </c>
      <c r="L385">
        <f>HYPERLINK("https://omim.org/entry/601626", "601626")</f>
        <v/>
      </c>
      <c r="M385" t="inlineStr">
        <is>
          <t>.</t>
        </is>
      </c>
      <c r="N385" t="inlineStr">
        <is>
          <t>.</t>
        </is>
      </c>
      <c r="O385" t="inlineStr">
        <is>
          <t>.</t>
        </is>
      </c>
    </row>
    <row r="386">
      <c r="A386" t="inlineStr">
        <is>
          <t>KL</t>
        </is>
      </c>
      <c r="B386" t="inlineStr">
        <is>
          <t>1.95267033273788e-05</t>
        </is>
      </c>
      <c r="C386" t="inlineStr">
        <is>
          <t>klotho</t>
        </is>
      </c>
      <c r="D386" t="inlineStr">
        <is>
          <t xml:space="preserve">FUNCTION: May have weak glycosidase activity towards glucuronylated steroids. However, it lacks essential active site Glu residues at positions 239 and 872, suggesting it may be inactive as a glycosidase in vivo. May be involved in the regulation of calcium and phosphorus homeostasis by inhibiting the synthesis of active vitamin D (By similarity). Essential factor for the specific interaction between FGF23 and FGFR1 (By similarity). {ECO:0000250}.; </t>
        </is>
      </c>
      <c r="E386" t="inlineStr">
        <is>
          <t xml:space="preserve">DISEASE: Tumoral calcinosis, hyperphosphatemic, familial (HFTC) [MIM:211900]: A severe metabolic disorder that manifests with hyperphosphatemia and massive calcium deposits in the skin and subcutaneous tissues. Some patients manifest recurrent, transient, painful swellings of the long bones associated with the radiographic findings of periosteal reaction and cortical hyperostosis and absence of skin involvement. {ECO:0000269|PubMed:17710231}. Note=The disease is caused by mutations affecting the gene represented in this entry.; </t>
        </is>
      </c>
      <c r="F386" t="inlineStr">
        <is>
          <t xml:space="preserve">TISSUE SPECIFICITY: Present in cortical renal tubules (at protein level). Soluble peptide is present in serum and cerebrospinal fluid. Expressed in kidney, placenta, small intestine and prostate. Down-regulated in renal cell carcinomas, hepatocellular carcinomas, and in chronic renal failure kidney. {ECO:0000269|PubMed:10631108, ECO:0000269|PubMed:11043382, ECO:0000269|PubMed:11162628, ECO:0000269|PubMed:15135068, ECO:0000269|PubMed:9464267}.; </t>
        </is>
      </c>
      <c r="G386" t="inlineStr">
        <is>
          <t>.</t>
        </is>
      </c>
      <c r="H386" t="inlineStr">
        <is>
          <t>.</t>
        </is>
      </c>
      <c r="I386">
        <f>HYPERLINK("https://omim.org/entry/211900", "211900")</f>
        <v/>
      </c>
      <c r="J386" t="inlineStr">
        <is>
          <t>.</t>
        </is>
      </c>
      <c r="K386" t="inlineStr">
        <is>
          <t>.</t>
        </is>
      </c>
      <c r="L386" t="inlineStr">
        <is>
          <t>.</t>
        </is>
      </c>
      <c r="M386" t="inlineStr">
        <is>
          <t>.</t>
        </is>
      </c>
      <c r="N386" t="inlineStr">
        <is>
          <t>.</t>
        </is>
      </c>
      <c r="O386" t="inlineStr">
        <is>
          <t>.</t>
        </is>
      </c>
    </row>
    <row r="387">
      <c r="A387" t="inlineStr">
        <is>
          <t>KLF4</t>
        </is>
      </c>
      <c r="B387" t="inlineStr">
        <is>
          <t>0.981049995653145</t>
        </is>
      </c>
      <c r="C387" t="inlineStr">
        <is>
          <t>Kruppel-like factor 4 (gut)</t>
        </is>
      </c>
      <c r="D387" t="inlineStr">
        <is>
          <t xml:space="preserve">FUNCTION: Transcription factor; can act both as activator and as repressor. Binds the 5'-CACCC-3' core sequence. Binds to the promoter region of its own gene and can activate its own transcription. Regulates the expression of key transcription factors during embryonic development. Plays an important role in maintaining embryonic stem cells, and in preventing their differentiation. Required for establishing the barrier function of the skin and for postnatal maturation and maintenance of the ocular surface. Involved in the differentiation of epithelial cells and may also function in skeletal and kidney development. Contributes to the down-regulation of p53/TP53 transcription. {ECO:0000269|PubMed:17308127, ECO:0000269|PubMed:20071344}.; </t>
        </is>
      </c>
      <c r="E387" t="inlineStr">
        <is>
          <t>.</t>
        </is>
      </c>
      <c r="F387" t="inlineStr">
        <is>
          <t>.</t>
        </is>
      </c>
      <c r="G387" t="inlineStr">
        <is>
          <t>.</t>
        </is>
      </c>
      <c r="H387" t="inlineStr">
        <is>
          <t>.</t>
        </is>
      </c>
      <c r="I387" t="inlineStr">
        <is>
          <t>.</t>
        </is>
      </c>
      <c r="J387" t="inlineStr">
        <is>
          <t>.</t>
        </is>
      </c>
      <c r="K387" t="inlineStr">
        <is>
          <t>.</t>
        </is>
      </c>
      <c r="L387" t="inlineStr">
        <is>
          <t>.</t>
        </is>
      </c>
      <c r="M387" t="inlineStr">
        <is>
          <t>.</t>
        </is>
      </c>
      <c r="N387" t="inlineStr">
        <is>
          <t>.</t>
        </is>
      </c>
      <c r="O387" t="inlineStr">
        <is>
          <t>.</t>
        </is>
      </c>
    </row>
    <row r="388">
      <c r="A388" t="inlineStr">
        <is>
          <t>KLHL14</t>
        </is>
      </c>
      <c r="B388" t="inlineStr">
        <is>
          <t>0.0827221887035056</t>
        </is>
      </c>
      <c r="C388" t="inlineStr">
        <is>
          <t>kelch like family member 14</t>
        </is>
      </c>
      <c r="D388" t="inlineStr">
        <is>
          <t>.</t>
        </is>
      </c>
      <c r="E388" t="inlineStr">
        <is>
          <t>.</t>
        </is>
      </c>
      <c r="F388" t="inlineStr">
        <is>
          <t>.</t>
        </is>
      </c>
      <c r="G388" t="inlineStr">
        <is>
          <t>unclassifiable (Anatomical System);uterus;lung;ovary;endometrium;placenta;visual apparatus;parathyroid;blood;germinal center;brain;</t>
        </is>
      </c>
      <c r="H388" t="inlineStr">
        <is>
          <t>superior cervical ganglion;trigeminal ganglion;</t>
        </is>
      </c>
      <c r="I388" t="inlineStr">
        <is>
          <t>.</t>
        </is>
      </c>
      <c r="J388" t="inlineStr">
        <is>
          <t>.</t>
        </is>
      </c>
      <c r="K388" t="inlineStr">
        <is>
          <t>.</t>
        </is>
      </c>
      <c r="L388" t="inlineStr">
        <is>
          <t>.</t>
        </is>
      </c>
      <c r="M388" t="inlineStr">
        <is>
          <t>.</t>
        </is>
      </c>
      <c r="N388" t="inlineStr">
        <is>
          <t>.</t>
        </is>
      </c>
      <c r="O388" t="inlineStr">
        <is>
          <t>.</t>
        </is>
      </c>
    </row>
    <row r="389">
      <c r="A389" t="inlineStr">
        <is>
          <t>KLK14</t>
        </is>
      </c>
      <c r="B389" t="inlineStr">
        <is>
          <t>1.09820370579845e-09</t>
        </is>
      </c>
      <c r="C389" t="inlineStr">
        <is>
          <t>kallikrein related peptidase 14</t>
        </is>
      </c>
      <c r="D389" t="inlineStr">
        <is>
          <t xml:space="preserve">FUNCTION: Serine-type endopeptidase with a dual trypsin-like and chymotrypsin-like substrate specificity. May activate/inactivate the proteinase-activated receptors F2R, F2RL1 and F2RL3 and other kallikreins including KLK1, KLK3, KLK5 and KLK11. May function in seminal clot liquefaction through direct cleavage of the semenogelin SEMG1 and SEMG2 and activation of KLK3. May function through desmoglein DSG1 cleavage in epidermal desquamation a process by which the most superficial corneocytes are shed from the skin surface. May be involved in several aspects of tumor progression including growth, invasion and angiogenesis. {ECO:0000269|PubMed:15654974, ECO:0000269|PubMed:16885167, ECO:0000269|PubMed:17158887, ECO:0000269|PubMed:17625593, ECO:0000269|PubMed:18056261, ECO:0000269|PubMed:18482984}.; </t>
        </is>
      </c>
      <c r="E389" t="inlineStr">
        <is>
          <t>.</t>
        </is>
      </c>
      <c r="F389" t="inlineStr">
        <is>
          <t xml:space="preserve">TISSUE SPECIFICITY: Highly expressed in CNS, bone marrow and fetal liver. Also expressed in breast, thyroid, kidney, colon, pancreas, spleen, prostate, uterus, small intestine, placenta and skeletal muscle. Among 40 tissues tested, the highest expression is detected in skin followed by breast and prostate (at protein level). Expressed in stratum corneum by sweat ducts and sweat glands and detected in sweat (at protein level). {ECO:0000269|PubMed:10969073, ECO:0000269|PubMed:11309303, ECO:0000269|PubMed:11352573, ECO:0000269|PubMed:16456535, ECO:0000269|PubMed:16800737, ECO:0000269|PubMed:17110383}.; </t>
        </is>
      </c>
      <c r="G389" t="inlineStr">
        <is>
          <t>unclassifiable (Anatomical System);lung;</t>
        </is>
      </c>
      <c r="H389" t="inlineStr">
        <is>
          <t>medulla oblongata;subthalamic nucleus;pons;atrioventricular node;skin;skeletal muscle;</t>
        </is>
      </c>
      <c r="I389" t="inlineStr">
        <is>
          <t>.</t>
        </is>
      </c>
      <c r="J389" t="inlineStr">
        <is>
          <t>.</t>
        </is>
      </c>
      <c r="K389" t="inlineStr">
        <is>
          <t>.</t>
        </is>
      </c>
      <c r="L389" t="inlineStr">
        <is>
          <t>.</t>
        </is>
      </c>
      <c r="M389" t="inlineStr">
        <is>
          <t>.</t>
        </is>
      </c>
      <c r="N389" t="inlineStr">
        <is>
          <t>.</t>
        </is>
      </c>
      <c r="O389" t="inlineStr">
        <is>
          <t>.</t>
        </is>
      </c>
    </row>
    <row r="390">
      <c r="A390" t="inlineStr">
        <is>
          <t>KLK3</t>
        </is>
      </c>
      <c r="B390" t="inlineStr">
        <is>
          <t>0.00347267051874821</t>
        </is>
      </c>
      <c r="C390" t="inlineStr">
        <is>
          <t>kallikrein related peptidase 3</t>
        </is>
      </c>
      <c r="D390" t="inlineStr">
        <is>
          <t xml:space="preserve">FUNCTION: Hydrolyzes semenogelin-1 thus leading to the liquefaction of the seminal coagulum.; </t>
        </is>
      </c>
      <c r="E390" t="inlineStr">
        <is>
          <t>.</t>
        </is>
      </c>
      <c r="F390" t="inlineStr">
        <is>
          <t>.</t>
        </is>
      </c>
      <c r="G390" t="inlineStr">
        <is>
          <t>unclassifiable (Anatomical System);ovary;salivary gland;intestine;colon;pharynx;blood;skin;skeletal muscle;bone marrow;breast;prostate;lung;liver;kidney;bladder;mammary gland;brain;peripheral nerve;</t>
        </is>
      </c>
      <c r="H390" t="inlineStr">
        <is>
          <t>prostate;superior cervical ganglion;trigeminal ganglion;skeletal muscle;</t>
        </is>
      </c>
      <c r="I390" t="inlineStr">
        <is>
          <t>.</t>
        </is>
      </c>
      <c r="J390" t="inlineStr">
        <is>
          <t>.</t>
        </is>
      </c>
      <c r="K390" t="inlineStr">
        <is>
          <t>.</t>
        </is>
      </c>
      <c r="L390" t="inlineStr">
        <is>
          <t>.</t>
        </is>
      </c>
      <c r="M390" t="inlineStr">
        <is>
          <t>.</t>
        </is>
      </c>
      <c r="N390" t="inlineStr">
        <is>
          <t>.</t>
        </is>
      </c>
      <c r="O390" t="inlineStr">
        <is>
          <t>.</t>
        </is>
      </c>
    </row>
    <row r="391">
      <c r="A391" t="inlineStr">
        <is>
          <t>KMT2A</t>
        </is>
      </c>
      <c r="B391" t="inlineStr">
        <is>
          <t>1</t>
        </is>
      </c>
      <c r="C391" t="inlineStr">
        <is>
          <t>lysine methyltransferase 2A</t>
        </is>
      </c>
      <c r="D391" t="inlineStr">
        <is>
          <t xml:space="preserve">FUNCTION: Histone methyltransferase that plays an essential role in early development and hematopoiesis. Catalytic subunit of the MLL1/MLL complex, a multiprotein complex that mediates both methylation of 'Lys-4' of histone H3 (H3K4me) complex and acetylation of 'Lys-16' of histone H4 (H4K16ac). In the MLL1/MLL complex, it specifically mediates H3K4me, a specific tag for epigenetic transcriptional activation. Has weak methyltransferase activity by itself, and requires other component of the MLL1/MLL complex to obtain full methyltransferase activity. Has no activity toward histone H3 phosphorylated on 'Thr-3', less activity toward H3 dimethylated on 'Arg-8' or 'Lys-9', while it has higher activity toward H3 acetylated on 'Lys-9'. Required for transcriptional activation of HOXA9. Promotes PPP1R15A-induced apoptosis. Plays a critical role in the control of circadian gene expression and is essential for the transcriptional activation mediated by the CLOCK-ARNTL/BMAL1 heterodimer. Establishes a permissive chromatin state for circadian transcription by mediating a rhythmic methylation of 'Lys-4' of histone H3 (H3K4me) and this histone modification directs the circadian acetylation at H3K9 and H3K14 allowing the recruitment of CLOCK-ARNTL/BMAL1 to chromatin (By similarity). {ECO:0000250|UniProtKB:P55200, ECO:0000269|PubMed:10490642, ECO:0000269|PubMed:12453419, ECO:0000269|PubMed:15960975, ECO:0000269|PubMed:19556245}.; </t>
        </is>
      </c>
      <c r="E391" t="inlineStr">
        <is>
          <t xml:space="preserve">DISEASE: Wiedemann-Steiner syndrome (WDSTS) [MIM:605130]: A syndrome characterized by hairy elbows (hypertrichosis cubiti), intellectual disability, a distinctive facial appearance, and short stature. Facial characteristics include long eyelashes, thick or arched eyebrows with a lateral flare, and downslanting and vertically narrow palpebral fissures. {ECO:0000269|PubMed:22795537}. Note=The disease is caused by mutations affecting the gene represented in this entry.; DISEASE: Note=Chromosomal aberrations involving KMT2A are a cause of acute leukemias. Translocation t(1;11)(q21;q23) with MLLT11/AF1Q; translocation t(3;11)(p21;q23) with NCKIPSD/AF3p21; translocation t(3,11)(q25,q23) with GMPS; translocation t(4;11)(q21;q23) with AFF1/MLLT2/AF4; insertion ins(5;11)(q31;q13q23) with AFF4/AF5Q31; translocation t(5;11)(q12;q23) with AF5-alpha/CENPK; translocation t(6;11)(q27;q23) with MLLT4/AF6; translocation t(9;11)(p22;q23) with MLLT3/AF9; translocation t(10;11)(p11.2;q23) with ABI1; translocation t(10;11)(p12;q23) with MLLT10/AF10; t(11;15)(q23;q14) with CASC5 and ZFYVE19; translocation t(11;17)(q23;q21) with MLLT6/AF17; translocation t(11;19)(q23;p13.3) with ELL; translocation t(11;19)(q23;p13.3) with MLLT1/ENL; translocation t(11;19)(q23;p23) with GAS7; translocation t(X;11)(q13;q23) with FOXO4/AFX1. Translocation t(3;11)(q28;q23) with LPP. Translocation t(10;11)(q22;q23) with TET1. Translocation t(9;11)(q34;q23) with DAB2IP. Translocation t(4;11)(p12;q23) with FRYL. Fusion proteins KMT2A-MLLT1, KMT2A- MLLT3 and KMT2A-ELL interact with PPP1R15A and, on the contrary to unfused KMT2A, inhibit PPP1R15A-induced apoptosis. {ECO:0000269|PubMed:10490642}.; DISEASE: Note=A chromosomal aberration involving KMT2A may be a cause of chronic neutrophilic leukemia. Translocation t(4;11)(q21;q23) with SEPT11. {ECO:0000269|PubMed:10490642}.; </t>
        </is>
      </c>
      <c r="F391" t="inlineStr">
        <is>
          <t xml:space="preserve">TISSUE SPECIFICITY: Heart, lung, brain and T- and B-lymphocytes.; </t>
        </is>
      </c>
      <c r="G391" t="inlineStr">
        <is>
          <t>.</t>
        </is>
      </c>
      <c r="H391" t="inlineStr">
        <is>
          <t>.</t>
        </is>
      </c>
      <c r="I391">
        <f>HYPERLINK("https://omim.org/entry/605130", "605130")</f>
        <v/>
      </c>
      <c r="J391" t="inlineStr">
        <is>
          <t>.</t>
        </is>
      </c>
      <c r="K391" t="inlineStr">
        <is>
          <t>.</t>
        </is>
      </c>
      <c r="L391" t="inlineStr">
        <is>
          <t>.</t>
        </is>
      </c>
      <c r="M391" t="inlineStr">
        <is>
          <t>.</t>
        </is>
      </c>
      <c r="N391" t="inlineStr">
        <is>
          <t>.</t>
        </is>
      </c>
      <c r="O391" t="inlineStr">
        <is>
          <t>.</t>
        </is>
      </c>
    </row>
    <row r="392">
      <c r="A392" t="inlineStr">
        <is>
          <t>KMT2C</t>
        </is>
      </c>
      <c r="B392" t="inlineStr">
        <is>
          <t>0.999999999999997</t>
        </is>
      </c>
      <c r="C392" t="inlineStr">
        <is>
          <t>lysine methyltransferase 2C</t>
        </is>
      </c>
      <c r="D392" t="inlineStr">
        <is>
          <t xml:space="preserve">FUNCTION: Histone methyltransferase. Methylates 'Lys-4' of histone H3. H3 'Lys-4' methylation represents a specific tag for epigenetic transcriptional activation. Central component of the MLL2/3 complex, a coactivator complex of nuclear receptors, involved in transcriptional coactivation. KMT2C/MLL3 may be a catalytic subunit of this complex. May be involved in leukemogenesis and developmental disorder. {ECO:0000269|PubMed:17500065}.; </t>
        </is>
      </c>
      <c r="E392" t="inlineStr">
        <is>
          <t>.</t>
        </is>
      </c>
      <c r="F392" t="inlineStr">
        <is>
          <t xml:space="preserve">TISSUE SPECIFICITY: Highly expressed in testis and ovary, followed by brain and liver. Also expressed in placenta, peripherical blood, fetal thymus, heart, lung and kidney. Within brain, expression was highest in hippocampus, caudate nucleus, and substantia nigra. Not detected in skeletal muscle and fetal liver.; </t>
        </is>
      </c>
      <c r="G392" t="inlineStr">
        <is>
          <t>.</t>
        </is>
      </c>
      <c r="H392" t="inlineStr">
        <is>
          <t>.</t>
        </is>
      </c>
      <c r="I392" t="inlineStr">
        <is>
          <t>.</t>
        </is>
      </c>
      <c r="J392" t="inlineStr">
        <is>
          <t>.</t>
        </is>
      </c>
      <c r="K392" t="inlineStr">
        <is>
          <t>.</t>
        </is>
      </c>
      <c r="L392" t="inlineStr">
        <is>
          <t>.</t>
        </is>
      </c>
      <c r="M392" t="inlineStr">
        <is>
          <t>.</t>
        </is>
      </c>
      <c r="N392" t="inlineStr">
        <is>
          <t>.</t>
        </is>
      </c>
      <c r="O392" t="inlineStr">
        <is>
          <t>.</t>
        </is>
      </c>
    </row>
    <row r="393">
      <c r="A393" t="inlineStr">
        <is>
          <t>KMT5A</t>
        </is>
      </c>
      <c r="B393" t="inlineStr">
        <is>
          <t>.</t>
        </is>
      </c>
      <c r="C393" t="inlineStr">
        <is>
          <t>lysine methyltransferase 5A</t>
        </is>
      </c>
      <c r="D393" t="inlineStr">
        <is>
          <t xml:space="preserve">FUNCTION: Protein-lysine N-methyltransferase that monomethylates both histones and non-histone proteins. Specifically monomethylates 'Lys-20' of histone H4 (H4K20me1). H4K20me1 is enriched during mitosis and represents a specific tag for epigenetic transcriptional repression. Mainly functions in euchromatin regions, thereby playing a central role in the silencing of euchromatic genes. Required for cell proliferation, probably by contributing to the maintenance of proper higher-order structure of DNA during mitosis. Involved in chromosome condensation and proper cytokinesis. Nucleosomes are preferred as substrate compared to free histones. Mediates monomethylation of p53/TP53 at 'Lys-382', leading to repress p53/TP53-target genes. Plays a negative role in TGF-beta response regulation and a positive role in cell migration. {ECO:0000269|PubMed:12086618, ECO:0000269|PubMed:12121615, ECO:0000269|PubMed:15200950, ECO:0000269|PubMed:15933069, ECO:0000269|PubMed:15933070, ECO:0000269|PubMed:16517599, ECO:0000269|PubMed:17707234, ECO:0000269|PubMed:23478445}.; </t>
        </is>
      </c>
      <c r="E393" t="inlineStr">
        <is>
          <t>.</t>
        </is>
      </c>
      <c r="F393" t="inlineStr">
        <is>
          <t>.</t>
        </is>
      </c>
      <c r="G393" t="inlineStr">
        <is>
          <t>.</t>
        </is>
      </c>
      <c r="H393" t="inlineStr">
        <is>
          <t>.</t>
        </is>
      </c>
      <c r="I393" t="inlineStr">
        <is>
          <t>.</t>
        </is>
      </c>
      <c r="J393" t="inlineStr">
        <is>
          <t>.</t>
        </is>
      </c>
      <c r="K393" t="inlineStr">
        <is>
          <t>.</t>
        </is>
      </c>
      <c r="L393" t="inlineStr">
        <is>
          <t>.</t>
        </is>
      </c>
      <c r="M393" t="inlineStr">
        <is>
          <t>.</t>
        </is>
      </c>
      <c r="N393" t="inlineStr">
        <is>
          <t>.</t>
        </is>
      </c>
      <c r="O393" t="inlineStr">
        <is>
          <t>.</t>
        </is>
      </c>
    </row>
    <row r="394">
      <c r="A394" t="inlineStr">
        <is>
          <t>KNG1</t>
        </is>
      </c>
      <c r="B394" t="inlineStr">
        <is>
          <t>4.17299309157391e-08</t>
        </is>
      </c>
      <c r="C394" t="inlineStr">
        <is>
          <t>kininogen 1</t>
        </is>
      </c>
      <c r="D394" t="inlineStr">
        <is>
          <t xml:space="preserve">FUNCTION: (1) Kininogens are inhibitors of thiol proteases; (2) HMW-kininogen plays an important role in blood coagulation by helping to position optimally prekallikrein and factor XI next to factor XII; (3) HMW-kininogen inhibits the thrombin- and plasmin- induced aggregation of thrombocytes; (4) the active peptide bradykinin that is released from HMW-kininogen shows a variety of physiological effects: (4A) influence in smooth muscle contraction, (4B) induction of hypotension, (4C) natriuresis and diuresis, (4D) decrease in blood glucose level, (4E) it is a mediator of inflammation and causes (4E1) increase in vascular permeability, (4E2) stimulation of nociceptors (4E3) release of other mediators of inflammation (e.g. prostaglandins), (4F) it has a cardioprotective effect (directly via bradykinin action, indirectly via endothelium-derived relaxing factor action); (5) LMW-kininogen inhibits the aggregation of thrombocytes; (6) LMW- kininogen is in contrast to HMW-kininogen not involved in blood clotting.; </t>
        </is>
      </c>
      <c r="E394" t="inlineStr">
        <is>
          <t xml:space="preserve">DISEASE: High molecular weight kininogen deficiency (HMWK deficiency) [MIM:228960]: Autosomal recessive coagulation defect. Patients with HWMK deficiency do not have a hemorrhagic tendency, but they exhibit abnormal surface-mediated activation of fibrinolysis. Note=The disease is caused by mutations affecting the gene represented in this entry.; </t>
        </is>
      </c>
      <c r="F394" t="inlineStr">
        <is>
          <t xml:space="preserve">TISSUE SPECIFICITY: Secreted in plasma. T-kinin is detected in malignant ovarian, colon and breast carcinomas, but not in benign tumors. {ECO:0000269|PubMed:2076202}.; </t>
        </is>
      </c>
      <c r="G394" t="inlineStr">
        <is>
          <t>unclassifiable (Anatomical System);prostate;cerebral cortex;liver;colon;spleen;kidney;stomach;</t>
        </is>
      </c>
      <c r="H394" t="inlineStr">
        <is>
          <t>dorsal root ganglion;fetal liver;superior cervical ganglion;liver;fetal lung;kidney;trigeminal ganglion;skeletal muscle;</t>
        </is>
      </c>
      <c r="I394">
        <f>HYPERLINK("https://omim.org/entry/228960", "228960")</f>
        <v/>
      </c>
      <c r="J394" t="inlineStr">
        <is>
          <t>.</t>
        </is>
      </c>
      <c r="K394" t="inlineStr">
        <is>
          <t>.</t>
        </is>
      </c>
      <c r="L394" t="inlineStr">
        <is>
          <t>.</t>
        </is>
      </c>
      <c r="M394" t="inlineStr">
        <is>
          <t>.</t>
        </is>
      </c>
      <c r="N394" t="inlineStr">
        <is>
          <t>.</t>
        </is>
      </c>
      <c r="O394" t="inlineStr">
        <is>
          <t>.</t>
        </is>
      </c>
    </row>
    <row r="395">
      <c r="A395" t="inlineStr">
        <is>
          <t>KRT13</t>
        </is>
      </c>
      <c r="B395" t="inlineStr">
        <is>
          <t>0.00166754074952747</t>
        </is>
      </c>
      <c r="C395" t="inlineStr">
        <is>
          <t>keratin 13</t>
        </is>
      </c>
      <c r="D395" t="inlineStr">
        <is>
          <t>.</t>
        </is>
      </c>
      <c r="E395" t="inlineStr">
        <is>
          <t xml:space="preserve">DISEASE: White sponge nevus 2 (WSN2) [MIM:615785]: A rare disorder characterized by the presence of soft, white, and spongy plaques in the oral mucosa. The characteristic histopathologic features are epithelial thickening, parakeratosis, and vacuolization of the suprabasal layer of oral epithelial keratinocytes. Less frequently the mucous membranes of the nose, esophagus, genitalia and rectum are involved. {ECO:0000269|PubMed:10561721, ECO:0000269|PubMed:11379896, ECO:0000269|PubMed:14600690, ECO:0000269|PubMed:7493031}. Note=The disease is caused by mutations affecting the gene represented in this entry.; </t>
        </is>
      </c>
      <c r="F395" t="inlineStr">
        <is>
          <t xml:space="preserve">TISSUE SPECIFICITY: Expressed in some epidermal sweat gland ducts (at protein level) and in exocervix, esophagus and placenta. {ECO:0000269|PubMed:2483837}.; </t>
        </is>
      </c>
      <c r="G395" t="inlineStr">
        <is>
          <t>colon;skin;uterus;prostate;optic nerve;whole body;oesophagus;endometrium;synovium;larynx;thyroid;testis;brain;bladder;unclassifiable (Anatomical System);heart;tongue;oral cavity;urinary;skeletal muscle;breast;pancreas;lung;epididymis;nasopharynx;placenta;visual apparatus;hypopharynx;head and neck;cervix;mammary gland;stomach;</t>
        </is>
      </c>
      <c r="H395" t="inlineStr">
        <is>
          <t>trachea;tongue;tonsil;</t>
        </is>
      </c>
      <c r="I395">
        <f>HYPERLINK("https://omim.org/entry/615785", "615785")</f>
        <v/>
      </c>
      <c r="J395" t="inlineStr">
        <is>
          <t>.</t>
        </is>
      </c>
      <c r="K395" t="inlineStr">
        <is>
          <t>.</t>
        </is>
      </c>
      <c r="L395" t="inlineStr">
        <is>
          <t>.</t>
        </is>
      </c>
      <c r="M395" t="inlineStr">
        <is>
          <t>.</t>
        </is>
      </c>
      <c r="N395" t="inlineStr">
        <is>
          <t>.</t>
        </is>
      </c>
      <c r="O395" t="inlineStr">
        <is>
          <t>.</t>
        </is>
      </c>
    </row>
    <row r="396">
      <c r="A396" t="inlineStr">
        <is>
          <t>KRT2</t>
        </is>
      </c>
      <c r="B396" t="inlineStr">
        <is>
          <t>0.0673499186894365</t>
        </is>
      </c>
      <c r="C396" t="inlineStr">
        <is>
          <t>keratin 2</t>
        </is>
      </c>
      <c r="D396" t="inlineStr">
        <is>
          <t xml:space="preserve">FUNCTION: Probably contributes to terminal cornification. Associated with keratinocyte activation, proliferation and keratinization. {ECO:0000269|PubMed:12598329, ECO:0000269|PubMed:1380918}.; </t>
        </is>
      </c>
      <c r="E396" t="inlineStr">
        <is>
          <t xml:space="preserve">DISEASE: Ichthyosis bullosa of Siemens (IBS) [MIM:146800]: A rare autosomal dominant skin disorder displaying a type of epidermolytic hyperkeratosis characterized by generalized erythema and extensive blistering from birth. Large, dark gray hyperkeratoses are observed in later weeks. The skin of IBS patients is unusually fragile and has a tendency to shed the outer layers of the epidermis, producing localized denuded areas (molting effect). IBS usually improves with age so that in most middle-aged patients the hyperkeratosis and keratotic lichenification is limited to the flexural folds of the major joints. {ECO:0000269|PubMed:10084318, ECO:0000269|PubMed:10233323, ECO:0000269|PubMed:10564334, ECO:0000269|PubMed:10620137, ECO:0000269|PubMed:10688369, ECO:0000269|PubMed:11167982, ECO:0000269|PubMed:11531804, ECO:0000269|PubMed:15949009, ECO:0000269|PubMed:7521371, ECO:0000269|PubMed:7524919, ECO:0000269|PubMed:8077693, ECO:0000269|PubMed:9036938, ECO:0000269|PubMed:9204966, ECO:0000269|PubMed:9804344, ECO:0000269|PubMed:9833038}. Note=The disease is caused by mutations affecting the gene represented in this entry.; </t>
        </is>
      </c>
      <c r="F396" t="inlineStr">
        <is>
          <t xml:space="preserve">TISSUE SPECIFICITY: Expressed in the upper spinous and granular suprabasal layers of normal adult epidermal tissues from most body sites including thigh, breast nipple, foot sole, penile shaft and axilla. Not present in foreskin, squamous metaplasias and carcinomas. Expression in hypertrophic and keloid scars begins in the deepest suprabasal layer. Weakly expressed in normal gingiva and tongue, however expression is induced in benign keratoses of lingual mucosa and in mild-to-moderate oral dysplasia with orthokeratinization. {ECO:0000269|PubMed:10233306, ECO:0000269|PubMed:12598329, ECO:0000269|PubMed:1380918}.; </t>
        </is>
      </c>
      <c r="G396" t="inlineStr">
        <is>
          <t>unclassifiable (Anatomical System);skin;</t>
        </is>
      </c>
      <c r="H396" t="inlineStr">
        <is>
          <t>dorsal root ganglion;superior cervical ganglion;appendix;ciliary ganglion;pons;atrioventricular node;trigeminal ganglion;skin;</t>
        </is>
      </c>
      <c r="I396">
        <f>HYPERLINK("https://omim.org/entry/146800", "146800")</f>
        <v/>
      </c>
      <c r="J396" t="inlineStr">
        <is>
          <t>.</t>
        </is>
      </c>
      <c r="K396" t="inlineStr">
        <is>
          <t>.</t>
        </is>
      </c>
      <c r="L396" t="inlineStr">
        <is>
          <t>.</t>
        </is>
      </c>
      <c r="M396" t="inlineStr">
        <is>
          <t>.</t>
        </is>
      </c>
      <c r="N396" t="inlineStr">
        <is>
          <t>.</t>
        </is>
      </c>
      <c r="O396" t="inlineStr">
        <is>
          <t>.</t>
        </is>
      </c>
    </row>
    <row r="397">
      <c r="A397" t="inlineStr">
        <is>
          <t>KRTAP10-1</t>
        </is>
      </c>
      <c r="B397" t="inlineStr">
        <is>
          <t>0.106027011173101</t>
        </is>
      </c>
      <c r="C397" t="inlineStr">
        <is>
          <t>keratin associated protein 10-1</t>
        </is>
      </c>
      <c r="D397" t="inlineStr">
        <is>
          <t xml:space="preserve">FUNCTION: In the hair cortex, hair keratin intermediate filaments are embedded in an interfilamentous matrix, consisting of hair keratin-associated proteins (KRTAP), which are essential for the formation of a rigid and resistant hair shaft through their extensive disulfide bond cross-linking with abundant cysteine residues of hair keratins. The matrix proteins include the high- sulfur and high-glycine-tyrosine keratins.; </t>
        </is>
      </c>
      <c r="E397" t="inlineStr">
        <is>
          <t>.</t>
        </is>
      </c>
      <c r="F397" t="inlineStr">
        <is>
          <t xml:space="preserve">TISSUE SPECIFICITY: Restricted to a narrow region of the hair fiber cuticle, lying approximately 20 cell layers above the apex of the dermal papilla of the hair root; not detected in any other tissues. {ECO:0000269|PubMed:14962103, ECO:0000269|PubMed:15028290}.; </t>
        </is>
      </c>
      <c r="G397" t="inlineStr">
        <is>
          <t>.</t>
        </is>
      </c>
      <c r="H397" t="inlineStr">
        <is>
          <t>.</t>
        </is>
      </c>
      <c r="I397" t="inlineStr">
        <is>
          <t>.</t>
        </is>
      </c>
      <c r="J397" t="inlineStr">
        <is>
          <t>.</t>
        </is>
      </c>
      <c r="K397" t="inlineStr">
        <is>
          <t>.</t>
        </is>
      </c>
      <c r="L397" t="inlineStr">
        <is>
          <t>.</t>
        </is>
      </c>
      <c r="M397" t="inlineStr">
        <is>
          <t>.</t>
        </is>
      </c>
      <c r="N397" t="inlineStr">
        <is>
          <t>.</t>
        </is>
      </c>
      <c r="O397" t="inlineStr">
        <is>
          <t>.</t>
        </is>
      </c>
    </row>
    <row r="398">
      <c r="A398" t="inlineStr">
        <is>
          <t>KRTAP10-9</t>
        </is>
      </c>
      <c r="B398" t="inlineStr">
        <is>
          <t>0.44279392690144</t>
        </is>
      </c>
      <c r="C398" t="inlineStr">
        <is>
          <t>keratin associated protein 10-9</t>
        </is>
      </c>
      <c r="D398" t="inlineStr">
        <is>
          <t xml:space="preserve">FUNCTION: In the hair cortex, hair keratin intermediate filaments are embedded in an interfilamentous matrix, consisting of hair keratin-associated proteins (KRTAP), which are essential for the formation of a rigid and resistant hair shaft through their extensive disulfide bond cross-linking with abundant cysteine residues of hair keratins. The matrix proteins include the high- sulfur and high-glycine-tyrosine keratins.; </t>
        </is>
      </c>
      <c r="E398" t="inlineStr">
        <is>
          <t>.</t>
        </is>
      </c>
      <c r="F398" t="inlineStr">
        <is>
          <t xml:space="preserve">TISSUE SPECIFICITY: Restricted to a narrow region of the hair fiber cuticle, lying approximately 20 cell layers above the apex of the dermal papilla of the hair root; not detected in any other tissues. {ECO:0000269|PubMed:14962103, ECO:0000269|PubMed:15028290}.; </t>
        </is>
      </c>
      <c r="G398" t="inlineStr">
        <is>
          <t>.</t>
        </is>
      </c>
      <c r="H398" t="inlineStr">
        <is>
          <t>.</t>
        </is>
      </c>
      <c r="I398" t="inlineStr">
        <is>
          <t>.</t>
        </is>
      </c>
      <c r="J398" t="inlineStr">
        <is>
          <t>.</t>
        </is>
      </c>
      <c r="K398" t="inlineStr">
        <is>
          <t>.</t>
        </is>
      </c>
      <c r="L398" t="inlineStr">
        <is>
          <t>.</t>
        </is>
      </c>
      <c r="M398" t="inlineStr">
        <is>
          <t>.</t>
        </is>
      </c>
      <c r="N398" t="inlineStr">
        <is>
          <t>.</t>
        </is>
      </c>
      <c r="O398" t="inlineStr">
        <is>
          <t>.</t>
        </is>
      </c>
    </row>
    <row r="399">
      <c r="A399" t="inlineStr">
        <is>
          <t>KRTAP19-3</t>
        </is>
      </c>
      <c r="B399" t="inlineStr">
        <is>
          <t>0.00440584340588175</t>
        </is>
      </c>
      <c r="C399" t="inlineStr">
        <is>
          <t>keratin associated protein 19-3</t>
        </is>
      </c>
      <c r="D399" t="inlineStr">
        <is>
          <t xml:space="preserve">FUNCTION: In the hair cortex, hair keratin intermediate filaments are embedded in an interfilamentous matrix, consisting of hair keratin-associated proteins (KRTAP), which are essential for the formation of a rigid and resistant hair shaft through their extensive disulfide bond cross-linking with abundant cysteine residues of hair keratins. The matrix proteins include the high- sulfur and high-glycine-tyrosine keratins.; </t>
        </is>
      </c>
      <c r="E399" t="inlineStr">
        <is>
          <t>.</t>
        </is>
      </c>
      <c r="F399" t="inlineStr">
        <is>
          <t>.</t>
        </is>
      </c>
      <c r="G399" t="inlineStr">
        <is>
          <t>uterus;heart;skin;</t>
        </is>
      </c>
      <c r="H399" t="inlineStr">
        <is>
          <t>.</t>
        </is>
      </c>
      <c r="I399" t="inlineStr">
        <is>
          <t>.</t>
        </is>
      </c>
      <c r="J399" t="inlineStr">
        <is>
          <t>.</t>
        </is>
      </c>
      <c r="K399" t="inlineStr">
        <is>
          <t>.</t>
        </is>
      </c>
      <c r="L399" t="inlineStr">
        <is>
          <t>.</t>
        </is>
      </c>
      <c r="M399" t="inlineStr">
        <is>
          <t>.</t>
        </is>
      </c>
      <c r="N399" t="inlineStr">
        <is>
          <t>.</t>
        </is>
      </c>
      <c r="O399" t="inlineStr">
        <is>
          <t>.</t>
        </is>
      </c>
    </row>
    <row r="400">
      <c r="A400" t="inlineStr">
        <is>
          <t>KRTAP9-4</t>
        </is>
      </c>
      <c r="B400" t="inlineStr">
        <is>
          <t>0.000785606510373498</t>
        </is>
      </c>
      <c r="C400" t="inlineStr">
        <is>
          <t>keratin associated protein 9-4</t>
        </is>
      </c>
      <c r="D400" t="inlineStr">
        <is>
          <t xml:space="preserve">FUNCTION: In the hair cortex, hair keratin intermediate filaments are embedded in an interfilamentous matrix, consisting of hair keratin-associated proteins (KRTAP), which are essential for the formation of a rigid and resistant hair shaft through their extensive disulfide bond cross-linking with abundant cysteine residues of hair keratins. The matrix proteins include the high- sulfur and high-glycine-tyrosine keratins.; </t>
        </is>
      </c>
      <c r="E400" t="inlineStr">
        <is>
          <t>.</t>
        </is>
      </c>
      <c r="F400" t="inlineStr">
        <is>
          <t>.</t>
        </is>
      </c>
      <c r="G400" t="inlineStr">
        <is>
          <t>uterus;heart;skin;</t>
        </is>
      </c>
      <c r="H400" t="inlineStr">
        <is>
          <t>dorsal root ganglion;superior cervical ganglion;ciliary ganglion;atrioventricular node;</t>
        </is>
      </c>
      <c r="I400" t="inlineStr">
        <is>
          <t>.</t>
        </is>
      </c>
      <c r="J400" t="inlineStr">
        <is>
          <t>.</t>
        </is>
      </c>
      <c r="K400" t="inlineStr">
        <is>
          <t>.</t>
        </is>
      </c>
      <c r="L400" t="inlineStr">
        <is>
          <t>.</t>
        </is>
      </c>
      <c r="M400" t="inlineStr">
        <is>
          <t>.</t>
        </is>
      </c>
      <c r="N400" t="inlineStr">
        <is>
          <t>.</t>
        </is>
      </c>
      <c r="O400" t="inlineStr">
        <is>
          <t>.</t>
        </is>
      </c>
    </row>
    <row r="401">
      <c r="A401" t="inlineStr">
        <is>
          <t>KSR1</t>
        </is>
      </c>
      <c r="B401" t="inlineStr">
        <is>
          <t>0.609182270949014</t>
        </is>
      </c>
      <c r="C401" t="inlineStr">
        <is>
          <t>kinase suppressor of ras 1</t>
        </is>
      </c>
      <c r="D401" t="inlineStr">
        <is>
          <t xml:space="preserve">FUNCTION: Location-regulated scaffolding protein connecting MEK to RAF. Promotes MEK and RAF phosphorylation and activity through assembly of an activated signaling complex. By itself, it has no demonstrated kinase activity.; </t>
        </is>
      </c>
      <c r="E401" t="inlineStr">
        <is>
          <t>.</t>
        </is>
      </c>
      <c r="F401" t="inlineStr">
        <is>
          <t>.</t>
        </is>
      </c>
      <c r="G401" t="inlineStr">
        <is>
          <t>unclassifiable (Anatomical System);medulla oblongata;heart;ovary;colon;parathyroid;skin;retina;uterus;lung;frontal lobe;endometrium;placenta;amnion;hypopharynx;testis;cervix;head and neck;kidney;brain;</t>
        </is>
      </c>
      <c r="H401" t="inlineStr">
        <is>
          <t>superior cervical ganglion;ciliary ganglion;atrioventricular node;trigeminal ganglion;skeletal muscle;</t>
        </is>
      </c>
      <c r="I401" t="inlineStr">
        <is>
          <t>.</t>
        </is>
      </c>
      <c r="J401" t="inlineStr">
        <is>
          <t>.</t>
        </is>
      </c>
      <c r="K401" t="inlineStr">
        <is>
          <t>.</t>
        </is>
      </c>
      <c r="L401" t="inlineStr">
        <is>
          <t>.</t>
        </is>
      </c>
      <c r="M401" t="inlineStr">
        <is>
          <t>.</t>
        </is>
      </c>
      <c r="N401" t="inlineStr">
        <is>
          <t>.</t>
        </is>
      </c>
      <c r="O401" t="inlineStr">
        <is>
          <t>.</t>
        </is>
      </c>
    </row>
    <row r="402">
      <c r="A402" t="inlineStr">
        <is>
          <t>LAMA4</t>
        </is>
      </c>
      <c r="B402" t="inlineStr">
        <is>
          <t>9.75012432919925e-09</t>
        </is>
      </c>
      <c r="C402" t="inlineStr">
        <is>
          <t>laminin subunit alpha 4</t>
        </is>
      </c>
      <c r="D402" t="inlineStr">
        <is>
          <t xml:space="preserve">FUNCTION: Binding to cells via a high affinity receptor, laminin is thought to mediate the attachment, migration and organization of cells into tissues during embryonic development by interacting with other extracellular matrix components.; </t>
        </is>
      </c>
      <c r="E402" t="inlineStr">
        <is>
          <t xml:space="preserve">DISEASE: Cardiomyopathy, dilated 1JJ (CMD1JJ) [MIM:615235]: A disorder characterized by ventricular dilation and impaired systolic function, resulting in congestive heart failure and arrhythmia. Patients are at risk of premature death. {ECO:0000269|PubMed:17646580}. Note=The disease is caused by mutations affecting the gene represented in this entry.; </t>
        </is>
      </c>
      <c r="F402" t="inlineStr">
        <is>
          <t xml:space="preserve">TISSUE SPECIFICITY: In adult, strong expression in heart, lung, ovary small and large intestines, placenta, liver; weak or no expression in skeletal muscle, kidney, pancreas, testis, prostate, brain. High expression in fetal lung and kidney. Expression in fetal and newborn tissues is observed in certain mesenchymal cells in tissues such as smooth muscle and dermis.; </t>
        </is>
      </c>
      <c r="G402" t="inlineStr">
        <is>
          <t>myocardium;smooth muscle;ovary;colon;parathyroid;fovea centralis;choroid;vein;skin;retina;bone marrow;uterus;prostate;optic nerve;whole body;frontal lobe;cerebral cortex;endometrium;larynx;bone;thyroid;iris;testis;brain;pineal gland;unclassifiable (Anatomical System);cartilage;heart;tongue;spinal cord;urinary;lens;skeletal muscle;breast;pancreas;lung;cornea;placenta;macula lutea;visual apparatus;liver;spleen;head and neck;kidney;mammary gland;stomach;aorta;</t>
        </is>
      </c>
      <c r="H402" t="inlineStr">
        <is>
          <t>uterus;dorsal root ganglion;subthalamic nucleus;superior cervical ganglion;globus pallidus;appendix;ciliary ganglion;pons;atrioventricular node;trigeminal ganglion;skeletal muscle;</t>
        </is>
      </c>
      <c r="I402">
        <f>HYPERLINK("https://omim.org/entry/615235", "615235")</f>
        <v/>
      </c>
      <c r="J402" t="inlineStr">
        <is>
          <t>.</t>
        </is>
      </c>
      <c r="K402" t="inlineStr">
        <is>
          <t>.</t>
        </is>
      </c>
      <c r="L402" t="inlineStr">
        <is>
          <t>.</t>
        </is>
      </c>
      <c r="M402" t="inlineStr">
        <is>
          <t>.</t>
        </is>
      </c>
      <c r="N402" t="inlineStr">
        <is>
          <t>.</t>
        </is>
      </c>
      <c r="O402" t="inlineStr">
        <is>
          <t>.</t>
        </is>
      </c>
    </row>
    <row r="403">
      <c r="A403" t="inlineStr">
        <is>
          <t>LAMA5</t>
        </is>
      </c>
      <c r="B403" t="inlineStr">
        <is>
          <t>0.943037981027839</t>
        </is>
      </c>
      <c r="C403" t="inlineStr">
        <is>
          <t>laminin subunit alpha 5</t>
        </is>
      </c>
      <c r="D403" t="inlineStr">
        <is>
          <t xml:space="preserve">FUNCTION: Binding to cells via a high affinity receptor, laminin is thought to mediate the attachment, migration and organization of cells into tissues during embryonic development by interacting with other extracellular matrix components.; </t>
        </is>
      </c>
      <c r="E403" t="inlineStr">
        <is>
          <t>.</t>
        </is>
      </c>
      <c r="F403" t="inlineStr">
        <is>
          <t xml:space="preserve">TISSUE SPECIFICITY: Expressed in heart, lung, kidney, skeletal muscle, pancreas, retina and placenta. Little or no expression in brain and liver.; </t>
        </is>
      </c>
      <c r="G403" t="inlineStr">
        <is>
          <t>ovary;adrenal medulla;colon;parathyroid;skin;uterus;prostate;whole body;frontal lobe;oesophagus;endometrium;larynx;thyroid;testis;dura mater;germinal center;spinal ganglion;brain;bladder;gall bladder;unclassifiable (Anatomical System);meninges;cartilage;heart;islets of Langerhans;urinary;blood;lens;breast;pancreas;pia mater;lung;epididymis;placenta;visual apparatus;liver;spleen;head and neck;cervix;kidney;stomach;</t>
        </is>
      </c>
      <c r="H403" t="inlineStr">
        <is>
          <t>.</t>
        </is>
      </c>
      <c r="I403" t="inlineStr">
        <is>
          <t>.</t>
        </is>
      </c>
      <c r="J403" t="inlineStr">
        <is>
          <t>.</t>
        </is>
      </c>
      <c r="K403" t="inlineStr">
        <is>
          <t>.</t>
        </is>
      </c>
      <c r="L403" t="inlineStr">
        <is>
          <t>.</t>
        </is>
      </c>
      <c r="M403" t="inlineStr">
        <is>
          <t>.</t>
        </is>
      </c>
      <c r="N403" t="inlineStr">
        <is>
          <t>.</t>
        </is>
      </c>
      <c r="O403" t="inlineStr">
        <is>
          <t>.</t>
        </is>
      </c>
    </row>
    <row r="404">
      <c r="A404" t="inlineStr">
        <is>
          <t>LAMB4</t>
        </is>
      </c>
      <c r="B404" t="inlineStr">
        <is>
          <t>3.21022487204354e-30</t>
        </is>
      </c>
      <c r="C404" t="inlineStr">
        <is>
          <t>laminin subunit beta 4</t>
        </is>
      </c>
      <c r="D404" t="inlineStr">
        <is>
          <t xml:space="preserve">FUNCTION: Binding to cells via a high affinity receptor, laminin is thought to mediate the attachment, migration and organization of cells into tissues during embryonic development by interacting with other extracellular matrix components.; </t>
        </is>
      </c>
      <c r="E404" t="inlineStr">
        <is>
          <t>.</t>
        </is>
      </c>
      <c r="F404" t="inlineStr">
        <is>
          <t>.</t>
        </is>
      </c>
      <c r="G404" t="inlineStr">
        <is>
          <t>unclassifiable (Anatomical System);uterus;heart;skin;</t>
        </is>
      </c>
      <c r="H404" t="inlineStr">
        <is>
          <t>dorsal root ganglion;superior cervical ganglion;ciliary ganglion;atrioventricular node;skin;</t>
        </is>
      </c>
      <c r="I404" t="inlineStr">
        <is>
          <t>.</t>
        </is>
      </c>
      <c r="J404" t="inlineStr">
        <is>
          <t>.</t>
        </is>
      </c>
      <c r="K404" t="inlineStr">
        <is>
          <t>.</t>
        </is>
      </c>
      <c r="L404" t="inlineStr">
        <is>
          <t>.</t>
        </is>
      </c>
      <c r="M404" t="inlineStr">
        <is>
          <t>.</t>
        </is>
      </c>
      <c r="N404" t="inlineStr">
        <is>
          <t>.</t>
        </is>
      </c>
      <c r="O404" t="inlineStr">
        <is>
          <t>.</t>
        </is>
      </c>
    </row>
    <row r="405">
      <c r="A405" t="inlineStr">
        <is>
          <t>LATS1</t>
        </is>
      </c>
      <c r="B405" t="inlineStr">
        <is>
          <t>0.999926526245065</t>
        </is>
      </c>
      <c r="C405" t="inlineStr">
        <is>
          <t>large tumor suppressor kinase 1</t>
        </is>
      </c>
      <c r="D405" t="inlineStr">
        <is>
          <t xml:space="preserve">FUNCTION: Negative regulator of YAP1 in the Hippo signaling pathway that plays a pivotal role in organ size control and tumor suppression by restricting proliferation and promoting apoptosis. The core of this pathway is composed of a kinase cascade wherein STK3/MST2 and STK4/MST1, in complex with its regulatory protein SAV1, phosphorylates and activates LATS1/2 in complex with its regulatory protein MOB1, which in turn phosphorylates and inactivates YAP1 oncoprotein and WWTR1/TAZ. Phosphorylation of YAP1 by LATS1 inhibits its translocation into the nucleus to regulate cellular genes important for cell proliferation, cell death, and cell migration. Acts as a tumor suppressor which plays a critical role in maintenance of ploidy through its actions in both mitotic progression and the G1 tetraploidy checkpoint. Negatively regulates G2/M transition by down-regulating CDK1 kinase activity. Involved in the control of p53 expression. Affects cytokinesis by regulating actin polymerization through negative modulation of LIMK1. May also play a role in endocrine function. {ECO:0000269|PubMed:10518011, ECO:0000269|PubMed:10831611, ECO:0000269|PubMed:15122335, ECO:0000269|PubMed:15220930, ECO:0000269|PubMed:18158288, ECO:0000269|PubMed:19927127}.; </t>
        </is>
      </c>
      <c r="E405" t="inlineStr">
        <is>
          <t>.</t>
        </is>
      </c>
      <c r="F405" t="inlineStr">
        <is>
          <t xml:space="preserve">TISSUE SPECIFICITY: Expressed in all adult tissues examined except for lung and kidney. {ECO:0000269|PubMed:10518011}.; </t>
        </is>
      </c>
      <c r="G405" t="inlineStr">
        <is>
          <t>unclassifiable (Anatomical System);tongue;colon;skeletal muscle;breast;prostate;optic nerve;lung;frontal lobe;endometrium;adrenal gland;larynx;thyroid;placenta;liver;head and neck;amniotic fluid;germinal center;mammary gland;</t>
        </is>
      </c>
      <c r="H405" t="inlineStr">
        <is>
          <t>dorsal root ganglion;superior cervical ganglion;ciliary ganglion;atrioventricular node;pons;trigeminal ganglion;skeletal muscle;</t>
        </is>
      </c>
      <c r="I405" t="inlineStr">
        <is>
          <t>.</t>
        </is>
      </c>
      <c r="J405" t="inlineStr">
        <is>
          <t>.</t>
        </is>
      </c>
      <c r="K405" t="inlineStr">
        <is>
          <t>.</t>
        </is>
      </c>
      <c r="L405" t="inlineStr">
        <is>
          <t>.</t>
        </is>
      </c>
      <c r="M405" t="inlineStr">
        <is>
          <t>.</t>
        </is>
      </c>
      <c r="N405" t="inlineStr">
        <is>
          <t>.</t>
        </is>
      </c>
      <c r="O405" t="inlineStr">
        <is>
          <t>.</t>
        </is>
      </c>
    </row>
    <row r="406">
      <c r="A406" t="inlineStr">
        <is>
          <t>LCA5</t>
        </is>
      </c>
      <c r="B406" t="inlineStr">
        <is>
          <t>0.00428217416197877</t>
        </is>
      </c>
      <c r="C406" t="inlineStr">
        <is>
          <t>Leber congenital amaurosis 5</t>
        </is>
      </c>
      <c r="D406" t="inlineStr">
        <is>
          <t xml:space="preserve">FUNCTION: Might be involved in minus end-directed microtubule transport.; </t>
        </is>
      </c>
      <c r="E406" t="inlineStr">
        <is>
          <t xml:space="preserve">DISEASE: Leber congenital amaurosis 5 (LCA5) [MIM:604537]: A severe dystrophy of the retina, typically becoming evident in the first years of life. Visual function is usually poor and often accompanied by nystagmus, sluggish or near-absent pupillary responses, photophobia, high hyperopia and keratoconus. {ECO:0000269|PubMed:17546029, ECO:0000269|PubMed:18000884, ECO:0000269|PubMed:18334959}. Note=The disease is caused by mutations affecting the gene represented in this entry.; </t>
        </is>
      </c>
      <c r="F406" t="inlineStr">
        <is>
          <t>.</t>
        </is>
      </c>
      <c r="G406" t="inlineStr">
        <is>
          <t>.</t>
        </is>
      </c>
      <c r="H406" t="inlineStr">
        <is>
          <t>.</t>
        </is>
      </c>
      <c r="I406">
        <f>HYPERLINK("https://omim.org/entry/604537", "604537")</f>
        <v/>
      </c>
      <c r="J406" t="inlineStr">
        <is>
          <t>.</t>
        </is>
      </c>
      <c r="K406" t="inlineStr">
        <is>
          <t>.</t>
        </is>
      </c>
      <c r="L406" t="inlineStr">
        <is>
          <t>.</t>
        </is>
      </c>
      <c r="M406" t="inlineStr">
        <is>
          <t>.</t>
        </is>
      </c>
      <c r="N406" t="inlineStr">
        <is>
          <t>.</t>
        </is>
      </c>
      <c r="O406" t="inlineStr">
        <is>
          <t>.</t>
        </is>
      </c>
    </row>
    <row r="407">
      <c r="A407" t="inlineStr">
        <is>
          <t>LETM2</t>
        </is>
      </c>
      <c r="B407" t="inlineStr">
        <is>
          <t>1.34235674967667e-10</t>
        </is>
      </c>
      <c r="C407" t="inlineStr">
        <is>
          <t>leucine zipper and EF-hand containing transmembrane protein 2</t>
        </is>
      </c>
      <c r="D407" t="inlineStr">
        <is>
          <t>.</t>
        </is>
      </c>
      <c r="E407" t="inlineStr">
        <is>
          <t>.</t>
        </is>
      </c>
      <c r="F407" t="inlineStr">
        <is>
          <t>.</t>
        </is>
      </c>
      <c r="G407" t="inlineStr">
        <is>
          <t>unclassifiable (Anatomical System);heart;cartilage;choroid;skin;bone marrow;uterus;whole body;lung;frontal lobe;liver;testis;kidney;brain;stomach;</t>
        </is>
      </c>
      <c r="H407" t="inlineStr">
        <is>
          <t>superior cervical ganglion;testis - interstitial;testis;globus pallidus;ciliary ganglion;atrioventricular node;trigeminal ganglion;skeletal muscle;</t>
        </is>
      </c>
      <c r="I407" t="inlineStr">
        <is>
          <t>.</t>
        </is>
      </c>
      <c r="J407" t="inlineStr">
        <is>
          <t>.</t>
        </is>
      </c>
      <c r="K407" t="inlineStr">
        <is>
          <t>.</t>
        </is>
      </c>
      <c r="L407" t="inlineStr">
        <is>
          <t>.</t>
        </is>
      </c>
      <c r="M407" t="inlineStr">
        <is>
          <t>.</t>
        </is>
      </c>
      <c r="N407" t="inlineStr">
        <is>
          <t>.</t>
        </is>
      </c>
      <c r="O407" t="inlineStr">
        <is>
          <t>.</t>
        </is>
      </c>
    </row>
    <row r="408">
      <c r="A408" t="inlineStr">
        <is>
          <t>LILRA2</t>
        </is>
      </c>
      <c r="B408" t="inlineStr">
        <is>
          <t>6.88539478620464e-12</t>
        </is>
      </c>
      <c r="C408" t="inlineStr">
        <is>
          <t>leukocyte immunoglobulin like receptor A2</t>
        </is>
      </c>
      <c r="D408" t="inlineStr">
        <is>
          <t xml:space="preserve">FUNCTION: Does not bind class I MHC antigens. {ECO:0000269|PubMed:19230061}.; </t>
        </is>
      </c>
      <c r="E408" t="inlineStr">
        <is>
          <t>.</t>
        </is>
      </c>
      <c r="F408" t="inlineStr">
        <is>
          <t xml:space="preserve">TISSUE SPECIFICITY: Expression levels are very low or not detectable on monocytes, T-cells, B-cells, dendritic cells and natural killer (NK) cells. {ECO:0000269|PubMed:9548455}.; </t>
        </is>
      </c>
      <c r="G408" t="inlineStr">
        <is>
          <t>unclassifiable (Anatomical System);testis;blood;kidney;brain;bone marrow;</t>
        </is>
      </c>
      <c r="H408" t="inlineStr">
        <is>
          <t>superior cervical ganglion;subthalamic nucleus;ciliary ganglion;whole blood;bone marrow;</t>
        </is>
      </c>
      <c r="I408" t="inlineStr">
        <is>
          <t>.</t>
        </is>
      </c>
      <c r="J408" t="inlineStr">
        <is>
          <t>.</t>
        </is>
      </c>
      <c r="K408" t="inlineStr">
        <is>
          <t>.</t>
        </is>
      </c>
      <c r="L408" t="inlineStr">
        <is>
          <t>.</t>
        </is>
      </c>
      <c r="M408" t="inlineStr">
        <is>
          <t>.</t>
        </is>
      </c>
      <c r="N408" t="inlineStr">
        <is>
          <t>.</t>
        </is>
      </c>
      <c r="O408" t="inlineStr">
        <is>
          <t>.</t>
        </is>
      </c>
    </row>
    <row r="409">
      <c r="A409" t="inlineStr">
        <is>
          <t>LILRB3</t>
        </is>
      </c>
      <c r="B409" t="inlineStr">
        <is>
          <t>0.0277606853655411</t>
        </is>
      </c>
      <c r="C409" t="inlineStr">
        <is>
          <t>leukocyte immunoglobulin like receptor B3</t>
        </is>
      </c>
      <c r="D409" t="inlineStr">
        <is>
          <t xml:space="preserve">FUNCTION: May act as receptor for class I MHC antigens. Becomes activated upon coligation of LILRB3 and immune receptors, such as FCGR2B and the B-cell receptor. Down-regulates antigen-induced B- cell activation by recruiting phosphatases to its immunoreceptor tyrosine-based inhibitor motifs (ITIM). {ECO:0000250|UniProtKB:P97484}.; </t>
        </is>
      </c>
      <c r="E409" t="inlineStr">
        <is>
          <t>.</t>
        </is>
      </c>
      <c r="F409" t="inlineStr">
        <is>
          <t xml:space="preserve">TISSUE SPECIFICITY: Detected in monocytes and B-cells. {ECO:0000269|PubMed:9548455}.; </t>
        </is>
      </c>
      <c r="G409" t="inlineStr">
        <is>
          <t>unclassifiable (Anatomical System);lung;tongue;urinary;liver;colon;blood;head and neck;kidney;stomach;bone marrow;</t>
        </is>
      </c>
      <c r="H409" t="inlineStr">
        <is>
          <t>whole blood;</t>
        </is>
      </c>
      <c r="I409" t="inlineStr">
        <is>
          <t>.</t>
        </is>
      </c>
      <c r="J409" t="inlineStr">
        <is>
          <t>.</t>
        </is>
      </c>
      <c r="K409" t="inlineStr">
        <is>
          <t>.</t>
        </is>
      </c>
      <c r="L409" t="inlineStr">
        <is>
          <t>.</t>
        </is>
      </c>
      <c r="M409" t="inlineStr">
        <is>
          <t>.</t>
        </is>
      </c>
      <c r="N409" t="inlineStr">
        <is>
          <t>.</t>
        </is>
      </c>
      <c r="O409" t="inlineStr">
        <is>
          <t>.</t>
        </is>
      </c>
    </row>
    <row r="410">
      <c r="A410" t="inlineStr">
        <is>
          <t>LIN9</t>
        </is>
      </c>
      <c r="B410" t="inlineStr">
        <is>
          <t>0.999926500458297</t>
        </is>
      </c>
      <c r="C410" t="inlineStr">
        <is>
          <t>lin-9 DREAM MuvB core complex component</t>
        </is>
      </c>
      <c r="D410" t="inlineStr">
        <is>
          <t xml:space="preserve">FUNCTION: Acts as a tumor suppressor. Inhibits DNA synthesis. Its ability to inhibit oncogenic transformation is mediated through its association with RB1. Plays a role in the expression of genes required for the G1/S transition. {ECO:0000269|PubMed:15538385, ECO:0000269|PubMed:16730350}.; </t>
        </is>
      </c>
      <c r="E410" t="inlineStr">
        <is>
          <t>.</t>
        </is>
      </c>
      <c r="F410" t="inlineStr">
        <is>
          <t xml:space="preserve">TISSUE SPECIFICITY: Expressed in thymus and testis. {ECO:0000269|PubMed:15538385}.; </t>
        </is>
      </c>
      <c r="G410" t="inlineStr">
        <is>
          <t>ovary;salivary gland;intestine;colon;skin;uterus;prostate;endometrium;testis;germinal center;bladder;brain;unclassifiable (Anatomical System);lymph node;heart;pharynx;blood;breast;lung;cornea;placenta;visual apparatus;liver;kidney;mammary gland;stomach;thymus;</t>
        </is>
      </c>
      <c r="H410" t="inlineStr">
        <is>
          <t>superior cervical ganglion;subthalamic nucleus;globus pallidus;ciliary ganglion;atrioventricular node;trigeminal ganglion;skeletal muscle;</t>
        </is>
      </c>
      <c r="I410" t="inlineStr">
        <is>
          <t>.</t>
        </is>
      </c>
      <c r="J410" t="inlineStr">
        <is>
          <t>.</t>
        </is>
      </c>
      <c r="K410" t="inlineStr">
        <is>
          <t>.</t>
        </is>
      </c>
      <c r="L410" t="inlineStr">
        <is>
          <t>.</t>
        </is>
      </c>
      <c r="M410" t="inlineStr">
        <is>
          <t>.</t>
        </is>
      </c>
      <c r="N410" t="inlineStr">
        <is>
          <t>.</t>
        </is>
      </c>
      <c r="O410" t="inlineStr">
        <is>
          <t>.</t>
        </is>
      </c>
    </row>
    <row r="411">
      <c r="A411" t="inlineStr">
        <is>
          <t>LMTK2</t>
        </is>
      </c>
      <c r="B411" t="inlineStr">
        <is>
          <t>0.994402282503334</t>
        </is>
      </c>
      <c r="C411" t="inlineStr">
        <is>
          <t>lemur tyrosine kinase 2</t>
        </is>
      </c>
      <c r="D411" t="inlineStr">
        <is>
          <t xml:space="preserve">FUNCTION: Phosphorylates PPP1C, phosphorylase b and CFTR.; </t>
        </is>
      </c>
      <c r="E411" t="inlineStr">
        <is>
          <t>.</t>
        </is>
      </c>
      <c r="F411" t="inlineStr">
        <is>
          <t xml:space="preserve">TISSUE SPECIFICITY: Mainly expressed in skeletal muscle, and weakly in brain and pancreas. {ECO:0000269|PubMed:12393858}.; </t>
        </is>
      </c>
      <c r="G411" t="inlineStr">
        <is>
          <t>unclassifiable (Anatomical System);amygdala;ovary;islets of Langerhans;colon;parathyroid;blood;skeletal muscle;bone marrow;breast;pancreas;prostate;lung;frontal lobe;thyroid;placenta;pituitary gland;testis;germinal center;kidney;brain;stomach;</t>
        </is>
      </c>
      <c r="H411" t="inlineStr">
        <is>
          <t>superior cervical ganglion;trigeminal ganglion;skeletal muscle;</t>
        </is>
      </c>
      <c r="I411" t="inlineStr">
        <is>
          <t>.</t>
        </is>
      </c>
      <c r="J411" t="inlineStr">
        <is>
          <t>.</t>
        </is>
      </c>
      <c r="K411" t="inlineStr">
        <is>
          <t>.</t>
        </is>
      </c>
      <c r="L411" t="inlineStr">
        <is>
          <t>.</t>
        </is>
      </c>
      <c r="M411" t="inlineStr">
        <is>
          <t>.</t>
        </is>
      </c>
      <c r="N411" t="inlineStr">
        <is>
          <t>.</t>
        </is>
      </c>
      <c r="O411" t="inlineStr">
        <is>
          <t>.</t>
        </is>
      </c>
    </row>
    <row r="412">
      <c r="A412" t="inlineStr">
        <is>
          <t>LPIN2</t>
        </is>
      </c>
      <c r="B412" t="inlineStr">
        <is>
          <t>0.673512974845848</t>
        </is>
      </c>
      <c r="C412" t="inlineStr">
        <is>
          <t>lipin 2</t>
        </is>
      </c>
      <c r="D412" t="inlineStr">
        <is>
          <t xml:space="preserve">FUNCTION: Plays important roles in controlling the metabolism of fatty acids at differents levels. Acts as a magnesium-dependent phosphatidate phosphatase enzyme which catalyzes the conversion of phosphatidic acid to diacylglycerol during triglyceride, phosphatidylcholine and phosphatidylethanolamine biosynthesis in the reticulum endoplasmic membrane. Acts also as a nuclear transcriptional coactivator for PPARGC1A to modulate lipid metabolism (By similarity). {ECO:0000250}.; </t>
        </is>
      </c>
      <c r="E412" t="inlineStr">
        <is>
          <t xml:space="preserve">DISEASE: Majeed syndrome (MAJEEDS) [MIM:609628]: An autosomal recessive syndrome characterized by chronic recurrent multifocal osteomyelitis that is of early onset with a lifelong course, congenital dyserythropoietic anemia that presents as hypochromic, microcytic anemia during the first year of life and ranges from mild to transfusion-dependent, and transient inflammatory dermatosis, often manifesting as Sweet syndrome (neutrophilic skin infiltration). {ECO:0000269|PubMed:15994876}. Note=The disease is caused by mutations affecting the gene represented in this entry.; </t>
        </is>
      </c>
      <c r="F412" t="inlineStr">
        <is>
          <t xml:space="preserve">TISSUE SPECIFICITY: Expressed in liver, lung, kidney, placenta, spleen, thymus, lymph node, prostate, testes, small intestine, and colon. {ECO:0000269|PubMed:15994876, ECO:0000269|PubMed:17158099}.; </t>
        </is>
      </c>
      <c r="G412" t="inlineStr">
        <is>
          <t>smooth muscle;ovary;salivary gland;sympathetic chain;intestine;colon;parathyroid;fovea centralis;choroid;skin;retina;bone marrow;uterus;prostate;optic nerve;whole body;frontal lobe;cerebral cortex;endometrium;bone;thyroid;pituitary gland;testis;germinal center;spinal ganglion;brain;pineal gland;bladder;unclassifiable (Anatomical System);trophoblast;cartilage;heart;islets of Langerhans;pharynx;blood;lens;skeletal muscle;lung;nasopharynx;placenta;macula lutea;visual apparatus;liver;spleen;kidney;stomach;aorta;</t>
        </is>
      </c>
      <c r="H412" t="inlineStr">
        <is>
          <t>superior cervical ganglion;fetal liver;</t>
        </is>
      </c>
      <c r="I412">
        <f>HYPERLINK("https://omim.org/entry/609628", "609628")</f>
        <v/>
      </c>
      <c r="J412" t="inlineStr">
        <is>
          <t>.</t>
        </is>
      </c>
      <c r="K412" t="inlineStr">
        <is>
          <t>.</t>
        </is>
      </c>
      <c r="L412" t="inlineStr">
        <is>
          <t>.</t>
        </is>
      </c>
      <c r="M412" t="inlineStr">
        <is>
          <t>.</t>
        </is>
      </c>
      <c r="N412" t="inlineStr">
        <is>
          <t>.</t>
        </is>
      </c>
      <c r="O412" t="inlineStr">
        <is>
          <t>.</t>
        </is>
      </c>
    </row>
    <row r="413">
      <c r="A413" t="inlineStr">
        <is>
          <t>LRRC7</t>
        </is>
      </c>
      <c r="B413" t="inlineStr">
        <is>
          <t>0.999998533487013</t>
        </is>
      </c>
      <c r="C413" t="inlineStr">
        <is>
          <t>leucine rich repeat containing 7</t>
        </is>
      </c>
      <c r="D413" t="inlineStr">
        <is>
          <t xml:space="preserve">FUNCTION: Required for normal synaptic spine architecture and function. Necessary for DISC1 and GRM5 localization to postsynaptic density complexes and for both N-methyl D-aspartate receptor-dependent and metabotropic glutamate receptor-dependent long term depression. {ECO:0000269|PubMed:11729199}.; </t>
        </is>
      </c>
      <c r="E413" t="inlineStr">
        <is>
          <t>.</t>
        </is>
      </c>
      <c r="F413" t="inlineStr">
        <is>
          <t xml:space="preserve">TISSUE SPECIFICITY: Brain-specific. Isoform 3 is ubiquitously expressed. {ECO:0000269|PubMed:12525888}.; </t>
        </is>
      </c>
      <c r="G413" t="inlineStr">
        <is>
          <t>unclassifiable (Anatomical System);whole body;lung;frontal lobe;testis;brain;skeletal muscle;</t>
        </is>
      </c>
      <c r="H413" t="inlineStr">
        <is>
          <t>dorsal root ganglion;ciliary ganglion;atrioventricular node;trigeminal ganglion;skeletal muscle;</t>
        </is>
      </c>
      <c r="I413" t="inlineStr">
        <is>
          <t>.</t>
        </is>
      </c>
      <c r="J413" t="inlineStr">
        <is>
          <t>.</t>
        </is>
      </c>
      <c r="K413" t="inlineStr">
        <is>
          <t>.</t>
        </is>
      </c>
      <c r="L413" t="inlineStr">
        <is>
          <t>.</t>
        </is>
      </c>
      <c r="M413" t="inlineStr">
        <is>
          <t>.</t>
        </is>
      </c>
      <c r="N413" t="inlineStr">
        <is>
          <t>.</t>
        </is>
      </c>
      <c r="O413" t="inlineStr">
        <is>
          <t>.</t>
        </is>
      </c>
    </row>
    <row r="414">
      <c r="A414" t="inlineStr">
        <is>
          <t>LRRTM1</t>
        </is>
      </c>
      <c r="B414" t="inlineStr">
        <is>
          <t>0.951075572630596</t>
        </is>
      </c>
      <c r="C414" t="inlineStr">
        <is>
          <t>leucine rich repeat transmembrane neuronal 1</t>
        </is>
      </c>
      <c r="D414" t="inlineStr">
        <is>
          <t xml:space="preserve">FUNCTION: Exhibits strong synaptogenic activity, restricted to excitatory presynaptic differentiation, acting at both pre- and postsynaptic level. {ECO:0000250}.; </t>
        </is>
      </c>
      <c r="E414" t="inlineStr">
        <is>
          <t>.</t>
        </is>
      </c>
      <c r="F414" t="inlineStr">
        <is>
          <t xml:space="preserve">TISSUE SPECIFICITY: Predominantly expressed in forebrain regions including thalamus and cerebral cortex. {ECO:0000269|PubMed:12676565, ECO:0000269|PubMed:17667961}.; </t>
        </is>
      </c>
      <c r="G414" t="inlineStr">
        <is>
          <t>unclassifiable (Anatomical System);lung;frontal lobe;islets of Langerhans;hypothalamus;hippocampus;kidney;brain;</t>
        </is>
      </c>
      <c r="H414" t="inlineStr">
        <is>
          <t>dorsal root ganglion;superior cervical ganglion;globus pallidus;</t>
        </is>
      </c>
      <c r="I414" t="inlineStr">
        <is>
          <t>.</t>
        </is>
      </c>
      <c r="J414" t="inlineStr">
        <is>
          <t>.</t>
        </is>
      </c>
      <c r="K414" t="inlineStr">
        <is>
          <t>.</t>
        </is>
      </c>
      <c r="L414" t="inlineStr">
        <is>
          <t>.</t>
        </is>
      </c>
      <c r="M414" t="inlineStr">
        <is>
          <t>.</t>
        </is>
      </c>
      <c r="N414" t="inlineStr">
        <is>
          <t>.</t>
        </is>
      </c>
      <c r="O414" t="inlineStr">
        <is>
          <t>.</t>
        </is>
      </c>
    </row>
    <row r="415">
      <c r="A415" t="inlineStr">
        <is>
          <t>LRSAM1</t>
        </is>
      </c>
      <c r="B415" t="inlineStr">
        <is>
          <t>2.92723845718058e-05</t>
        </is>
      </c>
      <c r="C415" t="inlineStr">
        <is>
          <t>leucine rich repeat and sterile alpha motif containing 1</t>
        </is>
      </c>
      <c r="D415" t="inlineStr">
        <is>
          <t xml:space="preserve">FUNCTION: E3 ubiquitin-protein ligase that mediates monoubiquitination of TSG101 at multiple sites, leading to inactivate the ability of TSG101 to sort endocytic (EGF receptors) and exocytic (HIV-1 viral proteins) cargos (PubMed:15256501). Bacterial recognition protein that defends the cytoplasm from invasive pathogens (PubMed:23245322). Localizes to several intracellular bacterial pathogens and generates the bacteria- associated ubiquitin signal leading to autophagy-mediated intracellular bacteria degradation (xenophagy) (PubMed:23245322, PubMed:25484098). {ECO:0000269|PubMed:15256501, ECO:0000269|PubMed:23245322, ECO:0000269|PubMed:25484098}.; </t>
        </is>
      </c>
      <c r="E415" t="inlineStr">
        <is>
          <t xml:space="preserve">DISEASE: Charcot-Marie-Tooth disease 2P (CMT2P) [MIM:614436]: An axonal form of Charcot-Marie-Tooth disease, a disorder of the peripheral nervous system, characterized by progressive weakness and atrophy, initially of the peroneal muscles and later of the distal muscles of the arms. Charcot-Marie-Tooth disease is classified in two main groups on the basis of electrophysiologic properties and histopathology: primary peripheral demyelinating neuropathies (designated CMT1 when they are dominantly inherited) and primary peripheral axonal neuropathies (CMT2). Neuropathies of the CMT2 group are characterized by signs of axonal degeneration in the absence of obvious myelin alterations, normal or slightly reduced nerve conduction velocities, and progressive distal muscle weakness and atrophy. Nerve conduction velocities are normal or slightly reduced. {ECO:0000269|PubMed:20865121, ECO:0000269|PubMed:22012984}. Note=The disease is caused by mutations affecting the gene represented in this entry.; </t>
        </is>
      </c>
      <c r="F415" t="inlineStr">
        <is>
          <t xml:space="preserve">TISSUE SPECIFICITY: Highly expressed in adult spinal cord motoneurons as well as in fetal spinal cord and muscle tissue. {ECO:0000269|PubMed:22012984}.; </t>
        </is>
      </c>
      <c r="G415" t="inlineStr">
        <is>
          <t>ovary;fovea centralis;choroid;skin;retina;bone marrow;uterus;optic nerve;whole body;endometrium;thyroid;bone;pituitary gland;testis;germinal center;brain;unclassifiable (Anatomical System);lymph node;cartilage;heart;islets of Langerhans;blood;lens;skeletal muscle;lung;placenta;macula lutea;visual apparatus;hippocampus;liver;hypopharynx;spleen;head and neck;cervix;kidney;stomach;cerebellum;thymus;</t>
        </is>
      </c>
      <c r="H415" t="inlineStr">
        <is>
          <t>superior cervical ganglion;pons;atrioventricular node;trigeminal ganglion;</t>
        </is>
      </c>
      <c r="I415">
        <f>HYPERLINK("https://omim.org/entry/614436", "614436")</f>
        <v/>
      </c>
      <c r="J415" t="inlineStr">
        <is>
          <t>.</t>
        </is>
      </c>
      <c r="K415" t="inlineStr">
        <is>
          <t>.</t>
        </is>
      </c>
      <c r="L415" t="inlineStr">
        <is>
          <t>.</t>
        </is>
      </c>
      <c r="M415" t="inlineStr">
        <is>
          <t>.</t>
        </is>
      </c>
      <c r="N415" t="inlineStr">
        <is>
          <t>.</t>
        </is>
      </c>
      <c r="O415" t="inlineStr">
        <is>
          <t>.</t>
        </is>
      </c>
    </row>
    <row r="416">
      <c r="A416" t="inlineStr">
        <is>
          <t>LTN1</t>
        </is>
      </c>
      <c r="B416" t="inlineStr">
        <is>
          <t>0.832714009845553</t>
        </is>
      </c>
      <c r="C416" t="inlineStr">
        <is>
          <t>listerin E3 ubiquitin protein ligase 1</t>
        </is>
      </c>
      <c r="D416" t="inlineStr">
        <is>
          <t xml:space="preserve">FUNCTION: E3 ubiquitin-protein ligase component of the ribosome quality control complex (RQC), a ribosome-associated complex that mediates ubiquitination and extraction of incompletely synthesized nascent chains for proteasomal degradation (PubMed:23685075, PubMed:25132172, PubMed:25578875). Ubiquitination leads to VCP/p97 recruitment for extraction and degradation of the incomplete translation product (By similarity). {ECO:0000250|UniProtKB:Q04781, ECO:0000269|PubMed:23685075, ECO:0000269|PubMed:25132172, ECO:0000269|PubMed:25578875}.; </t>
        </is>
      </c>
      <c r="E416" t="inlineStr">
        <is>
          <t>.</t>
        </is>
      </c>
      <c r="F416" t="inlineStr">
        <is>
          <t>.</t>
        </is>
      </c>
      <c r="G416" t="inlineStr">
        <is>
          <t>medulla oblongata;umbilical cord;ovary;colon;parathyroid;skin;retina;bone marrow;uterus;prostate;whole body;oesophagus;endometrium;larynx;testis;dura mater;germinal center;brain;artery;unclassifiable (Anatomical System);meninges;lymph node;heart;blood;skeletal muscle;greater omentum;pancreas;pia mater;lung;adrenal gland;nasopharynx;placenta;visual apparatus;liver;head and neck;cervix;mammary gland;aorta;stomach;</t>
        </is>
      </c>
      <c r="H416" t="inlineStr">
        <is>
          <t>amygdala;superior cervical ganglion;occipital lobe;prefrontal cortex;</t>
        </is>
      </c>
      <c r="I416" t="inlineStr">
        <is>
          <t>.</t>
        </is>
      </c>
      <c r="J416" t="inlineStr">
        <is>
          <t>.</t>
        </is>
      </c>
      <c r="K416" t="inlineStr">
        <is>
          <t>.</t>
        </is>
      </c>
      <c r="L416" t="inlineStr">
        <is>
          <t>.</t>
        </is>
      </c>
      <c r="M416" t="inlineStr">
        <is>
          <t>.</t>
        </is>
      </c>
      <c r="N416" t="inlineStr">
        <is>
          <t>.</t>
        </is>
      </c>
      <c r="O416" t="inlineStr">
        <is>
          <t>.</t>
        </is>
      </c>
    </row>
    <row r="417">
      <c r="A417" t="inlineStr">
        <is>
          <t>LYSMD3</t>
        </is>
      </c>
      <c r="B417" t="inlineStr">
        <is>
          <t>0.771815089892096</t>
        </is>
      </c>
      <c r="C417" t="inlineStr">
        <is>
          <t>LysM domain containing 3</t>
        </is>
      </c>
      <c r="D417" t="inlineStr">
        <is>
          <t>.</t>
        </is>
      </c>
      <c r="E417" t="inlineStr">
        <is>
          <t>.</t>
        </is>
      </c>
      <c r="F417" t="inlineStr">
        <is>
          <t>.</t>
        </is>
      </c>
      <c r="G417" t="inlineStr">
        <is>
          <t>colon;parathyroid;fovea centralis;choroid;skin;retina;bone marrow;uterus;prostate;optic nerve;whole body;endometrium;thyroid;pituitary gland;testis;germinal center;brain;pineal gland;unclassifiable (Anatomical System);lymph node;heart;tongue;islets of Langerhans;adrenal cortex;blood;lens;skeletal muscle;lung;adrenal gland;placenta;macula lutea;liver;head and neck;kidney;mammary gland;stomach;aorta;</t>
        </is>
      </c>
      <c r="H417" t="inlineStr">
        <is>
          <t>superior cervical ganglion;atrioventricular node;trigeminal ganglion;</t>
        </is>
      </c>
      <c r="I417" t="inlineStr">
        <is>
          <t>.</t>
        </is>
      </c>
      <c r="J417" t="inlineStr">
        <is>
          <t>.</t>
        </is>
      </c>
      <c r="K417" t="inlineStr">
        <is>
          <t>.</t>
        </is>
      </c>
      <c r="L417" t="inlineStr">
        <is>
          <t>.</t>
        </is>
      </c>
      <c r="M417" t="inlineStr">
        <is>
          <t>.</t>
        </is>
      </c>
      <c r="N417" t="inlineStr">
        <is>
          <t>.</t>
        </is>
      </c>
      <c r="O417" t="inlineStr">
        <is>
          <t>.</t>
        </is>
      </c>
    </row>
    <row r="418">
      <c r="A418" t="inlineStr">
        <is>
          <t>LYST</t>
        </is>
      </c>
      <c r="B418" t="inlineStr">
        <is>
          <t>0.999978422869173</t>
        </is>
      </c>
      <c r="C418" t="inlineStr">
        <is>
          <t>lysosomal trafficking regulator</t>
        </is>
      </c>
      <c r="D418" t="inlineStr">
        <is>
          <t xml:space="preserve">FUNCTION: May be required for sorting endosomal resident proteins into late multivesicular endosomes by a mechanism involving microtubules.; </t>
        </is>
      </c>
      <c r="E418" t="inlineStr">
        <is>
          <t>.</t>
        </is>
      </c>
      <c r="F418" t="inlineStr">
        <is>
          <t xml:space="preserve">TISSUE SPECIFICITY: Abundantly expressed in adult and fetal thymus, peripheral blood leukocytes, bone marrow and several regions of the adult brain.; </t>
        </is>
      </c>
      <c r="G418" t="inlineStr">
        <is>
          <t>.</t>
        </is>
      </c>
      <c r="H418" t="inlineStr">
        <is>
          <t>.</t>
        </is>
      </c>
      <c r="I418" t="inlineStr">
        <is>
          <t>.</t>
        </is>
      </c>
      <c r="J418" t="inlineStr">
        <is>
          <t>.</t>
        </is>
      </c>
      <c r="K418" t="inlineStr">
        <is>
          <t>.</t>
        </is>
      </c>
      <c r="L418" t="inlineStr">
        <is>
          <t>.</t>
        </is>
      </c>
      <c r="M418" t="inlineStr">
        <is>
          <t>.</t>
        </is>
      </c>
      <c r="N418" t="inlineStr">
        <is>
          <t>.</t>
        </is>
      </c>
      <c r="O418" t="inlineStr">
        <is>
          <t>.</t>
        </is>
      </c>
    </row>
    <row r="419">
      <c r="A419" t="inlineStr">
        <is>
          <t>LZTR1</t>
        </is>
      </c>
      <c r="B419" t="inlineStr">
        <is>
          <t>3.38323005538586e-52</t>
        </is>
      </c>
      <c r="C419" t="inlineStr">
        <is>
          <t>leucine-zipper-like transcription regulator 1</t>
        </is>
      </c>
      <c r="D419" t="inlineStr">
        <is>
          <t xml:space="preserve">FUNCTION: Probable transcriptional regulator that may play a crucial role in embryogenesis.; </t>
        </is>
      </c>
      <c r="E419" t="inlineStr">
        <is>
          <t xml:space="preserve">DISEASE: Schwannomatosis 2 (SWNTS2) [MIM:615670]: A cancer predisposition syndrome in which patients develop multiple non- vestibular schwannomas, benign neoplasms that arise from Schwann cells of the cranial, peripheral, and autonomic nerves. {ECO:0000269|PubMed:24362817}. Note=Disease susceptibility is associated with variations affecting the gene represented in this entry.; </t>
        </is>
      </c>
      <c r="F419" t="inlineStr">
        <is>
          <t>.</t>
        </is>
      </c>
      <c r="G419" t="inlineStr">
        <is>
          <t>ovary;colon;choroid;vein;skin;retina;uterus;prostate;optic nerve;bone;thyroid;iris;testis;germinal center;brain;unclassifiable (Anatomical System);amygdala;trophoblast;cartilage;heart;tongue;islets of Langerhans;adrenal cortex;blood;breast;pancreas;lung;placenta;visual apparatus;liver;alveolus;head and neck;cervix;kidney;mammary gland;stomach;thymus;</t>
        </is>
      </c>
      <c r="H419" t="inlineStr">
        <is>
          <t>dorsal root ganglion;superior cervical ganglion;ciliary ganglion;atrioventricular node;trigeminal ganglion;</t>
        </is>
      </c>
      <c r="I419">
        <f>HYPERLINK("https://omim.org/entry/615670", "615670")</f>
        <v/>
      </c>
      <c r="J419" t="inlineStr">
        <is>
          <t>.</t>
        </is>
      </c>
      <c r="K419" t="inlineStr">
        <is>
          <t>.</t>
        </is>
      </c>
      <c r="L419" t="inlineStr">
        <is>
          <t>.</t>
        </is>
      </c>
      <c r="M419" t="inlineStr">
        <is>
          <t>.</t>
        </is>
      </c>
      <c r="N419" t="inlineStr">
        <is>
          <t>.</t>
        </is>
      </c>
      <c r="O419" t="inlineStr">
        <is>
          <t>.</t>
        </is>
      </c>
    </row>
    <row r="420">
      <c r="A420" t="inlineStr">
        <is>
          <t>MALT1</t>
        </is>
      </c>
      <c r="B420" t="inlineStr">
        <is>
          <t>0.994144577983795</t>
        </is>
      </c>
      <c r="C420" t="inlineStr">
        <is>
          <t>MALT1 paracaspase</t>
        </is>
      </c>
      <c r="D420" t="inlineStr">
        <is>
          <t xml:space="preserve">FUNCTION: Enhances BCL10-induced activation of NF-kappa-B. Involved in nuclear export of BCL10. Binds to TRAF6, inducing TRAF6 oligomerization and activation of its ligase activity. Has ubiquitin ligase activity. MALT1-dependent BCL10 cleavage plays an important role in T-cell antigen receptor-induced integrin adhesion. {ECO:0000269|PubMed:11262391, ECO:0000269|PubMed:14695475, ECO:0000269|PubMed:18264101}.; </t>
        </is>
      </c>
      <c r="E420" t="inlineStr">
        <is>
          <t xml:space="preserve">DISEASE: Note=A chromosomal aberration involving MALT1 is recurrent in low-grade mucosa-associated lymphoid tissue (MALT lymphoma). Translocation t(11;18)(q21;q21) with BIRC2. This translocation is found in approximately 50% of cytogenetically abnormal low-grade MALT lymphoma. {ECO:0000269|PubMed:10339464, ECO:0000269|PubMed:10523859, ECO:0000269|PubMed:10702396, ECO:0000269|PubMed:11090634}.; </t>
        </is>
      </c>
      <c r="F420" t="inlineStr">
        <is>
          <t xml:space="preserve">TISSUE SPECIFICITY: Highly expressed in peripheral blood mononuclear cells. Detected at lower levels in bone marrow, thymus and lymph node, and at very low levels in colon and lung.; </t>
        </is>
      </c>
      <c r="G420" t="inlineStr">
        <is>
          <t>unclassifiable (Anatomical System);cartilage;islets of Langerhans;urinary;colon;skeletal muscle;breast;bile duct;prostate;pancreas;lung;endometrium;bone;placenta;visual apparatus;liver;testis;spleen;germinal center;kidney;mammary gland;artery;aorta;peripheral nerve;</t>
        </is>
      </c>
      <c r="H420" t="inlineStr">
        <is>
          <t>dorsal root ganglion;superior cervical ganglion;testis - interstitial;testis - seminiferous tubule;testis;tumor;white blood cells;ciliary ganglion;atrioventricular node;tonsil;skeletal muscle;</t>
        </is>
      </c>
      <c r="I420" t="inlineStr">
        <is>
          <t>.</t>
        </is>
      </c>
      <c r="J420" t="inlineStr">
        <is>
          <t>.</t>
        </is>
      </c>
      <c r="K420" t="inlineStr">
        <is>
          <t>.</t>
        </is>
      </c>
      <c r="L420" t="inlineStr">
        <is>
          <t>.</t>
        </is>
      </c>
      <c r="M420" t="inlineStr">
        <is>
          <t>.</t>
        </is>
      </c>
      <c r="N420" t="inlineStr">
        <is>
          <t>.</t>
        </is>
      </c>
      <c r="O420" t="inlineStr">
        <is>
          <t>.</t>
        </is>
      </c>
    </row>
    <row r="421">
      <c r="A421" t="inlineStr">
        <is>
          <t>MAN2B1</t>
        </is>
      </c>
      <c r="B421" t="inlineStr">
        <is>
          <t>1.56344757218082e-12</t>
        </is>
      </c>
      <c r="C421" t="inlineStr">
        <is>
          <t>mannosidase alpha class 2B member 1</t>
        </is>
      </c>
      <c r="D421" t="inlineStr">
        <is>
          <t xml:space="preserve">FUNCTION: Necessary for the catabolism of N-linked carbohydrates released during glycoprotein turnover. Cleaves all known types of alpha-mannosidic linkages.; </t>
        </is>
      </c>
      <c r="E421" t="inlineStr">
        <is>
          <t xml:space="preserve">DISEASE: Mannosidosis, alpha B, lysosomal (MANSA) [MIM:248500]: A lysosomal storage disease characterized by accumulation of unbranched oligosaccharide chains. This accumulation is expressed histologically as cytoplasmic vacuolation predominantly in the CNS and parenchymatous organs. Depending on the clinical findings at the age of onset, a severe infantile (type I) and a mild juvenile (type II) form of alpha-mannosidosis are recognized. There is considerable variation in the clinical expression with mental retardation, recurrent infections, impaired hearing and Hurler- like skeletal changes being the most consistent abnormalities. {ECO:0000269|PubMed:12718372, ECO:0000269|PubMed:15712269, ECO:0000269|PubMed:22161967, ECO:0000269|PubMed:9158146, ECO:0000269|PubMed:9758606, ECO:0000269|PubMed:9915946}. Note=The disease is caused by mutations affecting the gene represented in this entry.; </t>
        </is>
      </c>
      <c r="F421" t="inlineStr">
        <is>
          <t>.</t>
        </is>
      </c>
      <c r="G421" t="inlineStr">
        <is>
          <t>medulla oblongata;ovary;salivary gland;sympathetic chain;intestine;colon;fovea centralis;choroid;skin;retina;bone marrow;uterus;prostate;optic nerve;endometrium;larynx;testis;germinal center;brain;bladder;tonsil;unclassifiable (Anatomical System);lymph node;cartilage;heart;islets of Langerhans;hypothalamus;muscle;pharynx;blood;lens;breast;bile duct;pancreas;lung;adrenal gland;mesenchyma;placenta;macula lutea;visual apparatus;hippocampus;alveolus;liver;cervix;spleen;head and neck;kidney;mammary gland;stomach;</t>
        </is>
      </c>
      <c r="H421" t="inlineStr">
        <is>
          <t>superior cervical ganglion;white blood cells;whole blood;</t>
        </is>
      </c>
      <c r="I421">
        <f>HYPERLINK("https://omim.org/entry/248500", "248500")</f>
        <v/>
      </c>
      <c r="J421" t="inlineStr">
        <is>
          <t>.</t>
        </is>
      </c>
      <c r="K421" t="inlineStr">
        <is>
          <t>.</t>
        </is>
      </c>
      <c r="L421" t="inlineStr">
        <is>
          <t>.</t>
        </is>
      </c>
      <c r="M421" t="inlineStr">
        <is>
          <t>.</t>
        </is>
      </c>
      <c r="N421" t="inlineStr">
        <is>
          <t>.</t>
        </is>
      </c>
      <c r="O421" t="inlineStr">
        <is>
          <t>.</t>
        </is>
      </c>
    </row>
    <row r="422">
      <c r="A422" t="inlineStr">
        <is>
          <t>MAP4K5</t>
        </is>
      </c>
      <c r="B422" t="inlineStr">
        <is>
          <t>0.944269981947709</t>
        </is>
      </c>
      <c r="C422" t="inlineStr">
        <is>
          <t>mitogen-activated protein kinase kinase kinase kinase 5</t>
        </is>
      </c>
      <c r="D422" t="inlineStr">
        <is>
          <t xml:space="preserve">FUNCTION: May play a role in the response to environmental stress. Appears to act upstream of the JUN N-terminal pathway. {ECO:0000269|PubMed:9038372}.; </t>
        </is>
      </c>
      <c r="E422" t="inlineStr">
        <is>
          <t>.</t>
        </is>
      </c>
      <c r="F422" t="inlineStr">
        <is>
          <t xml:space="preserve">TISSUE SPECIFICITY: Ubiquitously expressed in all tissues examined, with high levels in the ovary, testis and prostate. {ECO:0000269|PubMed:9038372}.; </t>
        </is>
      </c>
      <c r="G422" t="inlineStr">
        <is>
          <t>ovary;colon;parathyroid;vein;skin;bone marrow;uterus;prostate;frontal lobe;endometrium;larynx;bone;thyroid;testis;amniotic fluid;germinal center;brain;unclassifiable (Anatomical System);heart;islets of Langerhans;blood;breast;pancreas;lung;placenta;visual apparatus;head and neck;cervix;kidney;stomach;</t>
        </is>
      </c>
      <c r="H422" t="inlineStr">
        <is>
          <t>superior cervical ganglion;trigeminal ganglion;</t>
        </is>
      </c>
      <c r="I422" t="inlineStr">
        <is>
          <t>.</t>
        </is>
      </c>
      <c r="J422" t="inlineStr">
        <is>
          <t>.</t>
        </is>
      </c>
      <c r="K422" t="inlineStr">
        <is>
          <t>.</t>
        </is>
      </c>
      <c r="L422" t="inlineStr">
        <is>
          <t>.</t>
        </is>
      </c>
      <c r="M422" t="inlineStr">
        <is>
          <t>.</t>
        </is>
      </c>
      <c r="N422" t="inlineStr">
        <is>
          <t>.</t>
        </is>
      </c>
      <c r="O422" t="inlineStr">
        <is>
          <t>.</t>
        </is>
      </c>
    </row>
    <row r="423">
      <c r="A423" t="inlineStr">
        <is>
          <t>MARCH6</t>
        </is>
      </c>
      <c r="B423" t="inlineStr">
        <is>
          <t>0.999995976388274</t>
        </is>
      </c>
      <c r="C423" t="inlineStr">
        <is>
          <t>membrane associated ring-CH-type finger 6</t>
        </is>
      </c>
      <c r="D423" t="inlineStr">
        <is>
          <t xml:space="preserve">FUNCTION: E3 ubiquitin-protein ligase that promotes ubiquitination of DIO2, leading to its degradation. E3 ubiquitin ligases accept ubiquitin from an E2 ubiquitin-conjugating enzyme in the form of a thioester and then directly transfer the ubiquitin to targeted substrates. May cooperate with UBE2G1. {ECO:0000269|PubMed:15673284, ECO:0000269|PubMed:19651899}.; </t>
        </is>
      </c>
      <c r="E423" t="inlineStr">
        <is>
          <t>.</t>
        </is>
      </c>
      <c r="F423" t="inlineStr">
        <is>
          <t xml:space="preserve">TISSUE SPECIFICITY: Present in brain (at protein level). {ECO:0000269|PubMed:15673284}.; </t>
        </is>
      </c>
      <c r="G423" t="inlineStr">
        <is>
          <t>ovary;skin;retina;bone marrow;prostate;cochlea;endometrium;thyroid;germinal center;bladder;brain;heart;cartilage;tongue;urinary;adrenal cortex;pharynx;blood;lens;skeletal muscle;breast;visual apparatus;liver;alveolus;spleen;cervix;mammary gland;salivary gland;intestine;colon;parathyroid;choroid;uterus;whole body;larynx;bone;testis;artery;unclassifiable (Anatomical System);lymph node;islets of Langerhans;pancreas;lung;cornea;adrenal gland;placenta;hippocampus;head and neck;kidney;stomach;aorta;</t>
        </is>
      </c>
      <c r="H423" t="inlineStr">
        <is>
          <t>amygdala;superior cervical ganglion;testis - seminiferous tubule;placenta;prefrontal cortex;testis;pons;parietal lobe;cingulate cortex;cerebellum;</t>
        </is>
      </c>
      <c r="I423" t="inlineStr">
        <is>
          <t>.</t>
        </is>
      </c>
      <c r="J423" t="inlineStr">
        <is>
          <t>.</t>
        </is>
      </c>
      <c r="K423" t="inlineStr">
        <is>
          <t>.</t>
        </is>
      </c>
      <c r="L423" t="inlineStr">
        <is>
          <t>.</t>
        </is>
      </c>
      <c r="M423" t="inlineStr">
        <is>
          <t>.</t>
        </is>
      </c>
      <c r="N423" t="inlineStr">
        <is>
          <t>.</t>
        </is>
      </c>
      <c r="O423" t="inlineStr">
        <is>
          <t>.</t>
        </is>
      </c>
    </row>
    <row r="424">
      <c r="A424" t="inlineStr">
        <is>
          <t>MARVELD2</t>
        </is>
      </c>
      <c r="B424" t="inlineStr">
        <is>
          <t>4.23034393772305e-11</t>
        </is>
      </c>
      <c r="C424" t="inlineStr">
        <is>
          <t>MARVEL domain containing 2</t>
        </is>
      </c>
      <c r="D424" t="inlineStr">
        <is>
          <t xml:space="preserve">FUNCTION: Plays a role in the formation of the epithelial barriers. The separation of the endolymphatic and perilymphatic spaces of the organ of Corti from one another by epithelial barriers is required for normal hearing. {ECO:0000269|PubMed:17186462}.; </t>
        </is>
      </c>
      <c r="E424" t="inlineStr">
        <is>
          <t xml:space="preserve">DISEASE: Deafness, autosomal recessive, 49 (DFNB49) [MIM:610153]: A form of non-syndromic sensorineural hearing loss. Sensorineural deafness results from damage to the neural receptors of the inner ear, the nerve pathways to the brain, or the area of the brain that receives sound information. {ECO:0000269|PubMed:17186462}. Note=The disease is caused by mutations affecting the gene represented in this entry.; </t>
        </is>
      </c>
      <c r="F424" t="inlineStr">
        <is>
          <t>.</t>
        </is>
      </c>
      <c r="G424" t="inlineStr">
        <is>
          <t>unclassifiable (Anatomical System);breast;lung;islets of Langerhans;thyroid;placenta;liver;spleen;blood;</t>
        </is>
      </c>
      <c r="H424" t="inlineStr">
        <is>
          <t>dorsal root ganglion;superior cervical ganglion;ciliary ganglion;atrioventricular node;trigeminal ganglion;skin;</t>
        </is>
      </c>
      <c r="I424">
        <f>HYPERLINK("https://omim.org/entry/610153", "610153")</f>
        <v/>
      </c>
      <c r="J424" t="inlineStr">
        <is>
          <t>.</t>
        </is>
      </c>
      <c r="K424" t="inlineStr">
        <is>
          <t>.</t>
        </is>
      </c>
      <c r="L424" t="inlineStr">
        <is>
          <t>.</t>
        </is>
      </c>
      <c r="M424" t="inlineStr">
        <is>
          <t>.</t>
        </is>
      </c>
      <c r="N424" t="inlineStr">
        <is>
          <t>.</t>
        </is>
      </c>
      <c r="O424" t="inlineStr">
        <is>
          <t>.</t>
        </is>
      </c>
    </row>
    <row r="425">
      <c r="A425" t="inlineStr">
        <is>
          <t>MBD2</t>
        </is>
      </c>
      <c r="B425" t="inlineStr">
        <is>
          <t>0.989310018452397</t>
        </is>
      </c>
      <c r="C425" t="inlineStr">
        <is>
          <t>methyl-CpG binding domain protein 2</t>
        </is>
      </c>
      <c r="D425" t="inlineStr">
        <is>
          <t xml:space="preserve">FUNCTION: Binds CpG islands in promoters where the DNA is methylated at position 5 of cytosine within CpG dinucleotides. Binds hemimethylated DNA as well. Recruits histone deacetylases and DNA methyltransferases. Acts as transcriptional repressor and plays a role in gene silencing. Functions as a scaffold protein, targeting GATAD2A and GATAD2B to chromatin to promote repression. May enhance the activation of some unmethylated cAMP-responsive promoters. {ECO:0000269|PubMed:10471499, ECO:0000269|PubMed:10947852, ECO:0000269|PubMed:12665568, ECO:0000269|PubMed:16415179, ECO:0000269|PubMed:24307175, ECO:0000269|PubMed:9774669}.; </t>
        </is>
      </c>
      <c r="E425" t="inlineStr">
        <is>
          <t>.</t>
        </is>
      </c>
      <c r="F425" t="inlineStr">
        <is>
          <t xml:space="preserve">TISSUE SPECIFICITY: Highly expressed in brain, heart, kidney, stomach, testis and placenta. {ECO:0000269|PubMed:10050851}.; </t>
        </is>
      </c>
      <c r="G425" t="inlineStr">
        <is>
          <t>smooth muscle;ovary;salivary gland;intestine;colon;fovea centralis;choroid;skin;retina;bone marrow;uterus;prostate;optic nerve;cochlea;endometrium;oesophagus;larynx;bone;thyroid;testis;germinal center;brain;bladder;unclassifiable (Anatomical System);lymph node;cartilage;heart;islets of Langerhans;hypothalamus;pharynx;blood;lens;skeletal muscle;pancreas;lung;cornea;nasopharynx;trabecular meshwork;placenta;macula lutea;visual apparatus;liver;spleen;head and neck;kidney;mammary gland;aorta;stomach;</t>
        </is>
      </c>
      <c r="H425" t="inlineStr">
        <is>
          <t>dorsal root ganglion;testis - interstitial;superior cervical ganglion;testis - seminiferous tubule;salivary gland;thyroid;testis;appendix;ciliary ganglion;atrioventricular node;trigeminal ganglion;skeletal muscle;</t>
        </is>
      </c>
      <c r="I425" t="inlineStr">
        <is>
          <t>.</t>
        </is>
      </c>
      <c r="J425" t="inlineStr">
        <is>
          <t>.</t>
        </is>
      </c>
      <c r="K425" t="inlineStr">
        <is>
          <t>.</t>
        </is>
      </c>
      <c r="L425" t="inlineStr">
        <is>
          <t>.</t>
        </is>
      </c>
      <c r="M425" t="inlineStr">
        <is>
          <t>.</t>
        </is>
      </c>
      <c r="N425" t="inlineStr">
        <is>
          <t>.</t>
        </is>
      </c>
      <c r="O425" t="inlineStr">
        <is>
          <t>.</t>
        </is>
      </c>
    </row>
    <row r="426">
      <c r="A426" t="inlineStr">
        <is>
          <t>MC1R</t>
        </is>
      </c>
      <c r="B426" t="inlineStr">
        <is>
          <t>3.24606043304287e-07</t>
        </is>
      </c>
      <c r="C426" t="inlineStr">
        <is>
          <t>melanocortin 1 receptor</t>
        </is>
      </c>
      <c r="D426" t="inlineStr">
        <is>
          <t xml:space="preserve">FUNCTION: Receptor for MSH (alpha, beta and gamma) and ACTH. The activity of this receptor is mediated by G proteins which activate adenylate cyclase.; </t>
        </is>
      </c>
      <c r="E426" t="inlineStr">
        <is>
          <t xml:space="preserve">DISEASE: Melanoma, cutaneous malignant 5 (CMM5) [MIM:613099]: A malignant neoplasm of melanocytes, arising de novo or from a pre- existing benign nevus, which occurs most often in the skin but also may involve other sites. {ECO:0000269|PubMed:17434924, ECO:0000269|PubMed:19338054}. Note=Disease susceptibility is associated with variations affecting the gene represented in this entry.; </t>
        </is>
      </c>
      <c r="F426" t="inlineStr">
        <is>
          <t xml:space="preserve">TISSUE SPECIFICITY: Melanocytes and corticoadrenal tissue.; </t>
        </is>
      </c>
      <c r="G426" t="inlineStr">
        <is>
          <t>.</t>
        </is>
      </c>
      <c r="H426" t="inlineStr">
        <is>
          <t>.</t>
        </is>
      </c>
      <c r="I426">
        <f>HYPERLINK("https://omim.org/entry/613099", "613099")</f>
        <v/>
      </c>
      <c r="J426" t="inlineStr">
        <is>
          <t>.</t>
        </is>
      </c>
      <c r="K426" t="inlineStr">
        <is>
          <t>.</t>
        </is>
      </c>
      <c r="L426" t="inlineStr">
        <is>
          <t>.</t>
        </is>
      </c>
      <c r="M426" t="inlineStr">
        <is>
          <t>.</t>
        </is>
      </c>
      <c r="N426" t="inlineStr">
        <is>
          <t>.</t>
        </is>
      </c>
      <c r="O426" t="inlineStr">
        <is>
          <t>.</t>
        </is>
      </c>
    </row>
    <row r="427">
      <c r="A427" t="inlineStr">
        <is>
          <t>MCTP1</t>
        </is>
      </c>
      <c r="B427" t="inlineStr">
        <is>
          <t>0.00988911824115707</t>
        </is>
      </c>
      <c r="C427" t="inlineStr">
        <is>
          <t>multiple C2 and transmembrane domain containing 1</t>
        </is>
      </c>
      <c r="D427" t="inlineStr">
        <is>
          <t>.</t>
        </is>
      </c>
      <c r="E427" t="inlineStr">
        <is>
          <t>.</t>
        </is>
      </c>
      <c r="F427" t="inlineStr">
        <is>
          <t>.</t>
        </is>
      </c>
      <c r="G427" t="inlineStr">
        <is>
          <t>unclassifiable (Anatomical System);prostate;ovary;heart;nasopharynx;bone;testis;blood;brain;bone marrow;</t>
        </is>
      </c>
      <c r="H427" t="inlineStr">
        <is>
          <t>superior cervical ganglion;appendix;globus pallidus;ciliary ganglion;caudate nucleus;skin;</t>
        </is>
      </c>
      <c r="I427" t="inlineStr">
        <is>
          <t>.</t>
        </is>
      </c>
      <c r="J427" t="inlineStr">
        <is>
          <t>.</t>
        </is>
      </c>
      <c r="K427" t="inlineStr">
        <is>
          <t>.</t>
        </is>
      </c>
      <c r="L427" t="inlineStr">
        <is>
          <t>.</t>
        </is>
      </c>
      <c r="M427" t="inlineStr">
        <is>
          <t>.</t>
        </is>
      </c>
      <c r="N427" t="inlineStr">
        <is>
          <t>.</t>
        </is>
      </c>
      <c r="O427" t="inlineStr">
        <is>
          <t>.</t>
        </is>
      </c>
    </row>
    <row r="428">
      <c r="A428" t="inlineStr">
        <is>
          <t>MDN1</t>
        </is>
      </c>
      <c r="B428" t="inlineStr">
        <is>
          <t>0.999999999489064</t>
        </is>
      </c>
      <c r="C428" t="inlineStr">
        <is>
          <t>midasin AAA ATPase 1</t>
        </is>
      </c>
      <c r="D428" t="inlineStr">
        <is>
          <t xml:space="preserve">FUNCTION: Nuclear chaperone required for maturation and nuclear export of pre-60S ribosome subunits. {ECO:0000250}.; </t>
        </is>
      </c>
      <c r="E428" t="inlineStr">
        <is>
          <t>.</t>
        </is>
      </c>
      <c r="F428" t="inlineStr">
        <is>
          <t>.</t>
        </is>
      </c>
      <c r="G428" t="inlineStr">
        <is>
          <t>.</t>
        </is>
      </c>
      <c r="H428" t="inlineStr">
        <is>
          <t>.</t>
        </is>
      </c>
      <c r="I428" t="inlineStr">
        <is>
          <t>.</t>
        </is>
      </c>
      <c r="J428" t="inlineStr">
        <is>
          <t>.</t>
        </is>
      </c>
      <c r="K428" t="inlineStr">
        <is>
          <t>.</t>
        </is>
      </c>
      <c r="L428" t="inlineStr">
        <is>
          <t>.</t>
        </is>
      </c>
      <c r="M428" t="inlineStr">
        <is>
          <t>.</t>
        </is>
      </c>
      <c r="N428" t="inlineStr">
        <is>
          <t>.</t>
        </is>
      </c>
      <c r="O428" t="inlineStr">
        <is>
          <t>.</t>
        </is>
      </c>
    </row>
    <row r="429">
      <c r="A429" t="inlineStr">
        <is>
          <t>MEAF6</t>
        </is>
      </c>
      <c r="B429" t="inlineStr">
        <is>
          <t>0.730388139479782</t>
        </is>
      </c>
      <c r="C429" t="inlineStr">
        <is>
          <t>MYST/Esa1 associated factor 6</t>
        </is>
      </c>
      <c r="D429" t="inlineStr">
        <is>
          <t xml:space="preserve">FUNCTION: Component of the NuA4 histone acetyltransferase complex which is involved in transcriptional activation of select genes principally by acetylation of nucleosomal histone H4 and H2A. This modification may both alter nucleosome - DNA interactions and promote interaction of the modified histones with other proteins which positively regulate transcription. Component of the HBO1 complex which has a histone H4-specific acetyltransferase activity, a reduced activity toward histone H3 and is responsible for the bulk of histone H4 acetylation in vivo. Component of the MOZ/MORF complex which has a histone H3 acetyltransferase activity. {ECO:0000269|PubMed:14966270, ECO:0000269|PubMed:16387653, ECO:0000269|PubMed:18794358}.; </t>
        </is>
      </c>
      <c r="E429" t="inlineStr">
        <is>
          <t xml:space="preserve">DISEASE: Note=A chromosomal aberration involving MEAF6 may be a cause of endometrial stromal tumors. Translocation t(1;6)(p34;p21) with PHF1. {ECO:0000269|PubMed:22761769}.; </t>
        </is>
      </c>
      <c r="F429" t="inlineStr">
        <is>
          <t>.</t>
        </is>
      </c>
      <c r="G429" t="inlineStr">
        <is>
          <t>lymphoreticular;ovary;colon;fovea centralis;choroid;skin;retina;bone marrow;uterus;prostate;optic nerve;frontal lobe;cochlea;cerebral cortex;endometrium;bone;testis;germinal center;brain;unclassifiable (Anatomical System);lymph node;cartilage;heart;islets of Langerhans;hypothalamus;blood;lens;skeletal muscle;bile duct;breast;pancreas;lung;placenta;macula lutea;visual apparatus;hippocampus;liver;spleen;head and neck;cervix;kidney;stomach;aorta;</t>
        </is>
      </c>
      <c r="H429" t="inlineStr">
        <is>
          <t>amygdala;superior cervical ganglion;testis;cingulate cortex;pituitary;</t>
        </is>
      </c>
      <c r="I429" t="inlineStr">
        <is>
          <t>.</t>
        </is>
      </c>
      <c r="J429" t="inlineStr">
        <is>
          <t>.</t>
        </is>
      </c>
      <c r="K429" t="inlineStr">
        <is>
          <t>.</t>
        </is>
      </c>
      <c r="L429" t="inlineStr">
        <is>
          <t>.</t>
        </is>
      </c>
      <c r="M429" t="inlineStr">
        <is>
          <t>.</t>
        </is>
      </c>
      <c r="N429" t="inlineStr">
        <is>
          <t>.</t>
        </is>
      </c>
      <c r="O429" t="inlineStr">
        <is>
          <t>.</t>
        </is>
      </c>
    </row>
    <row r="430">
      <c r="A430" t="inlineStr">
        <is>
          <t>MED14</t>
        </is>
      </c>
      <c r="B430" t="inlineStr">
        <is>
          <t>0.999999382308837</t>
        </is>
      </c>
      <c r="C430" t="inlineStr">
        <is>
          <t>mediator complex subunit 14</t>
        </is>
      </c>
      <c r="D430" t="inlineStr">
        <is>
          <t xml:space="preserve">FUNCTION: Component of the Mediator complex, a coactivator involved in the regulated transcription of nearly all RNA polymerase II-dependent genes. Mediator functions as a bridge to convey information from gene-specific regulatory proteins to the basal RNA polymerase II transcription machinery. Mediator is recruited to promoters by direct interactions with regulatory proteins and serves as a scaffold for the assembly of a functional preinitiation complex with RNA polymerase II and the general transcription factors. {ECO:0000269|PubMed:15340088, ECO:0000269|PubMed:15625066, ECO:0000269|PubMed:16595664}.; </t>
        </is>
      </c>
      <c r="E430" t="inlineStr">
        <is>
          <t>.</t>
        </is>
      </c>
      <c r="F430" t="inlineStr">
        <is>
          <t xml:space="preserve">TISSUE SPECIFICITY: Ubiquitous.; </t>
        </is>
      </c>
      <c r="G430" t="inlineStr">
        <is>
          <t>smooth muscle;ovary;salivary gland;intestine;colon;parathyroid;skin;retina;uterus;prostate;atrium;whole body;endometrium;oesophagus;larynx;bone;thyroid;testis;germinal center;brain;bladder;gall bladder;unclassifiable (Anatomical System);lymph node;cartilage;tongue;islets of Langerhans;adrenal cortex;pharynx;blood;skeletal muscle;breast;bile duct;pancreas;lung;cornea;epididymis;trabecular meshwork;placenta;visual apparatus;liver;cervix;spleen;head and neck;kidney;mammary gland;aorta;stomach;</t>
        </is>
      </c>
      <c r="H430" t="inlineStr">
        <is>
          <t>dorsal root ganglion;superior cervical ganglion;ciliary ganglion;atrioventricular node;trigeminal ganglion;</t>
        </is>
      </c>
      <c r="I430" t="inlineStr">
        <is>
          <t>.</t>
        </is>
      </c>
      <c r="J430" t="inlineStr">
        <is>
          <t>.</t>
        </is>
      </c>
      <c r="K430" t="inlineStr">
        <is>
          <t>.</t>
        </is>
      </c>
      <c r="L430" t="inlineStr">
        <is>
          <t>.</t>
        </is>
      </c>
      <c r="M430" t="inlineStr">
        <is>
          <t>.</t>
        </is>
      </c>
      <c r="N430" t="inlineStr">
        <is>
          <t>.</t>
        </is>
      </c>
      <c r="O430" t="inlineStr">
        <is>
          <t>.</t>
        </is>
      </c>
    </row>
    <row r="431">
      <c r="A431" t="inlineStr">
        <is>
          <t>MED16</t>
        </is>
      </c>
      <c r="B431" t="inlineStr">
        <is>
          <t>0.0187661183097687</t>
        </is>
      </c>
      <c r="C431" t="inlineStr">
        <is>
          <t>mediator complex subunit 16</t>
        </is>
      </c>
      <c r="D431" t="inlineStr">
        <is>
          <t xml:space="preserve">FUNCTION: Component of the Mediator complex, a coactivator involved in the regulated transcription of nearly all RNA polymerase II-dependent genes. Mediator functions as a bridge to convey information from gene-specific regulatory proteins to the basal RNA polymerase II transcription machinery. Mediator is recruited to promoters by direct interactions with regulatory proteins and serves as a scaffold for the assembly of a functional preinitiation complex with RNA polymerase II and the general transcription factors. {ECO:0000269|PubMed:10198638, ECO:0000269|PubMed:10235266}.; </t>
        </is>
      </c>
      <c r="E431" t="inlineStr">
        <is>
          <t>.</t>
        </is>
      </c>
      <c r="F431" t="inlineStr">
        <is>
          <t>.</t>
        </is>
      </c>
      <c r="G431" t="inlineStr">
        <is>
          <t>medulla oblongata;ovary;salivary gland;colon;parathyroid;fovea centralis;choroid;skin;retina;uterus;prostate;optic nerve;whole body;frontal lobe;bone;iris;testis;germinal center;brain;unclassifiable (Anatomical System);lymph node;heart;cartilage;islets of Langerhans;adrenal cortex;blood;lens;breast;pancreas;lung;adrenal gland;placenta;macula lutea;cervix;kidney;mammary gland;stomach;thymus;</t>
        </is>
      </c>
      <c r="H431" t="inlineStr">
        <is>
          <t>superior cervical ganglion;liver;ciliary ganglion;atrioventricular node;skeletal muscle;</t>
        </is>
      </c>
      <c r="I431" t="inlineStr">
        <is>
          <t>.</t>
        </is>
      </c>
      <c r="J431" t="inlineStr">
        <is>
          <t>.</t>
        </is>
      </c>
      <c r="K431" t="inlineStr">
        <is>
          <t>.</t>
        </is>
      </c>
      <c r="L431" t="inlineStr">
        <is>
          <t>.</t>
        </is>
      </c>
      <c r="M431" t="inlineStr">
        <is>
          <t>.</t>
        </is>
      </c>
      <c r="N431" t="inlineStr">
        <is>
          <t>.</t>
        </is>
      </c>
      <c r="O431" t="inlineStr">
        <is>
          <t>.</t>
        </is>
      </c>
    </row>
    <row r="432">
      <c r="A432" t="inlineStr">
        <is>
          <t>MEDAG</t>
        </is>
      </c>
      <c r="B432" t="inlineStr">
        <is>
          <t>0.000667054100444806</t>
        </is>
      </c>
      <c r="C432" t="inlineStr">
        <is>
          <t>mesenteric estrogen-dependent adipogenesis</t>
        </is>
      </c>
      <c r="D432" t="inlineStr">
        <is>
          <t xml:space="preserve">FUNCTION: Involved in processes that promote adipocyte differentiation, lipid accumulation, and glucose uptake in mature adipocytes. {ECO:0000250}.; </t>
        </is>
      </c>
      <c r="E432" t="inlineStr">
        <is>
          <t>.</t>
        </is>
      </c>
      <c r="F432" t="inlineStr">
        <is>
          <t xml:space="preserve">TISSUE SPECIFICITY: Highly expressed in the visceral fat depot. {ECO:0000269|PubMed:22510272}.; </t>
        </is>
      </c>
      <c r="G432" t="inlineStr">
        <is>
          <t>.</t>
        </is>
      </c>
      <c r="H432" t="inlineStr">
        <is>
          <t>.</t>
        </is>
      </c>
      <c r="I432" t="inlineStr">
        <is>
          <t>.</t>
        </is>
      </c>
      <c r="J432" t="inlineStr">
        <is>
          <t>.</t>
        </is>
      </c>
      <c r="K432" t="inlineStr">
        <is>
          <t>.</t>
        </is>
      </c>
      <c r="L432" t="inlineStr">
        <is>
          <t>.</t>
        </is>
      </c>
      <c r="M432" t="inlineStr">
        <is>
          <t>.</t>
        </is>
      </c>
      <c r="N432" t="inlineStr">
        <is>
          <t>.</t>
        </is>
      </c>
      <c r="O432" t="inlineStr">
        <is>
          <t>.</t>
        </is>
      </c>
    </row>
    <row r="433">
      <c r="A433" t="inlineStr">
        <is>
          <t>MEF2C</t>
        </is>
      </c>
      <c r="B433" t="inlineStr">
        <is>
          <t>0.00424617418418377</t>
        </is>
      </c>
      <c r="C433" t="inlineStr">
        <is>
          <t>myocyte enhancer factor 2C</t>
        </is>
      </c>
      <c r="D433" t="inlineStr">
        <is>
          <t xml:space="preserve">FUNCTION: Transcription activator which binds specifically to the MEF2 element present in the regulatory regions of many muscle- specific genes. Controls cardiac morphogenesis and myogenesis, and is also involved in vascular development. Plays an essential role in hippocampal-dependent learning and memory by suppressing the number of excitatory synapses and thus regulating basal and evoked synaptic transmission. Crucial for normal neuronal development, distribution, and electrical activity in the neocortex. Necessary for proper development of megakaryocytes and platelets and for bone marrow B-lymphopoiesis. Required for B-cell survival and proliferation in response to BCR stimulation, efficient IgG1 antibody responses to T-cell-dependent antigens and for normal induction of germinal center B-cells. May also be involved in neurogenesis and in the development of cortical architecture (By similarity). Isoform 3 and isoform 4, which lack the repressor domain, are more active than isoform 1 and isoform 2. {ECO:0000250, ECO:0000269|PubMed:11904443, ECO:0000269|PubMed:15340086, ECO:0000269|PubMed:15831463, ECO:0000269|PubMed:15834131, ECO:0000269|PubMed:9069290, ECO:0000269|PubMed:9384584}.; </t>
        </is>
      </c>
      <c r="E433" t="inlineStr">
        <is>
          <t xml:space="preserve">DISEASE: Mental retardation, autosomal dominant 20 (MRD20) [MIM:613443]: A disorder characterized by severe mental retardation, absent speech, hypotonia, poor eye contact and stereotypic movements. Dysmorphic features include high broad forehead with variable small chin, short nose with anteverted nares, large open mouth, upslanted palpebral fissures and prominent eyebrows. Some patients have seizures. {ECO:0000269|PubMed:19592390}. Note=The disease is caused by mutations affecting the gene represented in this entry.; </t>
        </is>
      </c>
      <c r="F433" t="inlineStr">
        <is>
          <t xml:space="preserve">TISSUE SPECIFICITY: Expressed in brain and skeletal muscle. {ECO:0000269|PubMed:9798649}.; </t>
        </is>
      </c>
      <c r="G433" t="inlineStr">
        <is>
          <t>myocardium;smooth muscle;ovary;salivary gland;intestine;colon;parathyroid;fovea centralis;choroid;skin;retina;uterus;prostate;optic nerve;frontal lobe;cochlea;endometrium;larynx;testis;germinal center;brain;bladder;unclassifiable (Anatomical System);amygdala;lymph node;cartilage;heart;tongue;hypothalamus;pharynx;blood;lens;skeletal muscle;breast;pancreas;lung;nasopharynx;placenta;macula lutea;visual apparatus;liver;spleen;head and neck;kidney;stomach;peripheral nerve;</t>
        </is>
      </c>
      <c r="H433" t="inlineStr">
        <is>
          <t>whole brain;amygdala;medulla oblongata;occipital lobe;temporal lobe;atrioventricular node;pons;skeletal muscle;subthalamic nucleus;fetal brain;prefrontal cortex;globus pallidus;cingulate cortex;parietal lobe;</t>
        </is>
      </c>
      <c r="I433">
        <f>HYPERLINK("https://omim.org/entry/613443", "613443")</f>
        <v/>
      </c>
      <c r="J433" t="inlineStr">
        <is>
          <t>.</t>
        </is>
      </c>
      <c r="K433" t="inlineStr">
        <is>
          <t>.</t>
        </is>
      </c>
      <c r="L433" t="inlineStr">
        <is>
          <t>.</t>
        </is>
      </c>
      <c r="M433" t="inlineStr">
        <is>
          <t>.</t>
        </is>
      </c>
      <c r="N433" t="inlineStr">
        <is>
          <t>.</t>
        </is>
      </c>
      <c r="O433" t="inlineStr">
        <is>
          <t>.</t>
        </is>
      </c>
    </row>
    <row r="434">
      <c r="A434" t="inlineStr">
        <is>
          <t>MEF2C-AS1</t>
        </is>
      </c>
      <c r="B434" t="inlineStr">
        <is>
          <t>.</t>
        </is>
      </c>
      <c r="C434" t="inlineStr">
        <is>
          <t>MEF2C antisense RNA 1</t>
        </is>
      </c>
      <c r="D434" t="inlineStr">
        <is>
          <t>.</t>
        </is>
      </c>
      <c r="E434" t="inlineStr">
        <is>
          <t>.</t>
        </is>
      </c>
      <c r="F434" t="inlineStr">
        <is>
          <t>.</t>
        </is>
      </c>
      <c r="G434" t="inlineStr">
        <is>
          <t>.</t>
        </is>
      </c>
      <c r="H434" t="inlineStr">
        <is>
          <t>.</t>
        </is>
      </c>
      <c r="I434" t="inlineStr">
        <is>
          <t>.</t>
        </is>
      </c>
      <c r="J434" t="inlineStr">
        <is>
          <t>.</t>
        </is>
      </c>
      <c r="K434" t="inlineStr">
        <is>
          <t>.</t>
        </is>
      </c>
      <c r="L434" t="inlineStr">
        <is>
          <t>.</t>
        </is>
      </c>
      <c r="M434" t="inlineStr">
        <is>
          <t>.</t>
        </is>
      </c>
      <c r="N434" t="inlineStr">
        <is>
          <t>.</t>
        </is>
      </c>
      <c r="O434" t="inlineStr">
        <is>
          <t>.</t>
        </is>
      </c>
    </row>
    <row r="435">
      <c r="A435" t="inlineStr">
        <is>
          <t>MELK</t>
        </is>
      </c>
      <c r="B435" t="inlineStr">
        <is>
          <t>1.8665175196218e-08</t>
        </is>
      </c>
      <c r="C435" t="inlineStr">
        <is>
          <t>maternal embryonic leucine zipper kinase</t>
        </is>
      </c>
      <c r="D435" t="inlineStr">
        <is>
          <t xml:space="preserve">FUNCTION: Serine/threonine-protein kinase involved in various processes such as cell cycle regulation, self-renewal of stem cells, apoptosis and splicing regulation. Has a broad substrate specificity; phosphorylates BCL2L14, CDC25B, MAP3K5/ASK1 and ZNF622. Acts as an activator of apoptosis by phosphorylating and activating MAP3K5/ASK1. Acts as a regulator of cell cycle, notably by mediating phosphorylation of CDC25B, promoting localization of CDC25B to the centrosome and the spindle poles during mitosis. Plays a key role in cell proliferation and carcinogenesis. Required for proliferation of embryonic and postnatal multipotent neural progenitors. Phosphorylates and inhibits BCL2L14, possibly leading to affect mammary carcinogenesis by mediating inhibition of the pro-apoptotic function of BCL2L14. Also involved in the inhibition of spliceosome assembly during mitosis by phosphorylating ZNF622, thereby contributing to its redirection to the nucleus. May also play a role in primitive hematopoiesis. {ECO:0000269|PubMed:11802789, ECO:0000269|PubMed:12400006, ECO:0000269|PubMed:14699119, ECO:0000269|PubMed:15908796, ECO:0000269|PubMed:16216881, ECO:0000269|PubMed:17280616}.; </t>
        </is>
      </c>
      <c r="E435" t="inlineStr">
        <is>
          <t xml:space="preserve">DISEASE: Note=Defects in MELK are associated with some cancers, such as brain or breast cancers. Expression is dramatically increased in aggressive undifferentiated tumors, correlating with poor patient outcome in breast and brain cancers, suggesting a role in tumor-initiating cells and proliferation via its function in cell proliferation regulation.; </t>
        </is>
      </c>
      <c r="F435" t="inlineStr">
        <is>
          <t xml:space="preserve">TISSUE SPECIFICITY: Expressed in placenta, kidney, thymus, testis, ovary and intestine. {ECO:0000269|PubMed:8724849}.; </t>
        </is>
      </c>
      <c r="G435" t="inlineStr">
        <is>
          <t>lymphoreticular;smooth muscle;ovary;salivary gland;intestine;colon;skin;bone marrow;uterus;prostate;whole body;endometrium;bone;testis;amniotic fluid;germinal center;spinal ganglion;brain;bladder;unclassifiable (Anatomical System);lymph node;heart;pharynx;blood;breast;lung;nasopharynx;placenta;visual apparatus;alveolus;liver;kidney;stomach;</t>
        </is>
      </c>
      <c r="H435" t="inlineStr">
        <is>
          <t>testis - interstitial;tumor;testis;trigeminal ganglion;</t>
        </is>
      </c>
      <c r="I435" t="inlineStr">
        <is>
          <t>.</t>
        </is>
      </c>
      <c r="J435" t="inlineStr">
        <is>
          <t>.</t>
        </is>
      </c>
      <c r="K435" t="inlineStr">
        <is>
          <t>.</t>
        </is>
      </c>
      <c r="L435" t="inlineStr">
        <is>
          <t>.</t>
        </is>
      </c>
      <c r="M435" t="inlineStr">
        <is>
          <t>.</t>
        </is>
      </c>
      <c r="N435" t="inlineStr">
        <is>
          <t>.</t>
        </is>
      </c>
      <c r="O435" t="inlineStr">
        <is>
          <t>.</t>
        </is>
      </c>
    </row>
    <row r="436">
      <c r="A436" t="inlineStr">
        <is>
          <t>MFGE8</t>
        </is>
      </c>
      <c r="B436" t="inlineStr">
        <is>
          <t>0.000594281860541287</t>
        </is>
      </c>
      <c r="C436" t="inlineStr">
        <is>
          <t>milk fat globule-EGF factor 8 protein</t>
        </is>
      </c>
      <c r="D436" t="inlineStr">
        <is>
          <t xml:space="preserve">FUNCTION: Plays an important role in the maintenance of intestinal epithelial homeostasis and the promotion of mucosal healing. Promotes VEGF-dependent neovascularization (By similarity). Contributes to phagocytic removal of apoptotic cells in many tissues. Specific ligand for the alpha-v/beta-3 and alpha-v/beta-5 receptors. Also binds to phosphatidylserine-enriched cell surfaces in a receptor-independent manner. Zona pellucida-binding protein which may play a role in gamete interaction. Binds specifically to rotavirus and inhibits its replication. {ECO:0000250, ECO:0000269|PubMed:19204935}.; </t>
        </is>
      </c>
      <c r="E436" t="inlineStr">
        <is>
          <t>.</t>
        </is>
      </c>
      <c r="F436" t="inlineStr">
        <is>
          <t xml:space="preserve">TISSUE SPECIFICITY: Mammary epithelial cell surfaces and aortic media. Overexpressed in several carcinomas.; </t>
        </is>
      </c>
      <c r="G436" t="inlineStr">
        <is>
          <t>myocardium;ovary;colon;parathyroid;choroid;skin;retina;bone marrow;uterus;prostate;whole body;frontal lobe;cerebral cortex;endometrium;synovium;bone;thyroid;pituitary gland;testis;amniotic fluid;pineal gland;spinal ganglion;brain;unclassifiable (Anatomical System);trophoblast;cartilage;heart;tongue;epidermis;islets of Langerhans;pineal body;urinary;adrenal cortex;blood;pancreas;lung;epididymis;placenta;visual apparatus;duodenum;liver;head and neck;spleen;kidney;mammary gland;stomach;thymus;</t>
        </is>
      </c>
      <c r="H436" t="inlineStr">
        <is>
          <t>adipose tissue;atrioventricular node;trigeminal ganglion;</t>
        </is>
      </c>
      <c r="I436" t="inlineStr">
        <is>
          <t>.</t>
        </is>
      </c>
      <c r="J436" t="inlineStr">
        <is>
          <t>.</t>
        </is>
      </c>
      <c r="K436" t="inlineStr">
        <is>
          <t>.</t>
        </is>
      </c>
      <c r="L436" t="inlineStr">
        <is>
          <t>.</t>
        </is>
      </c>
      <c r="M436" t="inlineStr">
        <is>
          <t>.</t>
        </is>
      </c>
      <c r="N436" t="inlineStr">
        <is>
          <t>.</t>
        </is>
      </c>
      <c r="O436" t="inlineStr">
        <is>
          <t>.</t>
        </is>
      </c>
    </row>
    <row r="437">
      <c r="A437" t="inlineStr">
        <is>
          <t>MFSD12</t>
        </is>
      </c>
      <c r="B437" t="inlineStr">
        <is>
          <t>1.07410212559189e-09</t>
        </is>
      </c>
      <c r="C437" t="inlineStr">
        <is>
          <t>major facilitator superfamily domain containing 12</t>
        </is>
      </c>
      <c r="D437" t="inlineStr">
        <is>
          <t>.</t>
        </is>
      </c>
      <c r="E437" t="inlineStr">
        <is>
          <t>.</t>
        </is>
      </c>
      <c r="F437" t="inlineStr">
        <is>
          <t>.</t>
        </is>
      </c>
      <c r="G437" t="inlineStr">
        <is>
          <t>ovary;salivary gland;intestine;colon;fovea centralis;choroid;skin;retina;uterus;prostate;optic nerve;endometrium;thyroid;bone;testis;brain;bladder;unclassifiable (Anatomical System);heart;islets of Langerhans;muscle;pharynx;blood;lens;breast;pancreas;lung;cornea;placenta;macula lutea;visual apparatus;liver;duodenum;cervix;kidney;mammary gland;</t>
        </is>
      </c>
      <c r="H437" t="inlineStr">
        <is>
          <t>superior cervical ganglion;testis - seminiferous tubule;atrioventricular node;skeletal muscle;</t>
        </is>
      </c>
      <c r="I437" t="inlineStr">
        <is>
          <t>.</t>
        </is>
      </c>
      <c r="J437" t="inlineStr">
        <is>
          <t>.</t>
        </is>
      </c>
      <c r="K437" t="inlineStr">
        <is>
          <t>.</t>
        </is>
      </c>
      <c r="L437" t="inlineStr">
        <is>
          <t>.</t>
        </is>
      </c>
      <c r="M437" t="inlineStr">
        <is>
          <t>.</t>
        </is>
      </c>
      <c r="N437" t="inlineStr">
        <is>
          <t>.</t>
        </is>
      </c>
      <c r="O437" t="inlineStr">
        <is>
          <t>.</t>
        </is>
      </c>
    </row>
    <row r="438">
      <c r="A438" t="inlineStr">
        <is>
          <t>MFSD3</t>
        </is>
      </c>
      <c r="B438" t="inlineStr">
        <is>
          <t>2.01615229921387e-08</t>
        </is>
      </c>
      <c r="C438" t="inlineStr">
        <is>
          <t>major facilitator superfamily domain containing 3</t>
        </is>
      </c>
      <c r="D438" t="inlineStr">
        <is>
          <t>.</t>
        </is>
      </c>
      <c r="E438" t="inlineStr">
        <is>
          <t>.</t>
        </is>
      </c>
      <c r="F438" t="inlineStr">
        <is>
          <t>.</t>
        </is>
      </c>
      <c r="G438" t="inlineStr">
        <is>
          <t>unclassifiable (Anatomical System);myocardium;lymph node;ovary;parathyroid;skin;bone marrow;pancreas;prostate;optic nerve;lung;endometrium;bone;placenta;iris;pituitary gland;testis;cervix;kidney;brain;stomach;</t>
        </is>
      </c>
      <c r="H438" t="inlineStr">
        <is>
          <t>.</t>
        </is>
      </c>
      <c r="I438" t="inlineStr">
        <is>
          <t>.</t>
        </is>
      </c>
      <c r="J438" t="inlineStr">
        <is>
          <t>.</t>
        </is>
      </c>
      <c r="K438" t="inlineStr">
        <is>
          <t>.</t>
        </is>
      </c>
      <c r="L438" t="inlineStr">
        <is>
          <t>.</t>
        </is>
      </c>
      <c r="M438" t="inlineStr">
        <is>
          <t>.</t>
        </is>
      </c>
      <c r="N438" t="inlineStr">
        <is>
          <t>.</t>
        </is>
      </c>
      <c r="O438" t="inlineStr">
        <is>
          <t>.</t>
        </is>
      </c>
    </row>
    <row r="439">
      <c r="A439" t="inlineStr">
        <is>
          <t>MFSD7</t>
        </is>
      </c>
      <c r="B439" t="inlineStr">
        <is>
          <t>2.75660020784589e-12</t>
        </is>
      </c>
      <c r="C439" t="inlineStr">
        <is>
          <t>major facilitator superfamily domain containing 7</t>
        </is>
      </c>
      <c r="D439" t="inlineStr">
        <is>
          <t>.</t>
        </is>
      </c>
      <c r="E439" t="inlineStr">
        <is>
          <t>.</t>
        </is>
      </c>
      <c r="F439" t="inlineStr">
        <is>
          <t>.</t>
        </is>
      </c>
      <c r="G439" t="inlineStr">
        <is>
          <t>ovary;colon;parathyroid;choroid;fovea centralis;skin;retina;uterus;prostate;optic nerve;bone;iris;testis;brain;unclassifiable (Anatomical System);cartilage;epidermis;spinal cord;lens;skeletal muscle;pancreas;lung;placenta;macula lutea;kidney;mammary gland;</t>
        </is>
      </c>
      <c r="H439" t="inlineStr">
        <is>
          <t>superior cervical ganglion;trigeminal ganglion;cingulate cortex;</t>
        </is>
      </c>
      <c r="I439" t="inlineStr">
        <is>
          <t>.</t>
        </is>
      </c>
      <c r="J439" t="inlineStr">
        <is>
          <t>.</t>
        </is>
      </c>
      <c r="K439" t="inlineStr">
        <is>
          <t>.</t>
        </is>
      </c>
      <c r="L439" t="inlineStr">
        <is>
          <t>.</t>
        </is>
      </c>
      <c r="M439" t="inlineStr">
        <is>
          <t>.</t>
        </is>
      </c>
      <c r="N439" t="inlineStr">
        <is>
          <t>.</t>
        </is>
      </c>
      <c r="O439" t="inlineStr">
        <is>
          <t>.</t>
        </is>
      </c>
    </row>
    <row r="440">
      <c r="A440" t="inlineStr">
        <is>
          <t>MGAM2</t>
        </is>
      </c>
      <c r="B440" t="inlineStr">
        <is>
          <t>.</t>
        </is>
      </c>
      <c r="C440" t="inlineStr">
        <is>
          <t>maltase-glucoamylase 2 (putative)</t>
        </is>
      </c>
      <c r="D440" t="inlineStr">
        <is>
          <t>.</t>
        </is>
      </c>
      <c r="E440" t="inlineStr">
        <is>
          <t>.</t>
        </is>
      </c>
      <c r="F440" t="inlineStr">
        <is>
          <t>.</t>
        </is>
      </c>
      <c r="G440" t="inlineStr">
        <is>
          <t>.</t>
        </is>
      </c>
      <c r="H440" t="inlineStr">
        <is>
          <t>.</t>
        </is>
      </c>
      <c r="I440" t="inlineStr">
        <is>
          <t>.</t>
        </is>
      </c>
      <c r="J440" t="inlineStr">
        <is>
          <t>.</t>
        </is>
      </c>
      <c r="K440" t="inlineStr">
        <is>
          <t>.</t>
        </is>
      </c>
      <c r="L440" t="inlineStr">
        <is>
          <t>.</t>
        </is>
      </c>
      <c r="M440" t="inlineStr">
        <is>
          <t>.</t>
        </is>
      </c>
      <c r="N440" t="inlineStr">
        <is>
          <t>.</t>
        </is>
      </c>
      <c r="O440" t="inlineStr">
        <is>
          <t>.</t>
        </is>
      </c>
    </row>
    <row r="441">
      <c r="A441" t="inlineStr">
        <is>
          <t>MIR1268A</t>
        </is>
      </c>
      <c r="B441" t="inlineStr">
        <is>
          <t>.</t>
        </is>
      </c>
      <c r="C441" t="inlineStr">
        <is>
          <t>microRNA 1268a</t>
        </is>
      </c>
      <c r="D441" t="inlineStr">
        <is>
          <t>.</t>
        </is>
      </c>
      <c r="E441" t="inlineStr">
        <is>
          <t>.</t>
        </is>
      </c>
      <c r="F441" t="inlineStr">
        <is>
          <t>.</t>
        </is>
      </c>
      <c r="G441" t="inlineStr">
        <is>
          <t>.</t>
        </is>
      </c>
      <c r="H441" t="inlineStr">
        <is>
          <t>.</t>
        </is>
      </c>
      <c r="I441" t="inlineStr">
        <is>
          <t>.</t>
        </is>
      </c>
      <c r="J441" t="inlineStr">
        <is>
          <t>.</t>
        </is>
      </c>
      <c r="K441" t="inlineStr">
        <is>
          <t>.</t>
        </is>
      </c>
      <c r="L441" t="inlineStr">
        <is>
          <t>.</t>
        </is>
      </c>
      <c r="M441" t="inlineStr">
        <is>
          <t>.</t>
        </is>
      </c>
      <c r="N441" t="inlineStr">
        <is>
          <t>.</t>
        </is>
      </c>
      <c r="O441" t="inlineStr">
        <is>
          <t>.</t>
        </is>
      </c>
    </row>
    <row r="442">
      <c r="A442" t="inlineStr">
        <is>
          <t>MIR3163</t>
        </is>
      </c>
      <c r="B442" t="inlineStr">
        <is>
          <t>.</t>
        </is>
      </c>
      <c r="C442" t="inlineStr">
        <is>
          <t>microRNA 3163</t>
        </is>
      </c>
      <c r="D442" t="inlineStr">
        <is>
          <t>.</t>
        </is>
      </c>
      <c r="E442" t="inlineStr">
        <is>
          <t>.</t>
        </is>
      </c>
      <c r="F442" t="inlineStr">
        <is>
          <t>.</t>
        </is>
      </c>
      <c r="G442" t="inlineStr">
        <is>
          <t>.</t>
        </is>
      </c>
      <c r="H442" t="inlineStr">
        <is>
          <t>.</t>
        </is>
      </c>
      <c r="I442" t="inlineStr">
        <is>
          <t>.</t>
        </is>
      </c>
      <c r="J442" t="inlineStr">
        <is>
          <t>.</t>
        </is>
      </c>
      <c r="K442" t="inlineStr">
        <is>
          <t>.</t>
        </is>
      </c>
      <c r="L442" t="inlineStr">
        <is>
          <t>.</t>
        </is>
      </c>
      <c r="M442" t="inlineStr">
        <is>
          <t>.</t>
        </is>
      </c>
      <c r="N442" t="inlineStr">
        <is>
          <t>.</t>
        </is>
      </c>
      <c r="O442" t="inlineStr">
        <is>
          <t>.</t>
        </is>
      </c>
    </row>
    <row r="443">
      <c r="A443" t="inlineStr">
        <is>
          <t>MIR548F1</t>
        </is>
      </c>
      <c r="B443" t="inlineStr">
        <is>
          <t>.</t>
        </is>
      </c>
      <c r="C443" t="inlineStr">
        <is>
          <t>microRNA 548f-1</t>
        </is>
      </c>
      <c r="D443" t="inlineStr">
        <is>
          <t>.</t>
        </is>
      </c>
      <c r="E443" t="inlineStr">
        <is>
          <t>.</t>
        </is>
      </c>
      <c r="F443" t="inlineStr">
        <is>
          <t>.</t>
        </is>
      </c>
      <c r="G443" t="inlineStr">
        <is>
          <t>.</t>
        </is>
      </c>
      <c r="H443" t="inlineStr">
        <is>
          <t>.</t>
        </is>
      </c>
      <c r="I443" t="inlineStr">
        <is>
          <t>.</t>
        </is>
      </c>
      <c r="J443" t="inlineStr">
        <is>
          <t>.</t>
        </is>
      </c>
      <c r="K443" t="inlineStr">
        <is>
          <t>.</t>
        </is>
      </c>
      <c r="L443" t="inlineStr">
        <is>
          <t>.</t>
        </is>
      </c>
      <c r="M443" t="inlineStr">
        <is>
          <t>.</t>
        </is>
      </c>
      <c r="N443" t="inlineStr">
        <is>
          <t>.</t>
        </is>
      </c>
      <c r="O443" t="inlineStr">
        <is>
          <t>.</t>
        </is>
      </c>
    </row>
    <row r="444">
      <c r="A444" t="inlineStr">
        <is>
          <t>MIR548N</t>
        </is>
      </c>
      <c r="B444" t="inlineStr">
        <is>
          <t>.</t>
        </is>
      </c>
      <c r="C444" t="inlineStr">
        <is>
          <t>microRNA 548n</t>
        </is>
      </c>
      <c r="D444" t="inlineStr">
        <is>
          <t>.</t>
        </is>
      </c>
      <c r="E444" t="inlineStr">
        <is>
          <t>.</t>
        </is>
      </c>
      <c r="F444" t="inlineStr">
        <is>
          <t>.</t>
        </is>
      </c>
      <c r="G444" t="inlineStr">
        <is>
          <t>.</t>
        </is>
      </c>
      <c r="H444" t="inlineStr">
        <is>
          <t>.</t>
        </is>
      </c>
      <c r="I444" t="inlineStr">
        <is>
          <t>.</t>
        </is>
      </c>
      <c r="J444" t="inlineStr">
        <is>
          <t>.</t>
        </is>
      </c>
      <c r="K444" t="inlineStr">
        <is>
          <t>.</t>
        </is>
      </c>
      <c r="L444" t="inlineStr">
        <is>
          <t>.</t>
        </is>
      </c>
      <c r="M444" t="inlineStr">
        <is>
          <t>.</t>
        </is>
      </c>
      <c r="N444" t="inlineStr">
        <is>
          <t>.</t>
        </is>
      </c>
      <c r="O444" t="inlineStr">
        <is>
          <t>.</t>
        </is>
      </c>
    </row>
    <row r="445">
      <c r="A445" t="inlineStr">
        <is>
          <t>MIR6511A1</t>
        </is>
      </c>
      <c r="B445" t="inlineStr">
        <is>
          <t>.</t>
        </is>
      </c>
      <c r="C445" t="inlineStr">
        <is>
          <t>microRNA 6511a-1</t>
        </is>
      </c>
      <c r="D445" t="inlineStr">
        <is>
          <t>.</t>
        </is>
      </c>
      <c r="E445" t="inlineStr">
        <is>
          <t>.</t>
        </is>
      </c>
      <c r="F445" t="inlineStr">
        <is>
          <t>.</t>
        </is>
      </c>
      <c r="G445" t="inlineStr">
        <is>
          <t>.</t>
        </is>
      </c>
      <c r="H445" t="inlineStr">
        <is>
          <t>.</t>
        </is>
      </c>
      <c r="I445" t="inlineStr">
        <is>
          <t>.</t>
        </is>
      </c>
      <c r="J445" t="inlineStr">
        <is>
          <t>.</t>
        </is>
      </c>
      <c r="K445" t="inlineStr">
        <is>
          <t>.</t>
        </is>
      </c>
      <c r="L445" t="inlineStr">
        <is>
          <t>.</t>
        </is>
      </c>
      <c r="M445" t="inlineStr">
        <is>
          <t>.</t>
        </is>
      </c>
      <c r="N445" t="inlineStr">
        <is>
          <t>.</t>
        </is>
      </c>
      <c r="O445" t="inlineStr">
        <is>
          <t>.</t>
        </is>
      </c>
    </row>
    <row r="446">
      <c r="A446" t="inlineStr">
        <is>
          <t>MIR6511A2</t>
        </is>
      </c>
      <c r="B446" t="inlineStr">
        <is>
          <t>.</t>
        </is>
      </c>
      <c r="C446" t="inlineStr">
        <is>
          <t>microRNA 6511a-2</t>
        </is>
      </c>
      <c r="D446" t="inlineStr">
        <is>
          <t>.</t>
        </is>
      </c>
      <c r="E446" t="inlineStr">
        <is>
          <t>.</t>
        </is>
      </c>
      <c r="F446" t="inlineStr">
        <is>
          <t>.</t>
        </is>
      </c>
      <c r="G446" t="inlineStr">
        <is>
          <t>.</t>
        </is>
      </c>
      <c r="H446" t="inlineStr">
        <is>
          <t>.</t>
        </is>
      </c>
      <c r="I446" t="inlineStr">
        <is>
          <t>.</t>
        </is>
      </c>
      <c r="J446" t="inlineStr">
        <is>
          <t>.</t>
        </is>
      </c>
      <c r="K446" t="inlineStr">
        <is>
          <t>.</t>
        </is>
      </c>
      <c r="L446" t="inlineStr">
        <is>
          <t>.</t>
        </is>
      </c>
      <c r="M446" t="inlineStr">
        <is>
          <t>.</t>
        </is>
      </c>
      <c r="N446" t="inlineStr">
        <is>
          <t>.</t>
        </is>
      </c>
      <c r="O446" t="inlineStr">
        <is>
          <t>.</t>
        </is>
      </c>
    </row>
    <row r="447">
      <c r="A447" t="inlineStr">
        <is>
          <t>MIR6511A3</t>
        </is>
      </c>
      <c r="B447" t="inlineStr">
        <is>
          <t>.</t>
        </is>
      </c>
      <c r="C447" t="inlineStr">
        <is>
          <t>microRNA 6511a-3</t>
        </is>
      </c>
      <c r="D447" t="inlineStr">
        <is>
          <t>.</t>
        </is>
      </c>
      <c r="E447" t="inlineStr">
        <is>
          <t>.</t>
        </is>
      </c>
      <c r="F447" t="inlineStr">
        <is>
          <t>.</t>
        </is>
      </c>
      <c r="G447" t="inlineStr">
        <is>
          <t>.</t>
        </is>
      </c>
      <c r="H447" t="inlineStr">
        <is>
          <t>.</t>
        </is>
      </c>
      <c r="I447" t="inlineStr">
        <is>
          <t>.</t>
        </is>
      </c>
      <c r="J447" t="inlineStr">
        <is>
          <t>.</t>
        </is>
      </c>
      <c r="K447" t="inlineStr">
        <is>
          <t>.</t>
        </is>
      </c>
      <c r="L447" t="inlineStr">
        <is>
          <t>.</t>
        </is>
      </c>
      <c r="M447" t="inlineStr">
        <is>
          <t>.</t>
        </is>
      </c>
      <c r="N447" t="inlineStr">
        <is>
          <t>.</t>
        </is>
      </c>
      <c r="O447" t="inlineStr">
        <is>
          <t>.</t>
        </is>
      </c>
    </row>
    <row r="448">
      <c r="A448" t="inlineStr">
        <is>
          <t>MIR6511A4</t>
        </is>
      </c>
      <c r="B448" t="inlineStr">
        <is>
          <t>.</t>
        </is>
      </c>
      <c r="C448" t="inlineStr">
        <is>
          <t>microRNA 6511a-4</t>
        </is>
      </c>
      <c r="D448" t="inlineStr">
        <is>
          <t>.</t>
        </is>
      </c>
      <c r="E448" t="inlineStr">
        <is>
          <t>.</t>
        </is>
      </c>
      <c r="F448" t="inlineStr">
        <is>
          <t>.</t>
        </is>
      </c>
      <c r="G448" t="inlineStr">
        <is>
          <t>.</t>
        </is>
      </c>
      <c r="H448" t="inlineStr">
        <is>
          <t>.</t>
        </is>
      </c>
      <c r="I448" t="inlineStr">
        <is>
          <t>.</t>
        </is>
      </c>
      <c r="J448" t="inlineStr">
        <is>
          <t>.</t>
        </is>
      </c>
      <c r="K448" t="inlineStr">
        <is>
          <t>.</t>
        </is>
      </c>
      <c r="L448" t="inlineStr">
        <is>
          <t>.</t>
        </is>
      </c>
      <c r="M448" t="inlineStr">
        <is>
          <t>.</t>
        </is>
      </c>
      <c r="N448" t="inlineStr">
        <is>
          <t>.</t>
        </is>
      </c>
      <c r="O448" t="inlineStr">
        <is>
          <t>.</t>
        </is>
      </c>
    </row>
    <row r="449">
      <c r="A449" t="inlineStr">
        <is>
          <t>MKI67</t>
        </is>
      </c>
      <c r="B449" t="inlineStr">
        <is>
          <t>4.17035383841505e-16</t>
        </is>
      </c>
      <c r="C449" t="inlineStr">
        <is>
          <t>marker of proliferation Ki-67</t>
        </is>
      </c>
      <c r="D449" t="inlineStr">
        <is>
          <t xml:space="preserve">FUNCTION: Thought to be required for maintaining cell proliferation.; </t>
        </is>
      </c>
      <c r="E449" t="inlineStr">
        <is>
          <t>.</t>
        </is>
      </c>
      <c r="F449" t="inlineStr">
        <is>
          <t>.</t>
        </is>
      </c>
      <c r="G449" t="inlineStr">
        <is>
          <t>.</t>
        </is>
      </c>
      <c r="H449" t="inlineStr">
        <is>
          <t>.</t>
        </is>
      </c>
      <c r="I449" t="inlineStr">
        <is>
          <t>.</t>
        </is>
      </c>
      <c r="J449" t="inlineStr">
        <is>
          <t>.</t>
        </is>
      </c>
      <c r="K449" t="inlineStr">
        <is>
          <t>.</t>
        </is>
      </c>
      <c r="L449" t="inlineStr">
        <is>
          <t>.</t>
        </is>
      </c>
      <c r="M449" t="inlineStr">
        <is>
          <t>.</t>
        </is>
      </c>
      <c r="N449" t="inlineStr">
        <is>
          <t>.</t>
        </is>
      </c>
      <c r="O449" t="inlineStr">
        <is>
          <t>.</t>
        </is>
      </c>
    </row>
    <row r="450">
      <c r="A450" t="inlineStr">
        <is>
          <t>MLF2</t>
        </is>
      </c>
      <c r="B450" t="inlineStr">
        <is>
          <t>0.921484672213679</t>
        </is>
      </c>
      <c r="C450" t="inlineStr">
        <is>
          <t>myeloid leukemia factor 2</t>
        </is>
      </c>
      <c r="D450" t="inlineStr">
        <is>
          <t>.</t>
        </is>
      </c>
      <c r="E450" t="inlineStr">
        <is>
          <t>.</t>
        </is>
      </c>
      <c r="F450" t="inlineStr">
        <is>
          <t xml:space="preserve">TISSUE SPECIFICITY: Ubiquitously expressed.; </t>
        </is>
      </c>
      <c r="G450" t="inlineStr">
        <is>
          <t>myocardium;smooth muscle;ovary;skin;retina;bone marrow;prostate;frontal lobe;endometrium;thyroid;iris;bladder;brain;cartilage;tongue;urinary;adrenal cortex;pharynx;blood;skeletal muscle;breast;epididymis;trabecular meshwork;macula lutea;visual apparatus;liver;alveolus;spleen;cervix;mammary gland;salivary gland;intestine;colon;fovea centralis;choroid;uterus;whole body;oesophagus;larynx;bone;pituitary gland;testis;pineal gland;unclassifiable (Anatomical System);lymph node;islets of Langerhans;hypothalamus;bile duct;pancreas;lung;cornea;placenta;duodenum;head and neck;kidney;stomach;aorta;thymus;</t>
        </is>
      </c>
      <c r="H450" t="inlineStr">
        <is>
          <t>amygdala;whole brain;medulla oblongata;occipital lobe;temporal lobe;pons;caudate nucleus;subthalamic nucleus;liver;prefrontal cortex;globus pallidus;kidney;cingulate cortex;parietal lobe;cerebellum;</t>
        </is>
      </c>
      <c r="I450" t="inlineStr">
        <is>
          <t>.</t>
        </is>
      </c>
      <c r="J450" t="inlineStr">
        <is>
          <t>.</t>
        </is>
      </c>
      <c r="K450" t="inlineStr">
        <is>
          <t>.</t>
        </is>
      </c>
      <c r="L450" t="inlineStr">
        <is>
          <t>.</t>
        </is>
      </c>
      <c r="M450" t="inlineStr">
        <is>
          <t>.</t>
        </is>
      </c>
      <c r="N450" t="inlineStr">
        <is>
          <t>.</t>
        </is>
      </c>
      <c r="O450" t="inlineStr">
        <is>
          <t>.</t>
        </is>
      </c>
    </row>
    <row r="451">
      <c r="A451" t="inlineStr">
        <is>
          <t>MLLT6</t>
        </is>
      </c>
      <c r="B451" t="inlineStr">
        <is>
          <t>0.998762157265753</t>
        </is>
      </c>
      <c r="C451" t="inlineStr">
        <is>
          <t>myeloid/lymphoid or mixed-lineage leukemia; translocated to, 6</t>
        </is>
      </c>
      <c r="D451" t="inlineStr">
        <is>
          <t>.</t>
        </is>
      </c>
      <c r="E451" t="inlineStr">
        <is>
          <t xml:space="preserve">DISEASE: Note=A chromosomal aberration involving MLLT6 is associated with acute leukemias. Translocation t(11;17)(q23;q21) with KMT2A/MLL1. The result is a rogue activator protein.; </t>
        </is>
      </c>
      <c r="F451" t="inlineStr">
        <is>
          <t>.</t>
        </is>
      </c>
      <c r="G451" t="inlineStr">
        <is>
          <t>lymphoreticular;smooth muscle;colon;skin;retina;uterus;prostate;larynx;bone;testis;germinal center;brain;unclassifiable (Anatomical System);amygdala;lymph node;lacrimal gland;islets of Langerhans;muscle;blood;skeletal muscle;breast;pancreas;lung;epididymis;adrenal gland;placenta;liver;head and neck;kidney;stomach;cerebellum;</t>
        </is>
      </c>
      <c r="H451" t="inlineStr">
        <is>
          <t>superior cervical ganglion;atrioventricular node;</t>
        </is>
      </c>
      <c r="I451" t="inlineStr">
        <is>
          <t>.</t>
        </is>
      </c>
      <c r="J451" t="inlineStr">
        <is>
          <t>.</t>
        </is>
      </c>
      <c r="K451" t="inlineStr">
        <is>
          <t>.</t>
        </is>
      </c>
      <c r="L451" t="inlineStr">
        <is>
          <t>.</t>
        </is>
      </c>
      <c r="M451" t="inlineStr">
        <is>
          <t>.</t>
        </is>
      </c>
      <c r="N451" t="inlineStr">
        <is>
          <t>.</t>
        </is>
      </c>
      <c r="O451" t="inlineStr">
        <is>
          <t>.</t>
        </is>
      </c>
    </row>
    <row r="452">
      <c r="A452" t="inlineStr">
        <is>
          <t>MLYCD</t>
        </is>
      </c>
      <c r="B452" t="inlineStr">
        <is>
          <t>0.000280848275880868</t>
        </is>
      </c>
      <c r="C452" t="inlineStr">
        <is>
          <t>malonyl-CoA decarboxylase</t>
        </is>
      </c>
      <c r="D452" t="inlineStr">
        <is>
          <t xml:space="preserve">FUNCTION: Catalyzes the conversion of malonyl-CoA to acetyl-CoA. In the fatty acid biosynthesis MCD selectively removes malonyl-CoA and thus assures that methyl-malonyl-CoA is the only chain elongating substrate for fatty acid synthase and that fatty acids with multiple methyl side chains are produced. In peroxisomes it may be involved in degrading intraperoxisomal malonyl-CoA, which is generated by the peroxisomal beta-oxidation of odd chain-length dicarboxylic fatty acids. Plays a role in the metabolic balance between glucose and lipid oxidation in muscle independent of alterations in insulin signaling. May play a role in controlling the extent of ischemic injury by promoting glucose oxidation. {ECO:0000269|PubMed:10455107, ECO:0000269|PubMed:15003260, ECO:0000269|PubMed:18314420, ECO:0000269|PubMed:23482565}.; </t>
        </is>
      </c>
      <c r="E452" t="inlineStr">
        <is>
          <t xml:space="preserve">DISEASE: Malonyl-CoA decarboxylase deficiency (MLYCD deficiency) [MIM:248360]: Autosomal recessive disease characterized by abdominal pain, chronic constipation, episodic vomiting, metabolic acidosis and malonic aciduria. {ECO:0000269|PubMed:10417274}. Note=The disease is caused by mutations affecting the gene represented in this entry.; </t>
        </is>
      </c>
      <c r="F452" t="inlineStr">
        <is>
          <t xml:space="preserve">TISSUE SPECIFICITY: Expressed in fibroblasts and hepatoblastoma cells (at protein level). Expressed strongly in heart, liver, skeletal muscle, kidney and pancreas. Expressed in myotubes. Expressed weakly in brain, placenta, spleen, thymus, testis, ovary and small intestine. {ECO:0000269|PubMed:10455107, ECO:0000269|PubMed:18314420}.; </t>
        </is>
      </c>
      <c r="G452" t="inlineStr">
        <is>
          <t>smooth muscle;ovary;parathyroid;fovea centralis;choroid;skin;retina;bone marrow;uterus;prostate;optic nerve;whole body;frontal lobe;endometrium;pituitary gland;testis;germinal center;brain;unclassifiable (Anatomical System);heart;cartilage;islets of Langerhans;blood;lens;lung;placenta;macula lutea;visual apparatus;liver;spleen;head and neck;kidney;mammary gland;</t>
        </is>
      </c>
      <c r="H452" t="inlineStr">
        <is>
          <t>liver;</t>
        </is>
      </c>
      <c r="I452">
        <f>HYPERLINK("https://omim.org/entry/248360", "248360")</f>
        <v/>
      </c>
      <c r="J452" t="inlineStr">
        <is>
          <t>.</t>
        </is>
      </c>
      <c r="K452" t="inlineStr">
        <is>
          <t>.</t>
        </is>
      </c>
      <c r="L452" t="inlineStr">
        <is>
          <t>.</t>
        </is>
      </c>
      <c r="M452" t="inlineStr">
        <is>
          <t>.</t>
        </is>
      </c>
      <c r="N452" t="inlineStr">
        <is>
          <t>.</t>
        </is>
      </c>
      <c r="O452" t="inlineStr">
        <is>
          <t>.</t>
        </is>
      </c>
    </row>
    <row r="453">
      <c r="A453" t="inlineStr">
        <is>
          <t>MOV10L1</t>
        </is>
      </c>
      <c r="B453" t="inlineStr">
        <is>
          <t>5.748157114955e-10</t>
        </is>
      </c>
      <c r="C453" t="inlineStr">
        <is>
          <t>Mov10 RISC complex RNA helicase like 1</t>
        </is>
      </c>
      <c r="D453" t="inlineStr">
        <is>
          <t xml:space="preserve">FUNCTION: Putative RNA helicase. Isoform 1 may play a role in male germ cell development.; </t>
        </is>
      </c>
      <c r="E453" t="inlineStr">
        <is>
          <t>.</t>
        </is>
      </c>
      <c r="F453" t="inlineStr">
        <is>
          <t xml:space="preserve">TISSUE SPECIFICITY: Isoform 1 is specifically expressed in testis.; </t>
        </is>
      </c>
      <c r="G453" t="inlineStr">
        <is>
          <t>unclassifiable (Anatomical System);uterus;lung;optic nerve;macula lutea;testis;colon;fovea centralis;choroid;lens;brain;retina;</t>
        </is>
      </c>
      <c r="H453" t="inlineStr">
        <is>
          <t>testis - interstitial;testis - seminiferous tubule;testis;ciliary ganglion;atrioventricular node;</t>
        </is>
      </c>
      <c r="I453" t="inlineStr">
        <is>
          <t>.</t>
        </is>
      </c>
      <c r="J453" t="inlineStr">
        <is>
          <t>.</t>
        </is>
      </c>
      <c r="K453" t="inlineStr">
        <is>
          <t>.</t>
        </is>
      </c>
      <c r="L453" t="inlineStr">
        <is>
          <t>.</t>
        </is>
      </c>
      <c r="M453" t="inlineStr">
        <is>
          <t>.</t>
        </is>
      </c>
      <c r="N453" t="inlineStr">
        <is>
          <t>.</t>
        </is>
      </c>
      <c r="O453" t="inlineStr">
        <is>
          <t>.</t>
        </is>
      </c>
    </row>
    <row r="454">
      <c r="A454" t="inlineStr">
        <is>
          <t>MRPL20</t>
        </is>
      </c>
      <c r="B454" t="inlineStr">
        <is>
          <t>0.000171803357075406</t>
        </is>
      </c>
      <c r="C454" t="inlineStr">
        <is>
          <t>mitochondrial ribosomal protein L20</t>
        </is>
      </c>
      <c r="D454" t="inlineStr">
        <is>
          <t>.</t>
        </is>
      </c>
      <c r="E454" t="inlineStr">
        <is>
          <t>.</t>
        </is>
      </c>
      <c r="F454" t="inlineStr">
        <is>
          <t>.</t>
        </is>
      </c>
      <c r="G454" t="inlineStr">
        <is>
          <t>lymphoreticular;ovary;skin;retina;prostate;optic nerve;cochlea;endometrium;thyroid;germinal center;bladder;brain;tonsil;cartilage;pineal body;urinary;adrenal cortex;pharynx;blood;lens;skeletal muscle;breast;trabecular meshwork;macula lutea;visual apparatus;liver;alveolus;spleen;mammary gland;salivary gland;intestine;colon;parathyroid;fovea centralis;choroid;uterus;whole body;oesophagus;bone;pituitary gland;testis;unclassifiable (Anatomical System);lymph node;islets of Langerhans;muscle;pancreas;lung;cornea;nasopharynx;placenta;hypopharynx;head and neck;kidney;stomach;aorta;</t>
        </is>
      </c>
      <c r="H454" t="inlineStr">
        <is>
          <t>dorsal root ganglion;superior cervical ganglion;trigeminal ganglion;</t>
        </is>
      </c>
      <c r="I454" t="inlineStr">
        <is>
          <t>.</t>
        </is>
      </c>
      <c r="J454" t="inlineStr">
        <is>
          <t>.</t>
        </is>
      </c>
      <c r="K454" t="inlineStr">
        <is>
          <t>.</t>
        </is>
      </c>
      <c r="L454" t="inlineStr">
        <is>
          <t>.</t>
        </is>
      </c>
      <c r="M454" t="inlineStr">
        <is>
          <t>.</t>
        </is>
      </c>
      <c r="N454" t="inlineStr">
        <is>
          <t>.</t>
        </is>
      </c>
      <c r="O454" t="inlineStr">
        <is>
          <t>.</t>
        </is>
      </c>
    </row>
    <row r="455">
      <c r="A455" t="inlineStr">
        <is>
          <t>MSTO2P</t>
        </is>
      </c>
      <c r="B455" t="inlineStr">
        <is>
          <t>.</t>
        </is>
      </c>
      <c r="C455" t="inlineStr">
        <is>
          <t>misato family member 2, pseudogene</t>
        </is>
      </c>
      <c r="D455" t="inlineStr">
        <is>
          <t>.</t>
        </is>
      </c>
      <c r="E455" t="inlineStr">
        <is>
          <t>.</t>
        </is>
      </c>
      <c r="F455" t="inlineStr">
        <is>
          <t>.</t>
        </is>
      </c>
      <c r="G455" t="inlineStr">
        <is>
          <t>.</t>
        </is>
      </c>
      <c r="H455" t="inlineStr">
        <is>
          <t>.</t>
        </is>
      </c>
      <c r="I455" t="inlineStr">
        <is>
          <t>.</t>
        </is>
      </c>
      <c r="J455" t="inlineStr">
        <is>
          <t>.</t>
        </is>
      </c>
      <c r="K455" t="inlineStr">
        <is>
          <t>.</t>
        </is>
      </c>
      <c r="L455" t="inlineStr">
        <is>
          <t>.</t>
        </is>
      </c>
      <c r="M455" t="inlineStr">
        <is>
          <t>.</t>
        </is>
      </c>
      <c r="N455" t="inlineStr">
        <is>
          <t>.</t>
        </is>
      </c>
      <c r="O455" t="inlineStr">
        <is>
          <t>.</t>
        </is>
      </c>
    </row>
    <row r="456">
      <c r="A456" t="inlineStr">
        <is>
          <t>MTHFD1</t>
        </is>
      </c>
      <c r="B456" t="inlineStr">
        <is>
          <t>0.605609113854515</t>
        </is>
      </c>
      <c r="C456" t="inlineStr">
        <is>
          <t>methylenetetrahydrofolate dehydrogenase (NADP+ dependent) 1, methenyltetrahydrofolate cyclohydrolase, formyltetrahydrofolate synthetase</t>
        </is>
      </c>
      <c r="D456" t="inlineStr">
        <is>
          <t>.</t>
        </is>
      </c>
      <c r="E456" t="inlineStr">
        <is>
          <t xml:space="preserve">DISEASE: Neural tube defects, folate-sensitive (NTDFS) [MIM:601634]: The most common NTDs are open spina bifida (myelomeningocele) and anencephaly. {ECO:0000269|PubMed:12384833, ECO:0000269|PubMed:16552426, ECO:0000269|PubMed:9611072}. Note=Disease susceptibility is associated with variations affecting the gene represented in this entry.; DISEASE: Colorectal cancer (CRC) [MIM:114500]: A complex disease characterized by malignant lesions arising from the inner wall of the large intestine (the colon) and the rectum. Genetic alterations are often associated with progression from premalignant lesion (adenoma) to invasive adenocarcinoma. Risk factors for cancer of the colon and rectum include colon polyps, long-standing ulcerative colitis, and genetic family history. Note=Disease susceptibility may be associated with variations affecting the gene represented in this entry.; DISEASE: Note=MTHFD1 deficiency, due to mutation in this gene, can cause a metabolic syndrome with variable features including hyperhomocysteinemia, megaloblastic anemia, hemolytic uremic syndrome (HUS), severe combined immunodeficiency, microangiopathy and retinopathy. Symptoms improve after treatment with hydroxocobalamin, betaine and folinic acid. {ECO:0000269|PubMed:21813566, ECO:0000269|PubMed:25633902}.; </t>
        </is>
      </c>
      <c r="F456" t="inlineStr">
        <is>
          <t xml:space="preserve">TISSUE SPECIFICITY: Ubiquitous.; </t>
        </is>
      </c>
      <c r="G456" t="inlineStr">
        <is>
          <t>ovary;salivary gland;sympathetic chain;intestine;colon;parathyroid;skin;retina;bone marrow;uterus;prostate;frontal lobe;endometrium;bone;thyroid;iris;testis;amniotic fluid;germinal center;brain;bladder;unclassifiable (Anatomical System);lymph node;heart;islets of Langerhans;hypothalamus;spinal cord;muscle;pharynx;blood;lens;skeletal muscle;breast;bile duct;lung;nasopharynx;placenta;visual apparatus;liver;spleen;cervix;kidney;mammary gland;stomach;</t>
        </is>
      </c>
      <c r="H456" t="inlineStr">
        <is>
          <t>superior cervical ganglion;liver;kidney;skeletal muscle;</t>
        </is>
      </c>
      <c r="I456">
        <f>HYPERLINK("https://omim.org/entry/601634", "601634")</f>
        <v/>
      </c>
      <c r="J456">
        <f>HYPERLINK("https://omim.org/entry/114500", "114500")</f>
        <v/>
      </c>
      <c r="K456" t="inlineStr">
        <is>
          <t>.</t>
        </is>
      </c>
      <c r="L456" t="inlineStr">
        <is>
          <t>.</t>
        </is>
      </c>
      <c r="M456" t="inlineStr">
        <is>
          <t>.</t>
        </is>
      </c>
      <c r="N456" t="inlineStr">
        <is>
          <t>.</t>
        </is>
      </c>
      <c r="O456" t="inlineStr">
        <is>
          <t>.</t>
        </is>
      </c>
    </row>
    <row r="457">
      <c r="A457" t="inlineStr">
        <is>
          <t>MTHFD2L</t>
        </is>
      </c>
      <c r="B457" t="inlineStr">
        <is>
          <t>0.000263184973008233</t>
        </is>
      </c>
      <c r="C457" t="inlineStr">
        <is>
          <t>methylenetetrahydrofolate dehydrogenase (NADP+ dependent) 2-like</t>
        </is>
      </c>
      <c r="D457" t="inlineStr">
        <is>
          <t>.</t>
        </is>
      </c>
      <c r="E457" t="inlineStr">
        <is>
          <t>.</t>
        </is>
      </c>
      <c r="F457" t="inlineStr">
        <is>
          <t xml:space="preserve">TISSUE SPECIFICITY: Isoform 1, isoform 4 and isoform 5 are expressed in brain and placenta. {ECO:0000269|PubMed:21163947}.; </t>
        </is>
      </c>
      <c r="G457" t="inlineStr">
        <is>
          <t>unclassifiable (Anatomical System);medulla oblongata;cartilage;islets of Langerhans;hypothalamus;colon;parathyroid;bone marrow;prostate;whole body;lung;endometrium;larynx;hippocampus;liver;testis;head and neck;kidney;brain;thymus;</t>
        </is>
      </c>
      <c r="H457" t="inlineStr">
        <is>
          <t>dorsal root ganglion;</t>
        </is>
      </c>
      <c r="I457" t="inlineStr">
        <is>
          <t>.</t>
        </is>
      </c>
      <c r="J457" t="inlineStr">
        <is>
          <t>.</t>
        </is>
      </c>
      <c r="K457" t="inlineStr">
        <is>
          <t>.</t>
        </is>
      </c>
      <c r="L457" t="inlineStr">
        <is>
          <t>.</t>
        </is>
      </c>
      <c r="M457" t="inlineStr">
        <is>
          <t>.</t>
        </is>
      </c>
      <c r="N457" t="inlineStr">
        <is>
          <t>.</t>
        </is>
      </c>
      <c r="O457" t="inlineStr">
        <is>
          <t>.</t>
        </is>
      </c>
    </row>
    <row r="458">
      <c r="A458" t="inlineStr">
        <is>
          <t>MTMR12</t>
        </is>
      </c>
      <c r="B458" t="inlineStr">
        <is>
          <t>0.997884435033356</t>
        </is>
      </c>
      <c r="C458" t="inlineStr">
        <is>
          <t>myotubularin related protein 12</t>
        </is>
      </c>
      <c r="D458" t="inlineStr">
        <is>
          <t xml:space="preserve">FUNCTION: Catalytically inactive phosphatase that plays a role as an adapter for the phosphatase myotubularin to regulate myotubularin intracellular location. {ECO:0000269|PubMed:11504939, ECO:0000269|PubMed:12847286}.; </t>
        </is>
      </c>
      <c r="E458" t="inlineStr">
        <is>
          <t>.</t>
        </is>
      </c>
      <c r="F458" t="inlineStr">
        <is>
          <t xml:space="preserve">TISSUE SPECIFICITY: Ubiquitous with prominent expression in brain, heart, kidney, placenta, and lung. {ECO:0000269|PubMed:11504939}.; </t>
        </is>
      </c>
      <c r="G458" t="inlineStr">
        <is>
          <t>ovary;salivary gland;intestine;colon;parathyroid;fovea centralis;choroid;skin;retina;uterus;prostate;optic nerve;whole body;oesophagus;endometrium;larynx;bone;thyroid;testis;germinal center;brain;pineal gland;unclassifiable (Anatomical System);lymph node;heart;adrenal cortex;pharynx;blood;lens;skeletal muscle;lung;cornea;trabecular meshwork;placenta;macula lutea;visual apparatus;hypopharynx;liver;spleen;head and neck;kidney;mammary gland;thymus;</t>
        </is>
      </c>
      <c r="H458" t="inlineStr">
        <is>
          <t>.</t>
        </is>
      </c>
      <c r="I458" t="inlineStr">
        <is>
          <t>.</t>
        </is>
      </c>
      <c r="J458" t="inlineStr">
        <is>
          <t>.</t>
        </is>
      </c>
      <c r="K458" t="inlineStr">
        <is>
          <t>.</t>
        </is>
      </c>
      <c r="L458" t="inlineStr">
        <is>
          <t>.</t>
        </is>
      </c>
      <c r="M458" t="inlineStr">
        <is>
          <t>.</t>
        </is>
      </c>
      <c r="N458" t="inlineStr">
        <is>
          <t>.</t>
        </is>
      </c>
      <c r="O458" t="inlineStr">
        <is>
          <t>.</t>
        </is>
      </c>
    </row>
    <row r="459">
      <c r="A459" t="inlineStr">
        <is>
          <t>MTMR8</t>
        </is>
      </c>
      <c r="B459" t="inlineStr">
        <is>
          <t>1.33537060083682e-11</t>
        </is>
      </c>
      <c r="C459" t="inlineStr">
        <is>
          <t>myotubularin related protein 8</t>
        </is>
      </c>
      <c r="D459" t="inlineStr">
        <is>
          <t xml:space="preserve">FUNCTION: Phosphatase that acts on lipids with a phosphoinositol headgroup. {ECO:0000305}.; </t>
        </is>
      </c>
      <c r="E459" t="inlineStr">
        <is>
          <t>.</t>
        </is>
      </c>
      <c r="F459" t="inlineStr">
        <is>
          <t>.</t>
        </is>
      </c>
      <c r="G459" t="inlineStr">
        <is>
          <t>lung;endometrium;placenta;brain;</t>
        </is>
      </c>
      <c r="H459" t="inlineStr">
        <is>
          <t>.</t>
        </is>
      </c>
      <c r="I459" t="inlineStr">
        <is>
          <t>.</t>
        </is>
      </c>
      <c r="J459" t="inlineStr">
        <is>
          <t>.</t>
        </is>
      </c>
      <c r="K459" t="inlineStr">
        <is>
          <t>.</t>
        </is>
      </c>
      <c r="L459" t="inlineStr">
        <is>
          <t>.</t>
        </is>
      </c>
      <c r="M459" t="inlineStr">
        <is>
          <t>.</t>
        </is>
      </c>
      <c r="N459" t="inlineStr">
        <is>
          <t>.</t>
        </is>
      </c>
      <c r="O459" t="inlineStr">
        <is>
          <t>.</t>
        </is>
      </c>
    </row>
    <row r="460">
      <c r="A460" t="inlineStr">
        <is>
          <t>MTOR</t>
        </is>
      </c>
      <c r="B460" t="inlineStr">
        <is>
          <t>0.999999999999676</t>
        </is>
      </c>
      <c r="C460" t="inlineStr">
        <is>
          <t>mechanistic target of rapamycin</t>
        </is>
      </c>
      <c r="D460" t="inlineStr">
        <is>
          <t xml:space="preserve">FUNCTION: Serine/threonine protein kinase which is a central regulator of cellular metabolism, growth and survival in response to hormones, growth factors, nutrients, energy and stress signals. MTOR directly or indirectly regulates the phosphorylation of at least 800 proteins. Functions as part of 2 structurally and functionally distinct signaling complexes mTORC1 and mTORC2 (mTOR complex 1 and 2). Activated mTORC1 up-regulates protein synthesis by phosphorylating key regulators of mRNA translation and ribosome synthesis. This includes phosphorylation of EIF4EBP1 and release of its inhibition toward the elongation initiation factor 4E (eiF4E). Moreover, phosphorylates and activates RPS6KB1 and RPS6KB2 that promote protein synthesis by modulating the activity of their downstream targets including ribosomal protein S6, eukaryotic translation initiation factor EIF4B, and the inhibitor of translation initiation PDCD4. Stimulates the pyrimidine biosynthesis pathway, both by acute regulation through RPS6KB1- mediated phosphorylation of the biosynthetic enzyme CAD, and delayed regulation, through transcriptional enhancement of the pentose phosphate pathway which produces 5-phosphoribosyl-1- pyrophosphate (PRPP), an allosteric activator of CAD at a later step in synthesis, this function is dependent on the mTORC1 complex. Regulates ribosome synthesis by activating RNA polymerase III-dependent transcription through phosphorylation and inhibition of MAF1 an RNA polymerase III-repressor. In parallel to protein synthesis, also regulates lipid synthesis through SREBF1/SREBP1 and LPIN1. To maintain energy homeostasis mTORC1 may also regulate mitochondrial biogenesis through regulation of PPARGC1A. mTORC1 also negatively regulates autophagy through phosphorylation of ULK1. Under nutrient sufficiency, phosphorylates ULK1 at 'Ser- 758', disrupting the interaction with AMPK and preventing activation of ULK1. Also prevents autophagy through phosphorylation of the autophagy inhibitor DAP. mTORC1 exerts a feedback control on upstream growth factor signaling that includes phosphorylation and activation of GRB10 a INSR-dependent signaling suppressor. Among other potential targets mTORC1 may phosphorylate CLIP1 and regulate microtubules. As part of the mTORC2 complex MTOR may regulate other cellular processes including survival and organization of the cytoskeleton. Plays a critical role in the phosphorylation at 'Ser-473' of AKT1, a pro-survival effector of phosphoinositide 3-kinase, facilitating its activation by PDK1. mTORC2 may regulate the actin cytoskeleton, through phosphorylation of PRKCA, PXN and activation of the Rho-type guanine nucleotide exchange factors RHOA and RAC1A or RAC1B. mTORC2 also regulates the phosphorylation of SGK1 at 'Ser-422'. Regulates osteoclastogensis by adjusting the expression of CEBPB isoforms (By similarity). {ECO:0000250|UniProtKB:Q9JLN9, ECO:0000269|PubMed:12087098, ECO:0000269|PubMed:12150925, ECO:0000269|PubMed:12150926, ECO:0000269|PubMed:12231510, ECO:0000269|PubMed:12718876, ECO:0000269|PubMed:14651849, ECO:0000269|PubMed:15268862, ECO:0000269|PubMed:15467718, ECO:0000269|PubMed:15545625, ECO:0000269|PubMed:15718470, ECO:0000269|PubMed:18497260, ECO:0000269|PubMed:18762023, ECO:0000269|PubMed:18925875, ECO:0000269|PubMed:20516213, ECO:0000269|PubMed:20537536, ECO:0000269|PubMed:21659604, ECO:0000269|PubMed:23429703, ECO:0000269|PubMed:23429704}.; </t>
        </is>
      </c>
      <c r="E460" t="inlineStr">
        <is>
          <t xml:space="preserve">DISEASE: Smith-Kingsmore syndrome (SKS) [MIM:616638]: An autosomal dominant syndrome characterized by intellectual disability, macrocephaly, seizures, umbilical hernia, and facial dysmorphic features. {ECO:0000269|PubMed:25851998, ECO:0000269|PubMed:26542245}. Note=The disease is caused by mutations affecting the gene represented in this entry.; </t>
        </is>
      </c>
      <c r="F460" t="inlineStr">
        <is>
          <t xml:space="preserve">TISSUE SPECIFICITY: Expressed in numerous tissues, with highest levels in testis. {ECO:0000269|PubMed:12408816, ECO:0000269|PubMed:7809080}.; </t>
        </is>
      </c>
      <c r="G460" t="inlineStr">
        <is>
          <t>ovary;salivary gland;intestine;colon;parathyroid;fovea centralis;choroid;skin;retina;bone marrow;uterus;prostate;optic nerve;endometrium;larynx;bone;thyroid;testis;germinal center;brain;bladder;unclassifiable (Anatomical System);lymph node;cartilage;heart;pharynx;blood;lens;skeletal muscle;breast;bile duct;pancreas;lung;epididymis;nasopharynx;placenta;macula lutea;visual apparatus;liver;cervix;spleen;head and neck;kidney;mammary gland;aorta;stomach;</t>
        </is>
      </c>
      <c r="H460" t="inlineStr">
        <is>
          <t>occipital lobe;testis - interstitial;testis - seminiferous tubule;testis;skeletal muscle;parietal lobe;bone marrow;</t>
        </is>
      </c>
      <c r="I460">
        <f>HYPERLINK("https://omim.org/entry/616638", "616638")</f>
        <v/>
      </c>
      <c r="J460" t="inlineStr">
        <is>
          <t>.</t>
        </is>
      </c>
      <c r="K460" t="inlineStr">
        <is>
          <t>.</t>
        </is>
      </c>
      <c r="L460" t="inlineStr">
        <is>
          <t>.</t>
        </is>
      </c>
      <c r="M460" t="inlineStr">
        <is>
          <t>.</t>
        </is>
      </c>
      <c r="N460" t="inlineStr">
        <is>
          <t>.</t>
        </is>
      </c>
      <c r="O460" t="inlineStr">
        <is>
          <t>.</t>
        </is>
      </c>
    </row>
    <row r="461">
      <c r="A461" t="inlineStr">
        <is>
          <t>MUC12</t>
        </is>
      </c>
      <c r="B461" t="inlineStr">
        <is>
          <t>.</t>
        </is>
      </c>
      <c r="C461" t="inlineStr">
        <is>
          <t>mucin 12, cell surface associated</t>
        </is>
      </c>
      <c r="D461" t="inlineStr">
        <is>
          <t xml:space="preserve">FUNCTION: Involved in epithelial cell protection, adhesion modulation, and signaling. May be involved in epithelial cell growth regulation. Stimulated by both cytokine TNF-alpha and TGF- beta in intestinal epithelium. {ECO:0000269|PubMed:17058067}.; </t>
        </is>
      </c>
      <c r="E461" t="inlineStr">
        <is>
          <t>.</t>
        </is>
      </c>
      <c r="F461" t="inlineStr">
        <is>
          <t xml:space="preserve">TISSUE SPECIFICITY: Ubiquitous, with higher expression in colon. Down-regulated in colorectal cancer as well as in the colon of patients with ulcerative colitis (UC) and Crohn's disease (CD). {ECO:0000269|PubMed:10463611, ECO:0000269|PubMed:17058067}.; </t>
        </is>
      </c>
      <c r="G461" t="inlineStr">
        <is>
          <t>unclassifiable (Anatomical System);heart;ovary;salivary gland;sympathetic chain;intestine;pharynx;colon;blood;skin;uterus;prostate;lung;cornea;visual apparatus;liver;kidney;brain;mammary gland;</t>
        </is>
      </c>
      <c r="H461" t="inlineStr">
        <is>
          <t>superior cervical ganglion;ciliary ganglion;kidney;</t>
        </is>
      </c>
      <c r="I461" t="inlineStr">
        <is>
          <t>.</t>
        </is>
      </c>
      <c r="J461" t="inlineStr">
        <is>
          <t>.</t>
        </is>
      </c>
      <c r="K461" t="inlineStr">
        <is>
          <t>.</t>
        </is>
      </c>
      <c r="L461" t="inlineStr">
        <is>
          <t>.</t>
        </is>
      </c>
      <c r="M461" t="inlineStr">
        <is>
          <t>.</t>
        </is>
      </c>
      <c r="N461" t="inlineStr">
        <is>
          <t>.</t>
        </is>
      </c>
      <c r="O461" t="inlineStr">
        <is>
          <t>.</t>
        </is>
      </c>
    </row>
    <row r="462">
      <c r="A462" t="inlineStr">
        <is>
          <t>MUC16</t>
        </is>
      </c>
      <c r="B462" t="inlineStr">
        <is>
          <t>.</t>
        </is>
      </c>
      <c r="C462" t="inlineStr">
        <is>
          <t>mucin 16, cell surface associated</t>
        </is>
      </c>
      <c r="D462" t="inlineStr">
        <is>
          <t xml:space="preserve">FUNCTION: Thought to provide a protective, lubricating barrier against particles and infectious agents at mucosal surfaces. {ECO:0000250}.; </t>
        </is>
      </c>
      <c r="E462" t="inlineStr">
        <is>
          <t>.</t>
        </is>
      </c>
      <c r="F462" t="inlineStr">
        <is>
          <t xml:space="preserve">TISSUE SPECIFICITY: Expressed in corneal and conjunctival epithelia (at protein level). Overexpressed in ovarian carcinomas and ovarian low malignant potential (LMP) tumors as compared to the expression in normal ovarian tissue and ovarian adenomas. {ECO:0000269|PubMed:11369781, ECO:0000269|PubMed:12218296, ECO:0000269|PubMed:16384952}.; </t>
        </is>
      </c>
      <c r="G462" t="inlineStr">
        <is>
          <t>.</t>
        </is>
      </c>
      <c r="H462" t="inlineStr">
        <is>
          <t>.</t>
        </is>
      </c>
      <c r="I462" t="inlineStr">
        <is>
          <t>.</t>
        </is>
      </c>
      <c r="J462" t="inlineStr">
        <is>
          <t>.</t>
        </is>
      </c>
      <c r="K462" t="inlineStr">
        <is>
          <t>.</t>
        </is>
      </c>
      <c r="L462" t="inlineStr">
        <is>
          <t>.</t>
        </is>
      </c>
      <c r="M462" t="inlineStr">
        <is>
          <t>.</t>
        </is>
      </c>
      <c r="N462" t="inlineStr">
        <is>
          <t>.</t>
        </is>
      </c>
      <c r="O462" t="inlineStr">
        <is>
          <t>.</t>
        </is>
      </c>
    </row>
    <row r="463">
      <c r="A463" t="inlineStr">
        <is>
          <t>MUC2</t>
        </is>
      </c>
      <c r="B463" t="inlineStr">
        <is>
          <t>4.54632231934197e-05</t>
        </is>
      </c>
      <c r="C463" t="inlineStr">
        <is>
          <t>mucin 2, oligomeric mucus/gel-forming</t>
        </is>
      </c>
      <c r="D463" t="inlineStr">
        <is>
          <t xml:space="preserve">FUNCTION: Coats the epithelia of the intestines, airways, and other mucus membrane-containing organs. Thought to provide a protective, lubricating barrier against particles and infectious agents at mucosal surfaces. Major constituent of both the inner and outer mucus layers of the colon and may play a role in excluding bacteria from the inner mucus layer. {ECO:0000269|PubMed:19432394}.; </t>
        </is>
      </c>
      <c r="E463" t="inlineStr">
        <is>
          <t>.</t>
        </is>
      </c>
      <c r="F463" t="inlineStr">
        <is>
          <t xml:space="preserve">TISSUE SPECIFICITY: Colon, small intestine, colonic tumors, bronchus, cervix and gall bladder.; </t>
        </is>
      </c>
      <c r="G463" t="inlineStr">
        <is>
          <t>unclassifiable (Anatomical System);colon;blood;skeletal muscle;stomach;bone marrow;</t>
        </is>
      </c>
      <c r="H463" t="inlineStr">
        <is>
          <t>superior cervical ganglion;atrioventricular node;</t>
        </is>
      </c>
      <c r="I463" t="inlineStr">
        <is>
          <t>.</t>
        </is>
      </c>
      <c r="J463" t="inlineStr">
        <is>
          <t>.</t>
        </is>
      </c>
      <c r="K463" t="inlineStr">
        <is>
          <t>.</t>
        </is>
      </c>
      <c r="L463" t="inlineStr">
        <is>
          <t>.</t>
        </is>
      </c>
      <c r="M463" t="inlineStr">
        <is>
          <t>.</t>
        </is>
      </c>
      <c r="N463" t="inlineStr">
        <is>
          <t>.</t>
        </is>
      </c>
      <c r="O463" t="inlineStr">
        <is>
          <t>.</t>
        </is>
      </c>
    </row>
    <row r="464">
      <c r="A464" t="inlineStr">
        <is>
          <t>MUC6</t>
        </is>
      </c>
      <c r="B464" t="inlineStr">
        <is>
          <t>1.08683766450872e-32</t>
        </is>
      </c>
      <c r="C464" t="inlineStr">
        <is>
          <t>mucin 6, oligomeric mucus/gel-forming</t>
        </is>
      </c>
      <c r="D464" t="inlineStr">
        <is>
          <t xml:space="preserve">FUNCTION: May provide a mechanism for modulation of the composition of the protective mucus layer related to acid secretion or the presence of bacteria and noxious agents in the lumen. Plays an important role in the cytoprotection of epithelial surfaces and are used as tumor markers in a variety of cancers. May play a role in epithelial organogenesis. {ECO:0000269|PubMed:10209489, ECO:0000269|PubMed:10330458, ECO:0000269|PubMed:11988092}.; </t>
        </is>
      </c>
      <c r="E464" t="inlineStr">
        <is>
          <t>.</t>
        </is>
      </c>
      <c r="F464" t="inlineStr">
        <is>
          <t xml:space="preserve">TISSUE SPECIFICITY: Expressed in the regenerative zone of gastric antrum, gastric body mucosa and gastric incisura mucosa. Expressed in the deeper mucous glands of gastric antrum. Overexpressed in Helicobacter pylori infected gastric epithelium. Highly expressed in duodenal Brunner's glands, gall bladder, seminal vesicle, pancreatic centroacinar cells and ducts, and periductal glands of the common bile duct. {ECO:0000269|PubMed:10209489, ECO:0000269|PubMed:10330458, ECO:0000269|PubMed:11988092, ECO:0000269|PubMed:15280409, ECO:0000269|PubMed:9422745}.; </t>
        </is>
      </c>
      <c r="G464" t="inlineStr">
        <is>
          <t>.</t>
        </is>
      </c>
      <c r="H464" t="inlineStr">
        <is>
          <t>.</t>
        </is>
      </c>
      <c r="I464" t="inlineStr">
        <is>
          <t>.</t>
        </is>
      </c>
      <c r="J464" t="inlineStr">
        <is>
          <t>.</t>
        </is>
      </c>
      <c r="K464" t="inlineStr">
        <is>
          <t>.</t>
        </is>
      </c>
      <c r="L464" t="inlineStr">
        <is>
          <t>.</t>
        </is>
      </c>
      <c r="M464" t="inlineStr">
        <is>
          <t>.</t>
        </is>
      </c>
      <c r="N464" t="inlineStr">
        <is>
          <t>.</t>
        </is>
      </c>
      <c r="O464" t="inlineStr">
        <is>
          <t>.</t>
        </is>
      </c>
    </row>
    <row r="465">
      <c r="A465" t="inlineStr">
        <is>
          <t>MUC7</t>
        </is>
      </c>
      <c r="B465" t="inlineStr">
        <is>
          <t>9.13857519573247e-05</t>
        </is>
      </c>
      <c r="C465" t="inlineStr">
        <is>
          <t>mucin 7, secreted</t>
        </is>
      </c>
      <c r="D465" t="inlineStr">
        <is>
          <t xml:space="preserve">FUNCTION: May function in a protective capacity by promoting the clearance of bacteria in the oral cavity and aiding in mastication, speech, and swallowing. Binds P.aeruginosa pili. {ECO:0000269|PubMed:11378823, ECO:0000269|PubMed:8104046}.; </t>
        </is>
      </c>
      <c r="E465" t="inlineStr">
        <is>
          <t xml:space="preserve">DISEASE: Asthma (ASTHMA) [MIM:600807]: The most common chronic disease affecting children and young adults. It is a complex genetic disorder with a heterogeneous phenotype, largely attributed to the interactions among many genes and between these genes and the environment. It is characterized by recurrent attacks of paroxysmal dyspnea, with wheezing due to spasmodic contraction of the bronchi. {ECO:0000269|PubMed:11378823}. Note=Disease susceptibility is associated with variations affecting the gene represented in this entry.; </t>
        </is>
      </c>
      <c r="F465" t="inlineStr">
        <is>
          <t xml:space="preserve">TISSUE SPECIFICITY: Expressed in salivary gland tissues and only in those that contain mucous acinar cells (e.g. sublingual and submandibular glands) and not in salivary glands containing only serous acinar cells (e.g. parotid gland). {ECO:0000269|PubMed:1445223, ECO:0000269|PubMed:7690757}.; </t>
        </is>
      </c>
      <c r="G465" t="inlineStr">
        <is>
          <t>unclassifiable (Anatomical System);lung;heart;adrenal gland;thyroid;adrenal cortex;parathyroid;spleen;pineal gland;skeletal muscle;</t>
        </is>
      </c>
      <c r="H465" t="inlineStr">
        <is>
          <t>superior cervical ganglion;prostate;trachea;salivary gland;thyroid;liver;</t>
        </is>
      </c>
      <c r="I465">
        <f>HYPERLINK("https://omim.org/entry/600807", "600807")</f>
        <v/>
      </c>
      <c r="J465" t="inlineStr">
        <is>
          <t>.</t>
        </is>
      </c>
      <c r="K465" t="inlineStr">
        <is>
          <t>.</t>
        </is>
      </c>
      <c r="L465" t="inlineStr">
        <is>
          <t>.</t>
        </is>
      </c>
      <c r="M465" t="inlineStr">
        <is>
          <t>.</t>
        </is>
      </c>
      <c r="N465" t="inlineStr">
        <is>
          <t>.</t>
        </is>
      </c>
      <c r="O465" t="inlineStr">
        <is>
          <t>.</t>
        </is>
      </c>
    </row>
    <row r="466">
      <c r="A466" t="inlineStr">
        <is>
          <t>MYH4</t>
        </is>
      </c>
      <c r="B466" t="inlineStr">
        <is>
          <t>8.81492134588241e-35</t>
        </is>
      </c>
      <c r="C466" t="inlineStr">
        <is>
          <t>myosin, heavy chain 4, skeletal muscle</t>
        </is>
      </c>
      <c r="D466" t="inlineStr">
        <is>
          <t xml:space="preserve">FUNCTION: Muscle contraction.; </t>
        </is>
      </c>
      <c r="E466" t="inlineStr">
        <is>
          <t>.</t>
        </is>
      </c>
      <c r="F466" t="inlineStr">
        <is>
          <t>.</t>
        </is>
      </c>
      <c r="G466" t="inlineStr">
        <is>
          <t>.</t>
        </is>
      </c>
      <c r="H466" t="inlineStr">
        <is>
          <t>.</t>
        </is>
      </c>
      <c r="I466" t="inlineStr">
        <is>
          <t>.</t>
        </is>
      </c>
      <c r="J466" t="inlineStr">
        <is>
          <t>.</t>
        </is>
      </c>
      <c r="K466" t="inlineStr">
        <is>
          <t>.</t>
        </is>
      </c>
      <c r="L466" t="inlineStr">
        <is>
          <t>.</t>
        </is>
      </c>
      <c r="M466" t="inlineStr">
        <is>
          <t>.</t>
        </is>
      </c>
      <c r="N466" t="inlineStr">
        <is>
          <t>.</t>
        </is>
      </c>
      <c r="O466" t="inlineStr">
        <is>
          <t>.</t>
        </is>
      </c>
    </row>
    <row r="467">
      <c r="A467" t="inlineStr">
        <is>
          <t>MYH6</t>
        </is>
      </c>
      <c r="B467" t="inlineStr">
        <is>
          <t>1.27598576115295e-17</t>
        </is>
      </c>
      <c r="C467" t="inlineStr">
        <is>
          <t>myosin, heavy chain 6, cardiac muscle, alpha</t>
        </is>
      </c>
      <c r="D467" t="inlineStr">
        <is>
          <t xml:space="preserve">FUNCTION: Muscle contraction.; </t>
        </is>
      </c>
      <c r="E467" t="inlineStr">
        <is>
          <t xml:space="preserve">DISEASE: Atrial septal defect 3 (ASD3) [MIM:614089]: A congenital heart malformation characterized by incomplete closure of the wall between the atria resulting in blood flow from the left to the right atria. {ECO:0000269|PubMed:15735645}. Note=The disease is caused by mutations affecting the gene represented in this entry.; DISEASE: Cardiomyopathy, familial hypertrophic 14 (CMH14) [MIM:613251]: A hereditary heart disorder characterized by ventricular hypertrophy, which is usually asymmetric and often involves the interventricular septum. The symptoms include dyspnea, syncope, collapse, palpitations, and chest pain. They can be readily provoked by exercise. The disorder has inter- and intrafamilial variability ranging from benign to malignant forms with high risk of cardiac failure and sudden cardiac death. {ECO:0000269|PubMed:11815426, ECO:0000269|PubMed:15998695}. Note=The disease is caused by mutations affecting the gene represented in this entry.; DISEASE: Cardiomyopathy, dilated 1EE (CMD1EE) [MIM:613252]: A disorder characterized by ventricular dilation and impaired systolic function, resulting in congestive heart failure and arrhythmia. Patients are at risk of premature death. {ECO:0000269|PubMed:15998695}. Note=The disease is caused by mutations affecting the gene represented in this entry.; DISEASE: Sick sinus syndrome 3 (SSS3) [MIM:614090]: The term 'sick sinus syndrome' encompasses a variety of conditions caused by sinus node dysfunction. The most common clinical manifestations are syncope, presyncope, dizziness, and fatigue. Electrocardiogram typically shows sinus bradycardia, sinus arrest, and/or sinoatrial block. Episodes of atrial tachycardias coexisting with sinus bradycardia ('tachycardia-bradycardia syndrome') are also common in this disorder. SSS occurs most often in the elderly associated with underlying heart disease or previous cardiac surgery, but can also occur in the fetus, infant, or child without heart disease or other contributing factors. {ECO:0000269|PubMed:21378987}. Note=Disease susceptibility is associated with variations affecting the gene represented in this entry. The lifetime risk of being diagnosed with sick sinus syndrome is higher for carriers of variant p.Arg721Trp than for non-carriers. {ECO:0000269|PubMed:21378987}.; </t>
        </is>
      </c>
      <c r="F467" t="inlineStr">
        <is>
          <t>.</t>
        </is>
      </c>
      <c r="G467" t="inlineStr">
        <is>
          <t>unclassifiable (Anatomical System);myocardium;heart;tongue;muscle;skeletal muscle;whole body;atrium;lung;epididymis;thyroid;liver;head and neck;</t>
        </is>
      </c>
      <c r="H467" t="inlineStr">
        <is>
          <t>heart;fetal thyroid;skeletal muscle;</t>
        </is>
      </c>
      <c r="I467">
        <f>HYPERLINK("https://omim.org/entry/614089", "614089")</f>
        <v/>
      </c>
      <c r="J467">
        <f>HYPERLINK("https://omim.org/entry/613251", "613251")</f>
        <v/>
      </c>
      <c r="K467">
        <f>HYPERLINK("https://omim.org/entry/613252", "613252")</f>
        <v/>
      </c>
      <c r="L467">
        <f>HYPERLINK("https://omim.org/entry/614090", "614090")</f>
        <v/>
      </c>
      <c r="M467" t="inlineStr">
        <is>
          <t>.</t>
        </is>
      </c>
      <c r="N467" t="inlineStr">
        <is>
          <t>.</t>
        </is>
      </c>
      <c r="O467" t="inlineStr">
        <is>
          <t>.</t>
        </is>
      </c>
    </row>
    <row r="468">
      <c r="A468" t="inlineStr">
        <is>
          <t>MYO18A</t>
        </is>
      </c>
      <c r="B468" t="inlineStr">
        <is>
          <t>0.999417503618365</t>
        </is>
      </c>
      <c r="C468" t="inlineStr">
        <is>
          <t>myosin XVIIIA</t>
        </is>
      </c>
      <c r="D468" t="inlineStr">
        <is>
          <t xml:space="preserve">FUNCTION: May link Golgi membranes to the cytoskeleton and participate in the tensile force required for vesicle budding from the Golgi. Thereby, may play a role in Golgi membrane trafficking and could indirectly give its flattened shape to the Golgi apparatus. Alternatively, in concert with LURAP1 and CDC42BPA/CDC42BPB, has been involved in modulating lamellar actomyosin retrograde flow that is crucial to cell protrusion and migration. May be involved in the maintenance of the stromal cell architectures required for cell to cell contact. {ECO:0000269|PubMed:18854160, ECO:0000269|PubMed:19837035, ECO:0000269|PubMed:23345592}.; </t>
        </is>
      </c>
      <c r="E468" t="inlineStr">
        <is>
          <t>.</t>
        </is>
      </c>
      <c r="F468" t="inlineStr">
        <is>
          <t>.</t>
        </is>
      </c>
      <c r="G468" t="inlineStr">
        <is>
          <t>myocardium;ovary;sympathetic chain;colon;choroid;skin;bone marrow;uterus;prostate;frontal lobe;endometrium;larynx;thyroid;pituitary gland;testis;germinal center;brain;pineal gland;bladder;tonsil;unclassifiable (Anatomical System);lymph node;cartilage;heart;islets of Langerhans;muscle;pharynx;blood;lens;skeletal muscle;bile duct;pancreas;lung;placenta;visual apparatus;hypopharynx;liver;cervix;spleen;head and neck;kidney;mammary gland;stomach;</t>
        </is>
      </c>
      <c r="H468" t="inlineStr">
        <is>
          <t>.</t>
        </is>
      </c>
      <c r="I468" t="inlineStr">
        <is>
          <t>.</t>
        </is>
      </c>
      <c r="J468" t="inlineStr">
        <is>
          <t>.</t>
        </is>
      </c>
      <c r="K468" t="inlineStr">
        <is>
          <t>.</t>
        </is>
      </c>
      <c r="L468" t="inlineStr">
        <is>
          <t>.</t>
        </is>
      </c>
      <c r="M468" t="inlineStr">
        <is>
          <t>.</t>
        </is>
      </c>
      <c r="N468" t="inlineStr">
        <is>
          <t>.</t>
        </is>
      </c>
      <c r="O468" t="inlineStr">
        <is>
          <t>.</t>
        </is>
      </c>
    </row>
    <row r="469">
      <c r="A469" t="inlineStr">
        <is>
          <t>MYO18B</t>
        </is>
      </c>
      <c r="B469" t="inlineStr">
        <is>
          <t>2.61207132683228e-15</t>
        </is>
      </c>
      <c r="C469" t="inlineStr">
        <is>
          <t>myosin XVIIIB</t>
        </is>
      </c>
      <c r="D469" t="inlineStr">
        <is>
          <t xml:space="preserve">FUNCTION: May be involved in intracellular trafficking of the muscle cell when in the cytoplasm, whereas entering the nucleus, may be involved in the regulation of muscle specific genes. May play a role in the control of tumor development and progression; restored MYO18B expression in lung cancer cells suppresses anchorage-independent growth.; </t>
        </is>
      </c>
      <c r="E469" t="inlineStr">
        <is>
          <t>.</t>
        </is>
      </c>
      <c r="F469" t="inlineStr">
        <is>
          <t xml:space="preserve">TISSUE SPECIFICITY: Selectively expressed in cardiac and skeletal muscles. Weakly expressed in testis, pancreas, placenta, prostate, lung and thymus.; </t>
        </is>
      </c>
      <c r="G469" t="inlineStr">
        <is>
          <t>unclassifiable (Anatomical System);lymph node;heart;larynx;visual apparatus;liver;testis;spleen;head and neck;skeletal muscle;retina;</t>
        </is>
      </c>
      <c r="H469" t="inlineStr">
        <is>
          <t>atrioventricular node;</t>
        </is>
      </c>
      <c r="I469" t="inlineStr">
        <is>
          <t>.</t>
        </is>
      </c>
      <c r="J469" t="inlineStr">
        <is>
          <t>.</t>
        </is>
      </c>
      <c r="K469" t="inlineStr">
        <is>
          <t>.</t>
        </is>
      </c>
      <c r="L469" t="inlineStr">
        <is>
          <t>.</t>
        </is>
      </c>
      <c r="M469" t="inlineStr">
        <is>
          <t>.</t>
        </is>
      </c>
      <c r="N469" t="inlineStr">
        <is>
          <t>.</t>
        </is>
      </c>
      <c r="O469" t="inlineStr">
        <is>
          <t>.</t>
        </is>
      </c>
    </row>
    <row r="470">
      <c r="A470" t="inlineStr">
        <is>
          <t>MYO5B</t>
        </is>
      </c>
      <c r="B470" t="inlineStr">
        <is>
          <t>5.4231747689238e-10</t>
        </is>
      </c>
      <c r="C470" t="inlineStr">
        <is>
          <t>myosin VB</t>
        </is>
      </c>
      <c r="D470" t="inlineStr">
        <is>
          <t xml:space="preserve">FUNCTION: May be involved in vesicular trafficking via its association with the CART complex. The CART complex is necessary for efficient transferrin receptor recycling but not for EGFR degradation. Required in a complex with RAB11A and RAB11FIP2 for the transport of NPC1L1 to the plasma membrane. Together with RAB11A participates in CFTR trafficking to the plasma membrane and TF (transferrin) recycling in nonpolarized cells. Together with RAB11A and RAB8A participates in epithelial cell polarization. Together with RAB25 regulates transcytosis. {ECO:0000269|PubMed:21206382, ECO:0000269|PubMed:21282656}.; </t>
        </is>
      </c>
      <c r="E470" t="inlineStr">
        <is>
          <t xml:space="preserve">DISEASE: Diarrhea 2, with microvillus atrophy (DIAR2) [MIM:251850]: A disease characterized by onset of intractable life-threatening watery diarrhea during infancy. Two forms are recognized: early-onset microvillus inclusion disease with diarrhea beginning in the neonatal period, and late-onset, with first symptoms appearing after 3 or 4 months of life. {ECO:0000269|PubMed:18724368, ECO:0000269|PubMed:19006234, ECO:0000269|PubMed:20186687, ECO:0000269|PubMed:21206382, ECO:0000269|PubMed:24138727, ECO:0000269|PubMed:24892806}. Note=The disease is caused by mutations affecting the gene represented in this entry.; </t>
        </is>
      </c>
      <c r="F470" t="inlineStr">
        <is>
          <t>.</t>
        </is>
      </c>
      <c r="G470" t="inlineStr">
        <is>
          <t>ovary;colon;parathyroid;fovea centralis;choroid;skin;retina;uterus;prostate;optic nerve;whole body;endometrium;thyroid;testis;dura mater;germinal center;brain;bladder;pineal gland;unclassifiable (Anatomical System);meninges;cartilage;heart;islets of Langerhans;lens;skeletal muscle;bile duct;breast;pia mater;lung;placenta;macula lutea;visual apparatus;liver;spleen;cervix;kidney;mammary gland;stomach;</t>
        </is>
      </c>
      <c r="H470" t="inlineStr">
        <is>
          <t>dorsal root ganglion;testis - interstitial;superior cervical ganglion;testis;globus pallidus;ciliary ganglion;pons;kidney;trigeminal ganglion;skeletal muscle;</t>
        </is>
      </c>
      <c r="I470">
        <f>HYPERLINK("https://omim.org/entry/251850", "251850")</f>
        <v/>
      </c>
      <c r="J470" t="inlineStr">
        <is>
          <t>.</t>
        </is>
      </c>
      <c r="K470" t="inlineStr">
        <is>
          <t>.</t>
        </is>
      </c>
      <c r="L470" t="inlineStr">
        <is>
          <t>.</t>
        </is>
      </c>
      <c r="M470" t="inlineStr">
        <is>
          <t>.</t>
        </is>
      </c>
      <c r="N470" t="inlineStr">
        <is>
          <t>.</t>
        </is>
      </c>
      <c r="O470" t="inlineStr">
        <is>
          <t>.</t>
        </is>
      </c>
    </row>
    <row r="471">
      <c r="A471" t="inlineStr">
        <is>
          <t>MYOM3</t>
        </is>
      </c>
      <c r="B471" t="inlineStr">
        <is>
          <t>9.28408886540307e-28</t>
        </is>
      </c>
      <c r="C471" t="inlineStr">
        <is>
          <t>myomesin 3</t>
        </is>
      </c>
      <c r="D471" t="inlineStr">
        <is>
          <t xml:space="preserve">FUNCTION: May link the intermediate filament cytoskeleton to the M-disk of the myofibrils in striated muscle. {ECO:0000250}.; </t>
        </is>
      </c>
      <c r="E471" t="inlineStr">
        <is>
          <t>.</t>
        </is>
      </c>
      <c r="F471" t="inlineStr">
        <is>
          <t>.</t>
        </is>
      </c>
      <c r="G471" t="inlineStr">
        <is>
          <t>unclassifiable (Anatomical System);uterus;smooth muscle;heart;muscle;liver;kidney;skin;skeletal muscle;</t>
        </is>
      </c>
      <c r="H471" t="inlineStr">
        <is>
          <t>dorsal root ganglion;medulla oblongata;superior cervical ganglion;globus pallidus;ciliary ganglion;caudate nucleus;atrioventricular node;pons;trigeminal ganglion;skeletal muscle;parietal lobe;</t>
        </is>
      </c>
      <c r="I471" t="inlineStr">
        <is>
          <t>.</t>
        </is>
      </c>
      <c r="J471" t="inlineStr">
        <is>
          <t>.</t>
        </is>
      </c>
      <c r="K471" t="inlineStr">
        <is>
          <t>.</t>
        </is>
      </c>
      <c r="L471" t="inlineStr">
        <is>
          <t>.</t>
        </is>
      </c>
      <c r="M471" t="inlineStr">
        <is>
          <t>.</t>
        </is>
      </c>
      <c r="N471" t="inlineStr">
        <is>
          <t>.</t>
        </is>
      </c>
      <c r="O471" t="inlineStr">
        <is>
          <t>.</t>
        </is>
      </c>
    </row>
    <row r="472">
      <c r="A472" t="inlineStr">
        <is>
          <t>NADK</t>
        </is>
      </c>
      <c r="B472" t="inlineStr">
        <is>
          <t>0.00126768961404905</t>
        </is>
      </c>
      <c r="C472" t="inlineStr">
        <is>
          <t>NAD kinase</t>
        </is>
      </c>
      <c r="D472" t="inlineStr">
        <is>
          <t>.</t>
        </is>
      </c>
      <c r="E472" t="inlineStr">
        <is>
          <t>.</t>
        </is>
      </c>
      <c r="F472" t="inlineStr">
        <is>
          <t xml:space="preserve">TISSUE SPECIFICITY: Widely expressed but not detected in skeletal muscle. {ECO:0000269|PubMed:11594753}.; </t>
        </is>
      </c>
      <c r="G472" t="inlineStr">
        <is>
          <t>ovary;colon;parathyroid;fovea centralis;choroid;skin;retina;bone marrow;uterus;prostate;optic nerve;whole body;frontal lobe;endometrium;larynx;bone;testis;germinal center;brain;tonsil;unclassifiable (Anatomical System);lymph node;cartilage;heart;islets of Langerhans;hypothalamus;adrenal cortex;blood;lens;skeletal muscle;breast;bile duct;pancreas;lung;adrenal gland;epididymis;placenta;macula lutea;visual apparatus;amnion;liver;spleen;head and neck;cervix;kidney;mammary gland;stomach;</t>
        </is>
      </c>
      <c r="H472" t="inlineStr">
        <is>
          <t>superior cervical ganglion;adrenal gland;testis;ciliary ganglion;whole blood;cingulate cortex;</t>
        </is>
      </c>
      <c r="I472" t="inlineStr">
        <is>
          <t>.</t>
        </is>
      </c>
      <c r="J472" t="inlineStr">
        <is>
          <t>.</t>
        </is>
      </c>
      <c r="K472" t="inlineStr">
        <is>
          <t>.</t>
        </is>
      </c>
      <c r="L472" t="inlineStr">
        <is>
          <t>.</t>
        </is>
      </c>
      <c r="M472" t="inlineStr">
        <is>
          <t>.</t>
        </is>
      </c>
      <c r="N472" t="inlineStr">
        <is>
          <t>.</t>
        </is>
      </c>
      <c r="O472" t="inlineStr">
        <is>
          <t>.</t>
        </is>
      </c>
    </row>
    <row r="473">
      <c r="A473" t="inlineStr">
        <is>
          <t>NAGLU</t>
        </is>
      </c>
      <c r="B473" t="inlineStr">
        <is>
          <t>0.000404074411747293</t>
        </is>
      </c>
      <c r="C473" t="inlineStr">
        <is>
          <t>N-acetylglucosaminidase, alpha</t>
        </is>
      </c>
      <c r="D473" t="inlineStr">
        <is>
          <t xml:space="preserve">FUNCTION: Involved in the degradation of heparan sulfate.; </t>
        </is>
      </c>
      <c r="E473" t="inlineStr">
        <is>
          <t xml:space="preserve">DISEASE: Charcot-Marie-Tooth disease 2V (CMT2V) [MIM:616491]: An axonal form of Charcot-Marie-Tooth disease, a disorder of the peripheral nervous system, characterized by progressive weakness and atrophy, initially of the peroneal muscles and later of the distal muscles of the arms. Charcot-Marie-Tooth disease is classified in two main groups on the basis of electrophysiologic properties and histopathology: primary peripheral demyelinating neuropathies (designated CMT1 when they are dominantly inherited) and primary peripheral axonal neuropathies (CMT2). Neuropathies of the CMT2 group are characterized by signs of axonal degeneration in the absence of obvious myelin alterations, normal or slightly reduced nerve conduction velocities, and progressive distal muscle weakness and atrophy. CMT2V is an autosomal dominant sensory neuropathy with late onset. The main clinical feature is recurrent leg pain that progresses to constant painful paraesthesias in the feet and later the hands. As it evolves, some patients develop a mild sensory ataxia. {ECO:0000269|PubMed:25818867}. Note=The disease is caused by mutations affecting the gene represented in this entry.; </t>
        </is>
      </c>
      <c r="F473" t="inlineStr">
        <is>
          <t xml:space="preserve">TISSUE SPECIFICITY: Liver, ovary, peripheral blood leukocytes, testis, prostate, spleen, colon, lung, placenta and kidney.; </t>
        </is>
      </c>
      <c r="G473" t="inlineStr">
        <is>
          <t>ovary;colon;parathyroid;fovea centralis;choroid;skin;retina;uterus;prostate;optic nerve;whole body;bone;testis;brain;unclassifiable (Anatomical System);heart;cartilage;hypothalamus;muscle;blood;lens;lung;epididymis;placenta;macula lutea;visual apparatus;liver;head and neck;cervix;kidney;mammary gland;stomach;</t>
        </is>
      </c>
      <c r="H473" t="inlineStr">
        <is>
          <t>testis - interstitial;ciliary ganglion;trigeminal ganglion;skeletal muscle;</t>
        </is>
      </c>
      <c r="I473">
        <f>HYPERLINK("https://omim.org/entry/616491", "616491")</f>
        <v/>
      </c>
      <c r="J473" t="inlineStr">
        <is>
          <t>.</t>
        </is>
      </c>
      <c r="K473" t="inlineStr">
        <is>
          <t>.</t>
        </is>
      </c>
      <c r="L473" t="inlineStr">
        <is>
          <t>.</t>
        </is>
      </c>
      <c r="M473" t="inlineStr">
        <is>
          <t>.</t>
        </is>
      </c>
      <c r="N473" t="inlineStr">
        <is>
          <t>.</t>
        </is>
      </c>
      <c r="O473" t="inlineStr">
        <is>
          <t>.</t>
        </is>
      </c>
    </row>
    <row r="474">
      <c r="A474" t="inlineStr">
        <is>
          <t>NAMPT</t>
        </is>
      </c>
      <c r="B474" t="inlineStr">
        <is>
          <t>0.982566484474744</t>
        </is>
      </c>
      <c r="C474" t="inlineStr">
        <is>
          <t>nicotinamide phosphoribosyltransferase</t>
        </is>
      </c>
      <c r="D474" t="inlineStr">
        <is>
          <t xml:space="preserve">FUNCTION: Catalyzes the condensation of nicotinamide with 5- phosphoribosyl-1-pyrophosphate to yield nicotinamide mononucleotide, an intermediate in the biosynthesis of NAD. It is the rate limiting component in the mammalian NAD biosynthesis pathway. The secreted form behaves both as a cytokine with immunomodulating properties and an adipokine with anti-diabetic properties, it has no enzymatic activity, partly because of lack of activation by ATP, which has a low level in extracellular space and plasma. Plays a role in the modulation of circadian clock function. NAMPT-dependent oscillatory production of NAD regulates oscillation of clock target gene expression by releasing the core clock component: CLOCK-ARNTL/BMAL1 heterodimer from NAD-dependent SIRT1-mediated suppression (By similarity). {ECO:0000250|UniProtKB:Q99KQ4, ECO:0000269|PubMed:24130902}.; </t>
        </is>
      </c>
      <c r="E474" t="inlineStr">
        <is>
          <t>.</t>
        </is>
      </c>
      <c r="F474" t="inlineStr">
        <is>
          <t xml:space="preserve">TISSUE SPECIFICITY: Expressed in large amounts in bone marrow, liver tissue, and muscle. Also present in heart, placenta, lung, and kidney tissues.; </t>
        </is>
      </c>
      <c r="G474" t="inlineStr">
        <is>
          <t>smooth muscle;ovary;skin;retina;bone marrow;prostate;optic nerve;endometrium;thyroid;iris;amniotic fluid;germinal center;bladder;brain;gall bladder;heart;cartilage;urinary;pharynx;blood;lens;skeletal muscle;breast;trabecular meshwork;macula lutea;visual apparatus;liver;alveolus;spleen;cervix;mammary gland;salivary gland;intestine;colon;parathyroid;fovea centralis;choroid;uterus;whole body;cerebral cortex;larynx;bone;testis;spinal ganglion;unclassifiable (Anatomical System);lymph node;islets of Langerhans;bile duct;pancreas;lung;cornea;nasopharynx;placenta;hippocampus;duodenum;hypopharynx;head and neck;kidney;stomach;aorta;</t>
        </is>
      </c>
      <c r="H474" t="inlineStr">
        <is>
          <t>superior cervical ganglion;adrenal cortex;fetal lung;ciliary ganglion;trigeminal ganglion;whole blood;skeletal muscle;</t>
        </is>
      </c>
      <c r="I474" t="inlineStr">
        <is>
          <t>.</t>
        </is>
      </c>
      <c r="J474" t="inlineStr">
        <is>
          <t>.</t>
        </is>
      </c>
      <c r="K474" t="inlineStr">
        <is>
          <t>.</t>
        </is>
      </c>
      <c r="L474" t="inlineStr">
        <is>
          <t>.</t>
        </is>
      </c>
      <c r="M474" t="inlineStr">
        <is>
          <t>.</t>
        </is>
      </c>
      <c r="N474" t="inlineStr">
        <is>
          <t>.</t>
        </is>
      </c>
      <c r="O474" t="inlineStr">
        <is>
          <t>.</t>
        </is>
      </c>
    </row>
    <row r="475">
      <c r="A475" t="inlineStr">
        <is>
          <t>NAT10</t>
        </is>
      </c>
      <c r="B475" t="inlineStr">
        <is>
          <t>1.05399824567495e-13</t>
        </is>
      </c>
      <c r="C475" t="inlineStr">
        <is>
          <t>N-acetyltransferase 10</t>
        </is>
      </c>
      <c r="D475" t="inlineStr">
        <is>
          <t xml:space="preserve">FUNCTION: RNA cytidine acetyltransferase with specificity toward both 18S rRNA and tRNAs (PubMed:25653167). Catalyzes the formation of N(4)-acetylcytidine (ac4C) at positions 1337 and 1842 in 18S rRNA (By similarity). Required for early nucleolar cleavages of precursor rRNA at sites A0, A1 and A2 during 18S rRNA synthesis (PubMed:25653167). Catalyzes the formation of ac4C in serine and leucine tRNAs (By similarity). Requires the tRNA-binding adapter protein THUMBD1 for full tRNA acetyltransferase activity but not for 18S rRNA acetylation (PubMed:25653167). Can acetylate both histones and microtubules. Histone acetylation may regulate transcription and mitotic chromosome de-condensation. Activates telomerase activity by stimulating the transcription of TERT, and may also regulate telomerase function by affecting the balance of telomerase subunit assembly, disassembly, and localization. Acetylates alpha-tubulin, which may affect microtubule stability and cell division (PubMed:14592445, PubMed:17631499, PubMed:18082603, PubMed:19303003). {ECO:0000250|UniProtKB:P53914, ECO:0000255|HAMAP-Rule:MF_03211, ECO:0000269|PubMed:14592445, ECO:0000269|PubMed:17631499, ECO:0000269|PubMed:18082603, ECO:0000269|PubMed:19303003, ECO:0000269|PubMed:25653167}.; </t>
        </is>
      </c>
      <c r="E475" t="inlineStr">
        <is>
          <t>.</t>
        </is>
      </c>
      <c r="F475" t="inlineStr">
        <is>
          <t>.</t>
        </is>
      </c>
      <c r="G475" t="inlineStr">
        <is>
          <t>ovary;skin;bone marrow;retina;prostate;optic nerve;frontal lobe;cochlea;endometrium;thyroid;iris;amniotic fluid;germinal center;bladder;brain;heart;cartilage;tongue;urinary;adrenal cortex;pharynx;blood;lens;skeletal muscle;breast;macula lutea;visual apparatus;liver;alveolus;spleen;cervix;mammary gland;salivary gland;intestine;colon;parathyroid;fovea centralis;choroid;vein;uterus;larynx;bone;testis;unclassifiable (Anatomical System);pancreas;lung;adrenal gland;nasopharynx;placenta;head and neck;kidney;stomach;cerebellum;</t>
        </is>
      </c>
      <c r="H475" t="inlineStr">
        <is>
          <t>superior cervical ganglion;</t>
        </is>
      </c>
      <c r="I475" t="inlineStr">
        <is>
          <t>.</t>
        </is>
      </c>
      <c r="J475" t="inlineStr">
        <is>
          <t>.</t>
        </is>
      </c>
      <c r="K475" t="inlineStr">
        <is>
          <t>.</t>
        </is>
      </c>
      <c r="L475" t="inlineStr">
        <is>
          <t>.</t>
        </is>
      </c>
      <c r="M475" t="inlineStr">
        <is>
          <t>.</t>
        </is>
      </c>
      <c r="N475" t="inlineStr">
        <is>
          <t>.</t>
        </is>
      </c>
      <c r="O475" t="inlineStr">
        <is>
          <t>.</t>
        </is>
      </c>
    </row>
    <row r="476">
      <c r="A476" t="inlineStr">
        <is>
          <t>NBEA</t>
        </is>
      </c>
      <c r="B476" t="inlineStr">
        <is>
          <t>0.999999999999975</t>
        </is>
      </c>
      <c r="C476" t="inlineStr">
        <is>
          <t>neurobeachin</t>
        </is>
      </c>
      <c r="D476" t="inlineStr">
        <is>
          <t xml:space="preserve">FUNCTION: Binds to type II regulatory subunits of protein kinase A and anchors/targets them to the membrane. May anchor the kinase to cytoskeletal and/or organelle-associated proteins (By similarity). {ECO:0000250}.; </t>
        </is>
      </c>
      <c r="E476" t="inlineStr">
        <is>
          <t>.</t>
        </is>
      </c>
      <c r="F476" t="inlineStr">
        <is>
          <t xml:space="preserve">TISSUE SPECIFICITY: Predominant in many brain structures. Also expressed at medium levels in spleen, thymus, prostate, testis and ovary. Low level expression is seen in heart, kidney, pancreas, skeletal muscle and intestine. {ECO:0000269|PubMed:12160729}.; </t>
        </is>
      </c>
      <c r="G476" t="inlineStr">
        <is>
          <t>ovary;salivary gland;intestine;colon;fovea centralis;choroid;skin;retina;uterus;prostate;optic nerve;whole body;frontal lobe;thyroid;iris;pituitary gland;testis;bladder;brain;unclassifiable (Anatomical System);heart;lacrimal gland;cerebellum cortex;islets of Langerhans;pineal body;spinal cord;pharynx;blood;lens;skeletal muscle;breast;lung;macula lutea;liver;head and neck;kidney;aorta;peripheral nerve;</t>
        </is>
      </c>
      <c r="H476" t="inlineStr">
        <is>
          <t>amygdala;dorsal root ganglion;superior cervical ganglion;subthalamic nucleus;occipital lobe;medulla oblongata;fetal brain;prefrontal cortex;globus pallidus;pons;atrioventricular node;caudate nucleus;cingulate cortex;</t>
        </is>
      </c>
      <c r="I476" t="inlineStr">
        <is>
          <t>.</t>
        </is>
      </c>
      <c r="J476" t="inlineStr">
        <is>
          <t>.</t>
        </is>
      </c>
      <c r="K476" t="inlineStr">
        <is>
          <t>.</t>
        </is>
      </c>
      <c r="L476" t="inlineStr">
        <is>
          <t>.</t>
        </is>
      </c>
      <c r="M476" t="inlineStr">
        <is>
          <t>.</t>
        </is>
      </c>
      <c r="N476" t="inlineStr">
        <is>
          <t>.</t>
        </is>
      </c>
      <c r="O476" t="inlineStr">
        <is>
          <t>.</t>
        </is>
      </c>
    </row>
    <row r="477">
      <c r="A477" t="inlineStr">
        <is>
          <t>NBEAL1</t>
        </is>
      </c>
      <c r="B477" t="inlineStr">
        <is>
          <t>1.09294225815105e-10</t>
        </is>
      </c>
      <c r="C477" t="inlineStr">
        <is>
          <t>neurobeachin like 1</t>
        </is>
      </c>
      <c r="D477" t="inlineStr">
        <is>
          <t>.</t>
        </is>
      </c>
      <c r="E477" t="inlineStr">
        <is>
          <t>.</t>
        </is>
      </c>
      <c r="F477" t="inlineStr">
        <is>
          <t xml:space="preserve">TISSUE SPECIFICITY: Highly expressed in brain, kidney, prostate and testis. Weakly expressed in ovary, small intestine, colon and peripheral blood leukocytes. May be correlative to several tumors, such as ovary serous adenocarcinoma and metastasis mammary gland carcinoma breast. {ECO:0000269|PubMed:15193433}.; </t>
        </is>
      </c>
      <c r="G477" t="inlineStr">
        <is>
          <t>unclassifiable (Anatomical System);breast;lung;cartilage;nasopharynx;placenta;visual apparatus;testis;bladder;</t>
        </is>
      </c>
      <c r="H477" t="inlineStr">
        <is>
          <t>dorsal root ganglion;superior cervical ganglion;medulla oblongata;globus pallidus;ciliary ganglion;pons;atrioventricular node;trigeminal ganglion;skeletal muscle;</t>
        </is>
      </c>
      <c r="I477" t="inlineStr">
        <is>
          <t>.</t>
        </is>
      </c>
      <c r="J477" t="inlineStr">
        <is>
          <t>.</t>
        </is>
      </c>
      <c r="K477" t="inlineStr">
        <is>
          <t>.</t>
        </is>
      </c>
      <c r="L477" t="inlineStr">
        <is>
          <t>.</t>
        </is>
      </c>
      <c r="M477" t="inlineStr">
        <is>
          <t>.</t>
        </is>
      </c>
      <c r="N477" t="inlineStr">
        <is>
          <t>.</t>
        </is>
      </c>
      <c r="O477" t="inlineStr">
        <is>
          <t>.</t>
        </is>
      </c>
    </row>
    <row r="478">
      <c r="A478" t="inlineStr">
        <is>
          <t>NCAN</t>
        </is>
      </c>
      <c r="B478" t="inlineStr">
        <is>
          <t>0.154546738217425</t>
        </is>
      </c>
      <c r="C478" t="inlineStr">
        <is>
          <t>neurocan</t>
        </is>
      </c>
      <c r="D478" t="inlineStr">
        <is>
          <t xml:space="preserve">FUNCTION: May modulate neuronal adhesion and neurite growth during development by binding to neural cell adhesion molecules (NG-CAM and N-CAM). Chondroitin sulfate proteoglycan; binds to hyaluronic acid.; </t>
        </is>
      </c>
      <c r="E478" t="inlineStr">
        <is>
          <t>.</t>
        </is>
      </c>
      <c r="F478" t="inlineStr">
        <is>
          <t xml:space="preserve">TISSUE SPECIFICITY: Brain.; </t>
        </is>
      </c>
      <c r="G478" t="inlineStr">
        <is>
          <t>unclassifiable (Anatomical System);lung;frontal lobe;cerebellum cortex;tongue;placenta;hippocampus;testis;head and neck;brain;mammary gland;skeletal muscle;aorta;</t>
        </is>
      </c>
      <c r="H478" t="inlineStr">
        <is>
          <t>amygdala;whole brain;medulla oblongata;thalamus;superior cervical ganglion;occipital lobe;hypothalamus;temporal lobe;pons;caudate nucleus;subthalamic nucleus;fetal brain;prefrontal cortex;globus pallidus;trigeminal ganglion;cingulate cortex;parietal lobe;</t>
        </is>
      </c>
      <c r="I478" t="inlineStr">
        <is>
          <t>.</t>
        </is>
      </c>
      <c r="J478" t="inlineStr">
        <is>
          <t>.</t>
        </is>
      </c>
      <c r="K478" t="inlineStr">
        <is>
          <t>.</t>
        </is>
      </c>
      <c r="L478" t="inlineStr">
        <is>
          <t>.</t>
        </is>
      </c>
      <c r="M478" t="inlineStr">
        <is>
          <t>.</t>
        </is>
      </c>
      <c r="N478" t="inlineStr">
        <is>
          <t>.</t>
        </is>
      </c>
      <c r="O478" t="inlineStr">
        <is>
          <t>.</t>
        </is>
      </c>
    </row>
    <row r="479">
      <c r="A479" t="inlineStr">
        <is>
          <t>NEFH</t>
        </is>
      </c>
      <c r="B479" t="inlineStr">
        <is>
          <t>0.00126104058830359</t>
        </is>
      </c>
      <c r="C479" t="inlineStr">
        <is>
          <t>neurofilament, heavy polypeptide</t>
        </is>
      </c>
      <c r="D479" t="inlineStr">
        <is>
          <t xml:space="preserve">FUNCTION: Neurofilaments usually contain three intermediate filament proteins: L, M, and H which are involved in the maintenance of neuronal caliber. NF-H has an important function in mature axons that is not subserved by the two smaller NF proteins.; </t>
        </is>
      </c>
      <c r="E479" t="inlineStr">
        <is>
          <t xml:space="preserve">DISEASE: Amyotrophic lateral sclerosis (ALS) [MIM:105400]: A neurodegenerative disorder affecting upper motor neurons in the brain and lower motor neurons in the brain stem and spinal cord, resulting in fatal paralysis. Sensory abnormalities are absent. The pathologic hallmarks of the disease include pallor of the corticospinal tract due to loss of motor neurons, presence of ubiquitin-positive inclusions within surviving motor neurons, and deposition of pathologic aggregates. The etiology of amyotrophic lateral sclerosis is likely to be multifactorial, involving both genetic and environmental factors. The disease is inherited in 5- 10% of the cases. {ECO:0000269|PubMed:7849698}. Note=Disease susceptibility is associated with variations affecting the gene represented in this entry.; </t>
        </is>
      </c>
      <c r="F479" t="inlineStr">
        <is>
          <t>.</t>
        </is>
      </c>
      <c r="G479" t="inlineStr">
        <is>
          <t>unclassifiable (Anatomical System);heart;pineal body;sympathetic chain;substantia nigra;fovea centralis;choroid;skeletal muscle;skin;retina;uterus;prostate;lung;macula lutea;visual apparatus;hippocampus;testis;kidney;mammary gland;brain;cerebellum;</t>
        </is>
      </c>
      <c r="H479" t="inlineStr">
        <is>
          <t>whole brain;amygdala;dorsal root ganglion;occipital lobe;thalamus;superior cervical ganglion;medulla oblongata;cerebellum peduncles;hypothalamus;temporal lobe;spinal cord;pons;subthalamic nucleus;prostate;prefrontal cortex;globus pallidus;ciliary ganglion;trigeminal ganglion;parietal lobe;cingulate cortex;cerebellum;</t>
        </is>
      </c>
      <c r="I479">
        <f>HYPERLINK("https://omim.org/entry/105400", "105400")</f>
        <v/>
      </c>
      <c r="J479" t="inlineStr">
        <is>
          <t>.</t>
        </is>
      </c>
      <c r="K479" t="inlineStr">
        <is>
          <t>.</t>
        </is>
      </c>
      <c r="L479" t="inlineStr">
        <is>
          <t>.</t>
        </is>
      </c>
      <c r="M479" t="inlineStr">
        <is>
          <t>.</t>
        </is>
      </c>
      <c r="N479" t="inlineStr">
        <is>
          <t>.</t>
        </is>
      </c>
      <c r="O479" t="inlineStr">
        <is>
          <t>.</t>
        </is>
      </c>
    </row>
    <row r="480">
      <c r="A480" t="inlineStr">
        <is>
          <t>NEK8</t>
        </is>
      </c>
      <c r="B480" t="inlineStr">
        <is>
          <t>1.56481397745759e-06</t>
        </is>
      </c>
      <c r="C480" t="inlineStr">
        <is>
          <t>NIMA related kinase 8</t>
        </is>
      </c>
      <c r="D480" t="inlineStr">
        <is>
          <t xml:space="preserve">FUNCTION: Required for renal tubular integrity. May regulate local cytoskeletal structure in kidney tubule epithelial cells. May regulate ciliary biogenesis through targeting of proteins to the cilia (By similarity). Plays a role in organogenesis and is involved in the regulation of the Hippo signaling pathway. {ECO:0000250, ECO:0000269|PubMed:23418306}.; </t>
        </is>
      </c>
      <c r="E480" t="inlineStr">
        <is>
          <t xml:space="preserve">DISEASE: Renal-hepatic-pancreatic dysplasia 2 (RHPD2) [MIM:615415]: A form of renal-hepatic-pancreatic dysplasia, a disease characterized by cystic malformations of the kidneys, liver, and pancreas. The pathological findings consist of multicystic dysplastic kidneys, dilated and dysgenetic bile ducts, a dysplastic pancreas with dilated ducts, cysts, fibrosis and inflammatory infiltrates. {ECO:0000269|PubMed:23418306}. Note=The disease is caused by mutations affecting the gene represented in this entry.; </t>
        </is>
      </c>
      <c r="F480" t="inlineStr">
        <is>
          <t xml:space="preserve">TISSUE SPECIFICITY: Highest expression in thyroid, adrenal gland and skin. Low levels in spleen, colon and uterus. Overexpressed in breast tumors, with highest expression in infiltrating ductal carcinomas and moderate levels in mucinous adenocarcinoma. {ECO:0000269|PubMed:15019993}.; </t>
        </is>
      </c>
      <c r="G480" t="inlineStr">
        <is>
          <t>lymph node;ovary;salivary gland;intestine;pharynx;colon;blood;skin;breast;prostate;pancreas;lung;bone;liver;kidney;brain;bladder;tonsil;</t>
        </is>
      </c>
      <c r="H480" t="inlineStr">
        <is>
          <t>.</t>
        </is>
      </c>
      <c r="I480">
        <f>HYPERLINK("https://omim.org/entry/615415", "615415")</f>
        <v/>
      </c>
      <c r="J480" t="inlineStr">
        <is>
          <t>.</t>
        </is>
      </c>
      <c r="K480" t="inlineStr">
        <is>
          <t>.</t>
        </is>
      </c>
      <c r="L480" t="inlineStr">
        <is>
          <t>.</t>
        </is>
      </c>
      <c r="M480" t="inlineStr">
        <is>
          <t>.</t>
        </is>
      </c>
      <c r="N480" t="inlineStr">
        <is>
          <t>.</t>
        </is>
      </c>
      <c r="O480" t="inlineStr">
        <is>
          <t>.</t>
        </is>
      </c>
    </row>
    <row r="481">
      <c r="A481" t="inlineStr">
        <is>
          <t>NEK9</t>
        </is>
      </c>
      <c r="B481" t="inlineStr">
        <is>
          <t>1.19201671010644e-06</t>
        </is>
      </c>
      <c r="C481" t="inlineStr">
        <is>
          <t>NIMA related kinase 9</t>
        </is>
      </c>
      <c r="D481" t="inlineStr">
        <is>
          <t xml:space="preserve">FUNCTION: Pleiotropic regulator of mitotic progression, participating in the control of spindle dynamics and chromosome separation. Phosphorylates different histones, myelin basic protein, beta-casein, and BICD2. Phosphorylates histone H3 on serine and threonine residues and beta-casein on serine residues. Important for G1/S transition and S phase progression. Phosphorylates NEK6 and NEK7 and stimulates their activity by releasing the autoinhibitory functions of Tyr-108 and Tyr-97 respectively. {ECO:0000269|PubMed:12840024, ECO:0000269|PubMed:14660563, ECO:0000269|PubMed:19941817}.; </t>
        </is>
      </c>
      <c r="E481" t="inlineStr">
        <is>
          <t>.</t>
        </is>
      </c>
      <c r="F481" t="inlineStr">
        <is>
          <t xml:space="preserve">TISSUE SPECIFICITY: Most abundant in heart, liver, kidney and testis. Also expressed in smooth muscle cells and fibroblasts.; </t>
        </is>
      </c>
      <c r="G481" t="inlineStr">
        <is>
          <t>myocardium;smooth muscle;ovary;skin;bone marrow;retina;prostate;optic nerve;endometrium;thyroid;germinal center;brain;heart;cartilage;tongue;pineal body;blood;skeletal muscle;breast;visual apparatus;macula lutea;liver;spleen;cervix;mammary gland;peripheral nerve;colon;parathyroid;fovea centralis;choroid;uterus;whole body;oesophagus;larynx;bone;pituitary gland;testis;spinal ganglion;unclassifiable (Anatomical System);lymph node;lacrimal gland;islets of Langerhans;muscle;pancreas;lung;adrenal gland;nasopharynx;placenta;head and neck;kidney;stomach;aorta;thymus;</t>
        </is>
      </c>
      <c r="H481" t="inlineStr">
        <is>
          <t>testis - interstitial;testis - seminiferous tubule;trigeminal ganglion;</t>
        </is>
      </c>
      <c r="I481" t="inlineStr">
        <is>
          <t>.</t>
        </is>
      </c>
      <c r="J481" t="inlineStr">
        <is>
          <t>.</t>
        </is>
      </c>
      <c r="K481" t="inlineStr">
        <is>
          <t>.</t>
        </is>
      </c>
      <c r="L481" t="inlineStr">
        <is>
          <t>.</t>
        </is>
      </c>
      <c r="M481" t="inlineStr">
        <is>
          <t>.</t>
        </is>
      </c>
      <c r="N481" t="inlineStr">
        <is>
          <t>.</t>
        </is>
      </c>
      <c r="O481" t="inlineStr">
        <is>
          <t>.</t>
        </is>
      </c>
    </row>
    <row r="482">
      <c r="A482" t="inlineStr">
        <is>
          <t>NELL1</t>
        </is>
      </c>
      <c r="B482" t="inlineStr">
        <is>
          <t>2.16981597021605e-09</t>
        </is>
      </c>
      <c r="C482" t="inlineStr">
        <is>
          <t>neural EGFL like 1</t>
        </is>
      </c>
      <c r="D482" t="inlineStr">
        <is>
          <t xml:space="preserve">FUNCTION: Plays a role in the control of cell growth and differentiation. Promotes osteoblast cell differentiation and terminal mineralization. {ECO:0000269|PubMed:21723284}.; </t>
        </is>
      </c>
      <c r="E482" t="inlineStr">
        <is>
          <t>.</t>
        </is>
      </c>
      <c r="F482" t="inlineStr">
        <is>
          <t>.</t>
        </is>
      </c>
      <c r="G482" t="inlineStr">
        <is>
          <t>unclassifiable (Anatomical System);ovary;blood;parathyroid;skeletal muscle;prostate;lung;frontal lobe;placenta;bone;alveolus;testis;kidney;brain;</t>
        </is>
      </c>
      <c r="H482" t="inlineStr">
        <is>
          <t>amygdala;whole brain;superior cervical ganglion;subthalamic nucleus;temporal lobe;cingulate cortex;</t>
        </is>
      </c>
      <c r="I482" t="inlineStr">
        <is>
          <t>.</t>
        </is>
      </c>
      <c r="J482" t="inlineStr">
        <is>
          <t>.</t>
        </is>
      </c>
      <c r="K482" t="inlineStr">
        <is>
          <t>.</t>
        </is>
      </c>
      <c r="L482" t="inlineStr">
        <is>
          <t>.</t>
        </is>
      </c>
      <c r="M482" t="inlineStr">
        <is>
          <t>.</t>
        </is>
      </c>
      <c r="N482" t="inlineStr">
        <is>
          <t>.</t>
        </is>
      </c>
      <c r="O482" t="inlineStr">
        <is>
          <t>.</t>
        </is>
      </c>
    </row>
    <row r="483">
      <c r="A483" t="inlineStr">
        <is>
          <t>NF1</t>
        </is>
      </c>
      <c r="B483" t="inlineStr">
        <is>
          <t>0.999999845570262</t>
        </is>
      </c>
      <c r="C483" t="inlineStr">
        <is>
          <t>neurofibromin 1</t>
        </is>
      </c>
      <c r="D483" t="inlineStr">
        <is>
          <t xml:space="preserve">FUNCTION: Stimulates the GTPase activity of Ras. NF1 shows greater affinity for Ras GAP, but lower specific activity. May be a regulator of Ras activity. {ECO:0000269|PubMed:2121371, ECO:0000269|PubMed:8417346}.; </t>
        </is>
      </c>
      <c r="E483" t="inlineStr">
        <is>
          <t xml:space="preserve">DISEASE: Neurofibromatosis 1 (NF1) [MIM:162200]: A disease characterized by patches of skin pigmentation (cafe-au-lait spots), Lisch nodules of the iris, tumors in the peripheral nervous system and fibromatous skin tumors. Individuals with the disorder have increased susceptibility to the development of benign and malignant tumors. {ECO:0000269|PubMed:10220149, ECO:0000269|PubMed:10336779, ECO:0000269|PubMed:10607834, ECO:0000269|PubMed:10712197, ECO:0000269|PubMed:10980545, ECO:0000269|PubMed:11258625, ECO:0000269|PubMed:11735023, ECO:0000269|PubMed:11857752, ECO:0000269|PubMed:12522551, ECO:0000269|PubMed:12552569, ECO:0000269|PubMed:12746402, ECO:0000269|PubMed:1302608, ECO:0000269|PubMed:15060124, ECO:0000269|PubMed:15146469, ECO:0000269|PubMed:15520408, ECO:0000269|PubMed:15523642, ECO:0000269|PubMed:15948193, ECO:0000269|PubMed:17160901, ECO:0000269|PubMed:2114220, ECO:0000269|PubMed:21838856, ECO:0000269|PubMed:23758643, ECO:0000269|PubMed:24413922, ECO:0000269|PubMed:7981679, ECO:0000269|PubMed:8081387, ECO:0000269|PubMed:8544190, ECO:0000269|PubMed:8807336, ECO:0000269|PubMed:8834249, ECO:0000269|PubMed:9003501, ECO:0000269|PubMed:9101300, ECO:0000269|PubMed:9150739, ECO:0000269|PubMed:9298829, ECO:0000269|PubMed:9668168}. Note=The disease is caused by mutations affecting the gene represented in this entry.; DISEASE: Leukemia, juvenile myelomonocytic (JMML) [MIM:607785]: An aggressive pediatric myelodysplastic syndrome/myeloproliferative disorder characterized by malignant transformation in the hematopoietic stem cell compartment with proliferation of differentiated progeny. Patients have splenomegaly, enlarged lymph nodes, rashes, and hemorrhages. Note=The disease is caused by mutations affecting the gene represented in this entry.; DISEASE: Watson syndrome (WTSN) [MIM:193520]: A syndrome characterized by the presence of pulmonary stenosis, cafe-au-lait spots, and mental retardation. It is considered as an atypical form of neurofibromatosis. Note=The disease is caused by mutations affecting the gene represented in this entry.; DISEASE: Familial spinal neurofibromatosis (FSNF) [MIM:162210]: Considered to be an alternative form of neurofibromatosis, showing multiple spinal tumors. {ECO:0000269|PubMed:11704931}. Note=The disease is caused by mutations affecting the gene represented in this entry.; DISEASE: Neurofibromatosis-Noonan syndrome (NFNS) [MIM:601321]: Characterized by manifestations of both NF1 and Noonan syndrome (NS). NS is a disorder characterized by dysmorphic facial features, short stature, hypertelorism, cardiac anomalies, deafness, motor delay, and a bleeding diathesis. {ECO:0000269|PubMed:12707950, ECO:0000269|PubMed:16380919, ECO:0000269|PubMed:19845691}. Note=The disease is caused by mutations affecting the gene represented in this entry.; DISEASE: Colorectal cancer (CRC) [MIM:114500]: A complex disease characterized by malignant lesions arising from the inner wall of the large intestine (the colon) and the rectum. Genetic alterations are often associated with progression from premalignant lesion (adenoma) to invasive adenocarcinoma. Risk factors for cancer of the colon and rectum include colon polyps, long-standing ulcerative colitis, and genetic family history. Note=The gene represented in this entry may be involved in disease pathogenesis.; </t>
        </is>
      </c>
      <c r="F483" t="inlineStr">
        <is>
          <t xml:space="preserve">TISSUE SPECIFICITY: Detected in brain, peripheral nerve, lung, colon and muscle. {ECO:0000269|PubMed:8417346}.; </t>
        </is>
      </c>
      <c r="G483" t="inlineStr">
        <is>
          <t>medulla oblongata;ovary;salivary gland;intestine;colon;skin;prostate;frontal lobe;endometrium;larynx;thyroid;testis;germinal center;brain;pineal gland;bladder;unclassifiable (Anatomical System);heart;tongue;islets of Langerhans;spinal cord;pharynx;blood;skeletal muscle;breast;bile duct;pancreas;lung;placenta;visual apparatus;amnion;hypopharynx;alveolus;liver;head and neck;cervix;kidney;stomach;</t>
        </is>
      </c>
      <c r="H483" t="inlineStr">
        <is>
          <t>dorsal root ganglion;superior cervical ganglion;occipital lobe;testis - interstitial;medulla oblongata;cerebellum peduncles;pons;atrioventricular node;skeletal muscle;subthalamic nucleus;testis - seminiferous tubule;prefrontal cortex;testis;globus pallidus;ciliary ganglion;trigeminal ganglion;cingulate cortex;parietal lobe;</t>
        </is>
      </c>
      <c r="I483">
        <f>HYPERLINK("https://omim.org/entry/162200", "162200")</f>
        <v/>
      </c>
      <c r="J483">
        <f>HYPERLINK("https://omim.org/entry/607785", "607785")</f>
        <v/>
      </c>
      <c r="K483">
        <f>HYPERLINK("https://omim.org/entry/193520", "193520")</f>
        <v/>
      </c>
      <c r="L483">
        <f>HYPERLINK("https://omim.org/entry/162210", "162210")</f>
        <v/>
      </c>
      <c r="M483">
        <f>HYPERLINK("https://omim.org/entry/601321", "601321")</f>
        <v/>
      </c>
      <c r="N483">
        <f>HYPERLINK("https://omim.org/entry/114500", "114500")</f>
        <v/>
      </c>
      <c r="O483" t="inlineStr">
        <is>
          <t>.</t>
        </is>
      </c>
    </row>
    <row r="484">
      <c r="A484" t="inlineStr">
        <is>
          <t>NFIX</t>
        </is>
      </c>
      <c r="B484" t="inlineStr">
        <is>
          <t>0.989066455193014</t>
        </is>
      </c>
      <c r="C484" t="inlineStr">
        <is>
          <t>nuclear factor I/X (CCAAT-binding transcription factor)</t>
        </is>
      </c>
      <c r="D484" t="inlineStr">
        <is>
          <t xml:space="preserve">FUNCTION: Recognizes and binds the palindromic sequence 5'- TTGGCNNNNNGCCAA-3' present in viral and cellular promoters and in the origin of replication of adenovirus type 2. These proteins are individually capable of activating transcription and replication.; </t>
        </is>
      </c>
      <c r="E484" t="inlineStr">
        <is>
          <t xml:space="preserve">DISEASE: Sotos syndrome 2 (SOTOS2) [MIM:614753]: A form of Sotos syndrome, a childhood overgrowth syndrome characterized by prenatal and postnatal overgrowth, developmental delay, mental retardation, advanced bone age, and abnormal craniofacial morphology. SOTOS2 patients have macrocephaly, long narrow face, high forehead, slender habitus, scoliosis, and unusual behavior characterized especially by anxiety. {ECO:0000269|PubMed:22301465}. Note=The disease is caused by mutations affecting the gene represented in this entry.; DISEASE: Marshall-Smith syndrome (MRSHSS) [MIM:602535]: A distinct malformation syndrome characterized by accelerated skeletal maturation, relative failure to thrive, respiratory difficulties, mental retardation, and unusual facies, including prominent forehead, shallow orbits, blue sclerae, depressed nasal bridge, and micrognathia. Additional skeletal findings include long and thin tubular bones, broad middle phalanges with relatively narrow distal phalanges, and scoliosis. {ECO:0000269|PubMed:20673863}. Note=The disease is caused by mutations affecting the gene represented in this entry.; </t>
        </is>
      </c>
      <c r="F484" t="inlineStr">
        <is>
          <t xml:space="preserve">TISSUE SPECIFICITY: Widely expressed. {ECO:0000269|PubMed:20673863}.; </t>
        </is>
      </c>
      <c r="G484" t="inlineStr">
        <is>
          <t>ovary;colon;skin;retina;uterus;prostate;optic nerve;frontal lobe;endometrium;thyroid;bone;testis;amniotic fluid;bladder;brain;unclassifiable (Anatomical System);heart;cartilage;lens;skeletal muscle;breast;lung;placenta;visual apparatus;liver;spleen;head and neck;mammary gland;stomach;</t>
        </is>
      </c>
      <c r="H484" t="inlineStr">
        <is>
          <t>trigeminal ganglion;</t>
        </is>
      </c>
      <c r="I484">
        <f>HYPERLINK("https://omim.org/entry/614753", "614753")</f>
        <v/>
      </c>
      <c r="J484">
        <f>HYPERLINK("https://omim.org/entry/602535", "602535")</f>
        <v/>
      </c>
      <c r="K484" t="inlineStr">
        <is>
          <t>.</t>
        </is>
      </c>
      <c r="L484" t="inlineStr">
        <is>
          <t>.</t>
        </is>
      </c>
      <c r="M484" t="inlineStr">
        <is>
          <t>.</t>
        </is>
      </c>
      <c r="N484" t="inlineStr">
        <is>
          <t>.</t>
        </is>
      </c>
      <c r="O484" t="inlineStr">
        <is>
          <t>.</t>
        </is>
      </c>
    </row>
    <row r="485">
      <c r="A485" t="inlineStr">
        <is>
          <t>NHLH1</t>
        </is>
      </c>
      <c r="B485" t="inlineStr">
        <is>
          <t>0.640239274537506</t>
        </is>
      </c>
      <c r="C485" t="inlineStr">
        <is>
          <t>nescient helix-loop-helix 1</t>
        </is>
      </c>
      <c r="D485" t="inlineStr">
        <is>
          <t xml:space="preserve">FUNCTION: May serve as DNA-binding protein and may be involved in the control of cell-type determination, possibly within the developing nervous system.; </t>
        </is>
      </c>
      <c r="E485" t="inlineStr">
        <is>
          <t>.</t>
        </is>
      </c>
      <c r="F485" t="inlineStr">
        <is>
          <t>.</t>
        </is>
      </c>
      <c r="G485" t="inlineStr">
        <is>
          <t>unclassifiable (Anatomical System);lung;visual apparatus;pituitary gland;brain;</t>
        </is>
      </c>
      <c r="H485" t="inlineStr">
        <is>
          <t>medulla oblongata;spinal cord;temporal lobe;pons;trigeminal ganglion;skeletal muscle;parietal lobe;</t>
        </is>
      </c>
      <c r="I485" t="inlineStr">
        <is>
          <t>.</t>
        </is>
      </c>
      <c r="J485" t="inlineStr">
        <is>
          <t>.</t>
        </is>
      </c>
      <c r="K485" t="inlineStr">
        <is>
          <t>.</t>
        </is>
      </c>
      <c r="L485" t="inlineStr">
        <is>
          <t>.</t>
        </is>
      </c>
      <c r="M485" t="inlineStr">
        <is>
          <t>.</t>
        </is>
      </c>
      <c r="N485" t="inlineStr">
        <is>
          <t>.</t>
        </is>
      </c>
      <c r="O485" t="inlineStr">
        <is>
          <t>.</t>
        </is>
      </c>
    </row>
    <row r="486">
      <c r="A486" t="inlineStr">
        <is>
          <t>NID1</t>
        </is>
      </c>
      <c r="B486" t="inlineStr">
        <is>
          <t>0.000366475613763869</t>
        </is>
      </c>
      <c r="C486" t="inlineStr">
        <is>
          <t>nidogen 1</t>
        </is>
      </c>
      <c r="D486" t="inlineStr">
        <is>
          <t xml:space="preserve">FUNCTION: Sulfated glycoprotein widely distributed in basement membranes and tightly associated with laminin. Also binds to collagen IV and perlecan. It probably has a role in cell- extracellular matrix interactions.; </t>
        </is>
      </c>
      <c r="E486" t="inlineStr">
        <is>
          <t>.</t>
        </is>
      </c>
      <c r="F486" t="inlineStr">
        <is>
          <t>.</t>
        </is>
      </c>
      <c r="G486" t="inlineStr">
        <is>
          <t>myocardium;smooth muscle;sympathetic chain;colon;parathyroid;fovea centralis;choroid;skin;retina;bone marrow;uterus;prostate;optic nerve;whole body;frontal lobe;cochlea;endometrium;larynx;bone;thyroid;iris;testis;amniotic fluid;brain;unclassifiable (Anatomical System);lymph node;cartilage;heart;islets of Langerhans;muscle;lens;skeletal muscle;breast;pancreas;lung;adrenal gland;placenta;macula lutea;visual apparatus;liver;spleen;head and neck;cervix;kidney;mammary gland;stomach;peripheral nerve;thymus;</t>
        </is>
      </c>
      <c r="H486" t="inlineStr">
        <is>
          <t>dorsal root ganglion;uterus;fetal liver;superior cervical ganglion;adipose tissue;smooth muscle;placenta;appendix;fetal lung;ciliary ganglion;atrioventricular node;trigeminal ganglion;</t>
        </is>
      </c>
      <c r="I486" t="inlineStr">
        <is>
          <t>.</t>
        </is>
      </c>
      <c r="J486" t="inlineStr">
        <is>
          <t>.</t>
        </is>
      </c>
      <c r="K486" t="inlineStr">
        <is>
          <t>.</t>
        </is>
      </c>
      <c r="L486" t="inlineStr">
        <is>
          <t>.</t>
        </is>
      </c>
      <c r="M486" t="inlineStr">
        <is>
          <t>.</t>
        </is>
      </c>
      <c r="N486" t="inlineStr">
        <is>
          <t>.</t>
        </is>
      </c>
      <c r="O486" t="inlineStr">
        <is>
          <t>.</t>
        </is>
      </c>
    </row>
    <row r="487">
      <c r="A487" t="inlineStr">
        <is>
          <t>NISCH</t>
        </is>
      </c>
      <c r="B487" t="inlineStr">
        <is>
          <t>0.817101389344283</t>
        </is>
      </c>
      <c r="C487" t="inlineStr">
        <is>
          <t>nischarin</t>
        </is>
      </c>
      <c r="D487" t="inlineStr">
        <is>
          <t xml:space="preserve">FUNCTION: Acts either as the functional imidazoline-1 receptor (I1R) candidate or as a membrane-associated mediator of the I1R signaling. Binds numerous imidazoline ligands that induces initiation of cell-signaling cascades triggering to cell survival, growth and migration. Its activation by the agonist rilmenidine induces an increase in phosphorylation of mitogen-activated protein kinases MAPK1 and MAPK3 in rostral ventrolateral medulla (RVLM) neurons that exhibited rilmenidine-evoked hypotension (By similarity). Blocking its activation with efaroxan abolished rilmenidine-induced mitogen-activated protein kinase phosphorylation in RVLM neurons (By similarity). Acts as a modulator of Rac-regulated signal transduction pathways (By similarity). Suppresses Rac1-stimulated cell migration by interacting with PAK1 and inhibiting its kinase activity (By similarity). Also blocks Pak-independent Rac signaling by interacting with RAC1 and inhibiting Rac1-stimulated NF-kB response element and cyclin D1 promoter activation (By similarity). Inhibits also LIMK1 kinase activity by reducing LIMK1 'Tyr-508' phosphorylation (By similarity). Inhibits Rac-induced cell migration and invasion in breast and colon epithelial cells (By similarity). Inhibits lamellipodia formation, when overexpressed (By similarity). Plays a role in protection against apoptosis. Involved in association with IRS4 in the enhancement of insulin activation of MAPK1 and MAPK3. When overexpressed, induces a redistribution of cell surface ITGA5 integrin to intracellular endosomal structures. {ECO:0000250, ECO:0000269|PubMed:10882231, ECO:0000269|PubMed:12868002, ECO:0000269|PubMed:15028619, ECO:0000269|PubMed:15028621, ECO:0000269|PubMed:15475348}.; </t>
        </is>
      </c>
      <c r="E487" t="inlineStr">
        <is>
          <t>.</t>
        </is>
      </c>
      <c r="F487" t="inlineStr">
        <is>
          <t xml:space="preserve">TISSUE SPECIFICITY: Isoform 1, isoform 3 and isoform 4 are expressed in brain. Isoform 1 is expressed in endocrine tissues. {ECO:0000269|PubMed:15028621, ECO:0000269|PubMed:9851558}.; </t>
        </is>
      </c>
      <c r="G487" t="inlineStr">
        <is>
          <t>lymphoreticular;smooth muscle;ovary;sympathetic chain;skin;bone marrow;retina;prostate;optic nerve;frontal lobe;endometrium;thyroid;amniotic fluid;germinal center;brain;tonsil;amygdala;heart;cartilage;tongue;urinary;spinal cord;blood;lens;skeletal muscle;visual apparatus;liver;cervix;mammary gland;peripheral nerve;colon;parathyroid;uterus;whole body;larynx;bone;pituitary gland;testis;unclassifiable (Anatomical System);lymph node;islets of Langerhans;muscle;pancreas;lung;placenta;head and neck;kidney;stomach;cerebellum;</t>
        </is>
      </c>
      <c r="H487" t="inlineStr">
        <is>
          <t>whole brain;amygdala;testis - interstitial;occipital lobe;superior cervical ganglion;cerebellum peduncles;hypothalamus;caudate nucleus;pons;atrioventricular node;prostate;prefrontal cortex;globus pallidus;testis;ciliary ganglion;cingulate cortex;parietal lobe;cerebellum;</t>
        </is>
      </c>
      <c r="I487" t="inlineStr">
        <is>
          <t>.</t>
        </is>
      </c>
      <c r="J487" t="inlineStr">
        <is>
          <t>.</t>
        </is>
      </c>
      <c r="K487" t="inlineStr">
        <is>
          <t>.</t>
        </is>
      </c>
      <c r="L487" t="inlineStr">
        <is>
          <t>.</t>
        </is>
      </c>
      <c r="M487" t="inlineStr">
        <is>
          <t>.</t>
        </is>
      </c>
      <c r="N487" t="inlineStr">
        <is>
          <t>.</t>
        </is>
      </c>
      <c r="O487" t="inlineStr">
        <is>
          <t>.</t>
        </is>
      </c>
    </row>
    <row r="488">
      <c r="A488" t="inlineStr">
        <is>
          <t>NLRP3</t>
        </is>
      </c>
      <c r="B488" t="inlineStr">
        <is>
          <t>0.447262679111629</t>
        </is>
      </c>
      <c r="C488" t="inlineStr">
        <is>
          <t>NLR family, pyrin domain containing 3</t>
        </is>
      </c>
      <c r="D488" t="inlineStr">
        <is>
          <t xml:space="preserve">FUNCTION: As the sensor component of the NLRP3 inflammasome, plays a crucial role in innate immunity and inflammation. In response to pathogens and other damage-associated signals, initiates the formation of the inflammasome polymeric complex, made of NLRP3, PYCARD and CASP1 (and possibly CASP4 and CASP5). Recruitement of proCASP1 to the inflammasome promotes its activation and CASP1- catalyzed IL1B and IL18 maturation and secretion in the extracellular milieu. Activation of NLRP3 inflammasome is also required for HMGB1 secretion (PubMed:22801494). The active cytokines and HMGB1 stimulate inflammatory responses. Inflammasomes can also induce pyroptosis, an inflammatory form of programmed cell death. Under resting conditions, NLRP3 is autoinhibited. NLRP3 activation stimuli include extracellular ATP, reactive oxygen species, K(+) efflux, crystals of monosodium urate or cholesterol, beta-amyloid fibers, environmental or industrial particles and nanoparticles, etc. However, it is unclear what constitutes the direct NLRP3 activator. Independently of inflammasome activation, regulates the differentiation of T helper 2 (Th2) cells and has a role in Th2 cell-dependent asthma and tumor growth (By similarity). During Th2 differentiation, required for optimal IRF4 binding to IL4 promoter and for IRF4-dependent IL4 transcription. Binds to the consensus DNA sequence 5'- GRRGGNRGAG-3'. May also participate in the transcription of IL5, IL13, GATA3, CCR3, CCR4 and MAF (By similarity). {ECO:0000250|UniProtKB:Q8R4B8, ECO:0000269|PubMed:22801494, ECO:0000305|PubMed:23305783}.; </t>
        </is>
      </c>
      <c r="E488" t="inlineStr">
        <is>
          <t xml:space="preserve">DISEASE: Familial cold autoinflammatory syndrome 1 (FCAS1) [MIM:120100]: A rare autosomal dominant systemic inflammatory disease characterized by recurrent episodes of maculopapular rash associated with arthralgias, myalgias, fever and chills, swelling of the extremities, and conjunctivitis after generalized exposure to cold. Rarely, some patients may also develop late-onset renal amyloidosis. {ECO:0000269|PubMed:11687797, ECO:0000269|PubMed:11992256, ECO:0000269|PubMed:12355493, ECO:0000269|PubMed:12522564, ECO:0000269|PubMed:15593220, ECO:0000269|PubMed:17284928, ECO:0000269|PubMed:24952504}. Note=The disease is caused by mutations affecting the gene represented in this entry.; DISEASE: Muckle-Wells syndrome (MWS) [MIM:191900]: A hereditary periodic fever syndrome characterized by fever, chronic recurrent urticaria, arthralgias, progressive sensorineural deafness, and reactive renal amyloidosis. The disease may be severe if generalized reactive amyloidosis occurs. {ECO:0000269|PubMed:11687797, ECO:0000269|PubMed:11992256, ECO:0000269|PubMed:12355493, ECO:0000269|PubMed:15593220, ECO:0000269|PubMed:24952504}. Note=The disease is caused by mutations affecting the gene represented in this entry.; DISEASE: Chronic infantile neurologic cutaneous and articular syndrome (CINCA) [MIM:607115]: Rare congenital inflammatory disorder characterized by a triad of neonatal onset of cutaneous symptoms, chronic meningitis, and joint manifestations with recurrent fever and inflammation. {ECO:0000269|PubMed:12032915, ECO:0000269|PubMed:12483741, ECO:0000269|PubMed:14630794, ECO:0000269|PubMed:15231984, ECO:0000269|PubMed:15334500, ECO:0000269|PubMed:15593220, ECO:0000269|PubMed:24952504}. Note=The disease is caused by mutations affecting the gene represented in this entry.; </t>
        </is>
      </c>
      <c r="F488" t="inlineStr">
        <is>
          <t xml:space="preserve">TISSUE SPECIFICITY: Predominantly expressed in macrophages. Also expressed in dendritic cells, B- and T-cells (at protein level) (PubMed:11786556) (PubMed:17164409). Expressed in LPS-treated granulocytes, but not in resting cells (at protein level) (PubMed:17164409). Expression in monocytes is very weak (at protein level) (PubMed:17164409). Expressed in stratified non- keratinizing squamous epithelium, including oral, esophageal and ectocervical mucosa and in the Hassall's corpuscles in the thymus. Also, detected in the stratified epithelium covering the bladder and ureter (transitional mucosa) (at protein level) (PubMed:17164409). Expressed in chondrocytes (PubMed:12032915). Expressed at low levels in resting osteoblasts (PubMed:17907925). {ECO:0000269|PubMed:11786556, ECO:0000269|PubMed:12032915, ECO:0000269|PubMed:17164409, ECO:0000269|PubMed:17907925}.; </t>
        </is>
      </c>
      <c r="G488" t="inlineStr">
        <is>
          <t>unclassifiable (Anatomical System);lung;liver;testis;colon;spleen;blood;brain;</t>
        </is>
      </c>
      <c r="H488" t="inlineStr">
        <is>
          <t>subthalamic nucleus;superior cervical ganglion;appendix;pons;atrioventricular node;trigeminal ganglion;parietal lobe;skeletal muscle;</t>
        </is>
      </c>
      <c r="I488">
        <f>HYPERLINK("https://omim.org/entry/120100", "120100")</f>
        <v/>
      </c>
      <c r="J488">
        <f>HYPERLINK("https://omim.org/entry/191900", "191900")</f>
        <v/>
      </c>
      <c r="K488">
        <f>HYPERLINK("https://omim.org/entry/607115", "607115")</f>
        <v/>
      </c>
      <c r="L488" t="inlineStr">
        <is>
          <t>.</t>
        </is>
      </c>
      <c r="M488" t="inlineStr">
        <is>
          <t>.</t>
        </is>
      </c>
      <c r="N488" t="inlineStr">
        <is>
          <t>.</t>
        </is>
      </c>
      <c r="O488" t="inlineStr">
        <is>
          <t>.</t>
        </is>
      </c>
    </row>
    <row r="489">
      <c r="A489" t="inlineStr">
        <is>
          <t>NOC4L</t>
        </is>
      </c>
      <c r="B489" t="inlineStr">
        <is>
          <t>.</t>
        </is>
      </c>
      <c r="C489" t="inlineStr">
        <is>
          <t>nucleolar complex associated 4 homolog</t>
        </is>
      </c>
      <c r="D489" t="inlineStr">
        <is>
          <t>.</t>
        </is>
      </c>
      <c r="E489" t="inlineStr">
        <is>
          <t>.</t>
        </is>
      </c>
      <c r="F489" t="inlineStr">
        <is>
          <t>.</t>
        </is>
      </c>
      <c r="G489" t="inlineStr">
        <is>
          <t>medulla oblongata;ovary;sympathetic chain;colon;skin;retina;bone marrow;uterus;endometrium;bone;iris;pituitary gland;testis;brain;tonsil;unclassifiable (Anatomical System);lymph node;lacrimal gland;islets of Langerhans;muscle;blood;breast;pancreas;lung;placenta;visual apparatus;liver;spleen;cervix;kidney;mammary gland;stomach;</t>
        </is>
      </c>
      <c r="H489" t="inlineStr">
        <is>
          <t>superior cervical ganglion;testis - seminiferous tubule;testis;atrioventricular node;</t>
        </is>
      </c>
      <c r="I489" t="inlineStr">
        <is>
          <t>.</t>
        </is>
      </c>
      <c r="J489" t="inlineStr">
        <is>
          <t>.</t>
        </is>
      </c>
      <c r="K489" t="inlineStr">
        <is>
          <t>.</t>
        </is>
      </c>
      <c r="L489" t="inlineStr">
        <is>
          <t>.</t>
        </is>
      </c>
      <c r="M489" t="inlineStr">
        <is>
          <t>.</t>
        </is>
      </c>
      <c r="N489" t="inlineStr">
        <is>
          <t>.</t>
        </is>
      </c>
      <c r="O489" t="inlineStr">
        <is>
          <t>.</t>
        </is>
      </c>
    </row>
    <row r="490">
      <c r="A490" t="inlineStr">
        <is>
          <t>NOMO1</t>
        </is>
      </c>
      <c r="B490" t="inlineStr">
        <is>
          <t>.</t>
        </is>
      </c>
      <c r="C490" t="inlineStr">
        <is>
          <t>NODAL modulator 1</t>
        </is>
      </c>
      <c r="D490" t="inlineStr">
        <is>
          <t xml:space="preserve">FUNCTION: May antagonize Nodal signaling. {ECO:0000250}.; </t>
        </is>
      </c>
      <c r="E490" t="inlineStr">
        <is>
          <t>.</t>
        </is>
      </c>
      <c r="F490" t="inlineStr">
        <is>
          <t xml:space="preserve">TISSUE SPECIFICITY: Expressed in colon tumor tissue and in adjacent normal colonic mucosa.; </t>
        </is>
      </c>
      <c r="G490" t="inlineStr">
        <is>
          <t>ovary;colon;vein;skin;retina;uterus;prostate;frontal lobe;endometrium;larynx;bone;thyroid;iris;pituitary gland;testis;amniotic fluid;germinal center;brain;unclassifiable (Anatomical System);lymph node;cartilage;heart;tongue;islets of Langerhans;hypothalamus;muscle;adrenal cortex;blood;skeletal muscle;breast;bile duct;pancreas;lung;adrenal gland;placenta;visual apparatus;hippocampus;amnion;duodenum;liver;spleen;head and neck;cervix;kidney;mammary gland;stomach;aorta;peripheral nerve;cerebellum;</t>
        </is>
      </c>
      <c r="H490" t="inlineStr">
        <is>
          <t>.</t>
        </is>
      </c>
      <c r="I490" t="inlineStr">
        <is>
          <t>.</t>
        </is>
      </c>
      <c r="J490" t="inlineStr">
        <is>
          <t>.</t>
        </is>
      </c>
      <c r="K490" t="inlineStr">
        <is>
          <t>.</t>
        </is>
      </c>
      <c r="L490" t="inlineStr">
        <is>
          <t>.</t>
        </is>
      </c>
      <c r="M490" t="inlineStr">
        <is>
          <t>.</t>
        </is>
      </c>
      <c r="N490" t="inlineStr">
        <is>
          <t>.</t>
        </is>
      </c>
      <c r="O490" t="inlineStr">
        <is>
          <t>.</t>
        </is>
      </c>
    </row>
    <row r="491">
      <c r="A491" t="inlineStr">
        <is>
          <t>NOTCH1</t>
        </is>
      </c>
      <c r="B491" t="inlineStr">
        <is>
          <t>0.999999994320622</t>
        </is>
      </c>
      <c r="C491" t="inlineStr">
        <is>
          <t>notch 1</t>
        </is>
      </c>
      <c r="D491" t="inlineStr">
        <is>
          <t xml:space="preserve">FUNCTION: Functions as a receptor for membrane-bound ligands Jagged1, Jagged2 and Delta1 to regulate cell-fate determination. Upon ligand activation through the released notch intracellular domain (NICD) it forms a transcriptional activator complex with RBPJ/RBPSUH and activates genes of the enhancer of split locus. Affects the implementation of differentiation, proliferation and apoptotic programs. Involved in angiogenesis; negatively regulates endothelial cell proliferation and migration and angiogenic sprouting. Involved in the maturation of both CD4+ and CD8+ cells in the thymus. Important for follicular differentiation and possibly cell fate selection within the follicle. During cerebellar development, functions as a receptor for neuronal DNER and is involved in the differentiation of Bergmann glia. Represses neuronal and myogenic differentiation. May play an essential role in postimplantation development, probably in some aspect of cell specification and/or differentiation. May be involved in mesoderm development, somite formation and neurogenesis. May enhance HIF1A function by sequestering HIF1AN away from HIF1A. Required for the THBS4 function in regulating protective astrogenesis from the subventricular zone (SVZ) niche after injury. Involved in determination of left/right symmetry by modulating the balance between motile and immotile (sensory) cilia at the left-right organiser (LRO). {ECO:0000269|PubMed:20616313}.; </t>
        </is>
      </c>
      <c r="E491" t="inlineStr">
        <is>
          <t xml:space="preserve">DISEASE: Aortic valve disease 1 (AOVD1) [MIM:109730]: A common defect in the aortic valve in which two rather than three leaflets are present. It is often associated with aortic valve calcification, stenosis and insufficiency. In extreme cases, the blood flow may be so restricted that the left ventricle fails to grow, resulting in hypoplastic left heart syndrome. {ECO:0000269|PubMed:16025100}. Note=The disease is caused by mutations affecting the gene represented in this entry.; DISEASE: Adams-Oliver syndrome 5 (AOS5) [MIM:616028]: A form of Adams-Oliver syndrome, a disorder characterized by the congenital absence of skin (aplasia cutis congenita) in combination with transverse limb defects. Aplasia cutis congenita can be located anywhere on the body, but in the vast majority of the cases, it is present on the posterior parietal region where it is often associated with an underlying defect of the parietal bones. Limb abnormalities are typically limb truncation defects affecting the distal phalanges or entire digits (true ectrodactyly). Only rarely, metatarsals/metacarpals or more proximal limb structures are also affected. Apart from transverse limb defects, syndactyly, most commonly of second and third toes, can also be observed. The clinical features are highly variable and can also include cardiovascular malformations, brain abnormalities and vascular defects such as cutis marmorata and dilated scalp veins. {ECO:0000269|PubMed:25132448}. Note=The disease is caused by mutations affecting the gene represented in this entry.; </t>
        </is>
      </c>
      <c r="F491" t="inlineStr">
        <is>
          <t xml:space="preserve">TISSUE SPECIFICITY: In fetal tissues most abundant in spleen, brain stem and lung. Also present in most adult tissues where it is found mainly in lymphoid tissues.; </t>
        </is>
      </c>
      <c r="G491" t="inlineStr">
        <is>
          <t>smooth muscle;ovary;colon;parathyroid;skin;retina;bone marrow;uterus;prostate;optic nerve;whole body;frontal lobe;oesophagus;endometrium;larynx;bone;thyroid;testis;germinal center;brain;unclassifiable (Anatomical System);cartilage;heart;lacrimal gland;islets of Langerhans;muscle;urinary;blood;breast;pancreas;lung;placenta;visual apparatus;liver;head and neck;kidney;mammary gland;stomach;</t>
        </is>
      </c>
      <c r="H491" t="inlineStr">
        <is>
          <t>dorsal root ganglion;superior cervical ganglion;subthalamic nucleus;globus pallidus;ciliary ganglion;pons;atrioventricular node;trigeminal ganglion;skeletal muscle;</t>
        </is>
      </c>
      <c r="I491">
        <f>HYPERLINK("https://omim.org/entry/109730", "109730")</f>
        <v/>
      </c>
      <c r="J491">
        <f>HYPERLINK("https://omim.org/entry/616028", "616028")</f>
        <v/>
      </c>
      <c r="K491" t="inlineStr">
        <is>
          <t>.</t>
        </is>
      </c>
      <c r="L491" t="inlineStr">
        <is>
          <t>.</t>
        </is>
      </c>
      <c r="M491" t="inlineStr">
        <is>
          <t>.</t>
        </is>
      </c>
      <c r="N491" t="inlineStr">
        <is>
          <t>.</t>
        </is>
      </c>
      <c r="O491" t="inlineStr">
        <is>
          <t>.</t>
        </is>
      </c>
    </row>
    <row r="492">
      <c r="A492" t="inlineStr">
        <is>
          <t>NOTCH2</t>
        </is>
      </c>
      <c r="B492" t="inlineStr">
        <is>
          <t>0.999999993249444</t>
        </is>
      </c>
      <c r="C492" t="inlineStr">
        <is>
          <t>notch 2</t>
        </is>
      </c>
      <c r="D492" t="inlineStr">
        <is>
          <t xml:space="preserve">FUNCTION: Functions as a receptor for membrane-bound ligands Jagged1, Jagged2 and Delta1 to regulate cell-fate determination. Upon ligand activation through the released notch intracellular domain (NICD) it forms a transcriptional activator complex with RBPJ/RBPSUH and activates genes of the enhancer of split locus. Affects the implementation of differentiation, proliferation and apoptotic programs (By similarity). Involved in bone remodeling and homeostasis. In collaboration with RELA/p65 enhances NFATc1 promoter activity and positively regulates RANKL-induced osteoclast differentiation. Positively regulates self-renewal of liver cancer cells (PubMed:25985737). {ECO:0000250|UniProtKB:O35516, ECO:0000269|PubMed:21378985, ECO:0000269|PubMed:21378989, ECO:0000269|PubMed:25985737}.; </t>
        </is>
      </c>
      <c r="E492" t="inlineStr">
        <is>
          <t xml:space="preserve">DISEASE: Alagille syndrome 2 (ALGS2) [MIM:610205]: A form of Alagille syndrome, an autosomal dominant multisystem disorder. It is clinically defined by hepatic bile duct paucity and cholestasis in association with cardiac, skeletal, and ophthalmologic manifestations. There are characteristic facial features and less frequent clinical involvement of the renal and vascular systems. {ECO:0000269|PubMed:16773578}. Note=The disease is caused by mutations affecting the gene represented in this entry.; DISEASE: Hajdu-Cheney syndrome (HJCYS) [MIM:102500]: A rare skeletal disorder characterized by the association of facial anomalies, acro-osteolysis, general osteoporosis, insufficient ossification of the skull, and periodontal disease (premature loss of permanent teeth). Other features include cleft palate, congenital heart defects, polycystic kidneys, orthopedic problems and anomalies of the genitalia, intestines and eyes. {ECO:0000269|PubMed:21378985, ECO:0000269|PubMed:21378989}. Note=The disease is caused by mutations affecting the gene represented in this entry. NOTCH2 mutations associated with Hajdu- Cheney syndrome cluster to the last coding exon of the gene. This suggests that the mutant mRNA products may escape nonsense- mediated decay and the resulting truncated NOTCH2 proteins act in a gain-of-function manner.; </t>
        </is>
      </c>
      <c r="F492" t="inlineStr">
        <is>
          <t xml:space="preserve">TISSUE SPECIFICITY: Expressed in the brain, heart, kidney, lung, skeletal muscle and liver. Ubiquitously expressed in the embryo. {ECO:0000269|PubMed:21378985}.; </t>
        </is>
      </c>
      <c r="G492" t="inlineStr">
        <is>
          <t>ovary;skin;bone marrow;retina;prostate;frontal lobe;cochlea;endometrium;iris;germinal center;bladder;brain;gall bladder;heart;cartilage;pineal body;urinary;blood;skeletal muscle;breast;epididymis;visual apparatus;liver;alveolus;spleen;cervix;mammary gland;colon;parathyroid;uterus;whole body;larynx;bone;testis;dura mater;unclassifiable (Anatomical System);meninges;lymph node;bile duct;pancreas;lung;pia mater;nasopharynx;placenta;hypopharynx;amnion;head and neck;kidney;stomach;thymus;</t>
        </is>
      </c>
      <c r="H492" t="inlineStr">
        <is>
          <t>superior cervical ganglion;testis - seminiferous tubule;placenta;testis;ciliary ganglion;atrioventricular node;trigeminal ganglion;skeletal muscle;</t>
        </is>
      </c>
      <c r="I492">
        <f>HYPERLINK("https://omim.org/entry/610205", "610205")</f>
        <v/>
      </c>
      <c r="J492">
        <f>HYPERLINK("https://omim.org/entry/102500", "102500")</f>
        <v/>
      </c>
      <c r="K492" t="inlineStr">
        <is>
          <t>.</t>
        </is>
      </c>
      <c r="L492" t="inlineStr">
        <is>
          <t>.</t>
        </is>
      </c>
      <c r="M492" t="inlineStr">
        <is>
          <t>.</t>
        </is>
      </c>
      <c r="N492" t="inlineStr">
        <is>
          <t>.</t>
        </is>
      </c>
      <c r="O492" t="inlineStr">
        <is>
          <t>.</t>
        </is>
      </c>
    </row>
    <row r="493">
      <c r="A493" t="inlineStr">
        <is>
          <t>NOVA1</t>
        </is>
      </c>
      <c r="B493" t="inlineStr">
        <is>
          <t>0.977721706151375</t>
        </is>
      </c>
      <c r="C493" t="inlineStr">
        <is>
          <t>neuro-oncological ventral antigen 1</t>
        </is>
      </c>
      <c r="D493" t="inlineStr">
        <is>
          <t xml:space="preserve">FUNCTION: May regulate RNA splicing or metabolism in a specific subset of developing neurons.; </t>
        </is>
      </c>
      <c r="E493" t="inlineStr">
        <is>
          <t>.</t>
        </is>
      </c>
      <c r="F493" t="inlineStr">
        <is>
          <t xml:space="preserve">TISSUE SPECIFICITY: Brain.; </t>
        </is>
      </c>
      <c r="G493" t="inlineStr">
        <is>
          <t>unclassifiable (Anatomical System);breast;lung;cochlea;pharynx;testis;blood;brain;retina;</t>
        </is>
      </c>
      <c r="H493" t="inlineStr">
        <is>
          <t>whole brain;superior cervical ganglion;occipital lobe;medulla oblongata;cerebellum peduncles;hypothalamus;pons;atrioventricular node;subthalamic nucleus;prefrontal cortex;globus pallidus;ciliary ganglion;trigeminal ganglion;parietal lobe;cingulate cortex;cerebellum;</t>
        </is>
      </c>
      <c r="I493" t="inlineStr">
        <is>
          <t>.</t>
        </is>
      </c>
      <c r="J493" t="inlineStr">
        <is>
          <t>.</t>
        </is>
      </c>
      <c r="K493" t="inlineStr">
        <is>
          <t>.</t>
        </is>
      </c>
      <c r="L493" t="inlineStr">
        <is>
          <t>.</t>
        </is>
      </c>
      <c r="M493" t="inlineStr">
        <is>
          <t>.</t>
        </is>
      </c>
      <c r="N493" t="inlineStr">
        <is>
          <t>.</t>
        </is>
      </c>
      <c r="O493" t="inlineStr">
        <is>
          <t>.</t>
        </is>
      </c>
    </row>
    <row r="494">
      <c r="A494" t="inlineStr">
        <is>
          <t>NOX3</t>
        </is>
      </c>
      <c r="B494" t="inlineStr">
        <is>
          <t>3.57964894206844e-09</t>
        </is>
      </c>
      <c r="C494" t="inlineStr">
        <is>
          <t>NADPH oxidase 3</t>
        </is>
      </c>
      <c r="D494" t="inlineStr">
        <is>
          <t xml:space="preserve">FUNCTION: NADPH oxidase which constitutively produces superoxide upon formation of a complex with CYBA/p22phox. Plays a role in the biogenesis of otoconia/otolith, which are crystalline structures of the inner ear involved in the perception of gravity. {ECO:0000269|PubMed:15824103}.; </t>
        </is>
      </c>
      <c r="E494" t="inlineStr">
        <is>
          <t>.</t>
        </is>
      </c>
      <c r="F494" t="inlineStr">
        <is>
          <t>.</t>
        </is>
      </c>
      <c r="G494" t="inlineStr">
        <is>
          <t>.</t>
        </is>
      </c>
      <c r="H494" t="inlineStr">
        <is>
          <t>.</t>
        </is>
      </c>
      <c r="I494" t="inlineStr">
        <is>
          <t>.</t>
        </is>
      </c>
      <c r="J494" t="inlineStr">
        <is>
          <t>.</t>
        </is>
      </c>
      <c r="K494" t="inlineStr">
        <is>
          <t>.</t>
        </is>
      </c>
      <c r="L494" t="inlineStr">
        <is>
          <t>.</t>
        </is>
      </c>
      <c r="M494" t="inlineStr">
        <is>
          <t>.</t>
        </is>
      </c>
      <c r="N494" t="inlineStr">
        <is>
          <t>.</t>
        </is>
      </c>
      <c r="O494" t="inlineStr">
        <is>
          <t>.</t>
        </is>
      </c>
    </row>
    <row r="495">
      <c r="A495" t="inlineStr">
        <is>
          <t>NOX4</t>
        </is>
      </c>
      <c r="B495" t="inlineStr">
        <is>
          <t>8.15748090375783e-07</t>
        </is>
      </c>
      <c r="C495" t="inlineStr">
        <is>
          <t>NADPH oxidase 4</t>
        </is>
      </c>
      <c r="D495" t="inlineStr">
        <is>
          <t xml:space="preserve">FUNCTION: Constitutive NADPH oxidase which generates superoxide intracellularly upon formation of a complex with CYBA/p22phox. Regulates signaling cascades probably through phosphatases inhibition. May function as an oxygen sensor regulating the KCNK3/TASK-1 potassium channel and HIF1A activity. May regulate insulin signaling cascade. May play a role in apoptosis, bone resorption and lipolysaccharide-mediated activation of NFKB. May produce superoxide in the nucleus and play a role in regulating gene expression upon cell stimulation. Isoform 3 is not functional. Isoform 5 and isoform 6 display reduced activity.; </t>
        </is>
      </c>
      <c r="E495" t="inlineStr">
        <is>
          <t>.</t>
        </is>
      </c>
      <c r="F495" t="inlineStr">
        <is>
          <t xml:space="preserve">TISSUE SPECIFICITY: Expressed by distal tubular cells in kidney cortex and in endothelial cells (at protein level). Widely expressed. Strongly expressed in kidney and to a lower extent in heart, adipocytes, hepatoma, endothelial cells, skeletal muscle, brain, several brain tumor cell lines and airway epithelial cells. {ECO:0000269|PubMed:11032835, ECO:0000269|PubMed:11376945, ECO:0000269|PubMed:15210697, ECO:0000269|PubMed:16324151}.; </t>
        </is>
      </c>
      <c r="G495" t="inlineStr">
        <is>
          <t>unclassifiable (Anatomical System);heart;ovary;developmental;colon;parathyroid;fovea centralis;skin;uterus;pancreas;larynx;placenta;macula lutea;head and neck;kidney;brain;artery;aorta;stomach;</t>
        </is>
      </c>
      <c r="H495" t="inlineStr">
        <is>
          <t>superior cervical ganglion;atrioventricular node;kidney;trigeminal ganglion;</t>
        </is>
      </c>
      <c r="I495" t="inlineStr">
        <is>
          <t>.</t>
        </is>
      </c>
      <c r="J495" t="inlineStr">
        <is>
          <t>.</t>
        </is>
      </c>
      <c r="K495" t="inlineStr">
        <is>
          <t>.</t>
        </is>
      </c>
      <c r="L495" t="inlineStr">
        <is>
          <t>.</t>
        </is>
      </c>
      <c r="M495" t="inlineStr">
        <is>
          <t>.</t>
        </is>
      </c>
      <c r="N495" t="inlineStr">
        <is>
          <t>.</t>
        </is>
      </c>
      <c r="O495" t="inlineStr">
        <is>
          <t>.</t>
        </is>
      </c>
    </row>
    <row r="496">
      <c r="A496" t="inlineStr">
        <is>
          <t>NR4A3</t>
        </is>
      </c>
      <c r="B496" t="inlineStr">
        <is>
          <t>.</t>
        </is>
      </c>
      <c r="C496" t="inlineStr">
        <is>
          <t>nuclear receptor subfamily 4 group A member 3</t>
        </is>
      </c>
      <c r="D496" t="inlineStr">
        <is>
          <t xml:space="preserve">FUNCTION: Transcriptional activator that binds to regulatory elements in promoter regions in a cell- and response element (target)-specific manner. Induces gene expression by binding as monomers to the NR4A1 response element (NBRE) 5'-AAAAGGTCA-3' site and as homodimers to the Nur response element (NurRE) site in the promoter of their regulated target genes (By similarity). Plays a role in the regulation of proliferation, survival and differentiation of many different cell types and also in metabolism and inflammation. Mediates proliferation of vascular smooth muscle, myeloid progenitor cell and type B pancreatic cells; promotes mitogen-induced vascular smooth muscle cell proliferation through transactivation of SKP2 promoter by binding a NBRE site (By similarity). Upon PDGF stimulation, stimulates vascular smooth muscle cell proliferation by regulating CCND1 and CCND2 expression. In islets, induces type B pancreatic cell proliferation through up-regulation of genes that activate cell cycle, as well as genes that cause degradation of the CDKN1A (By similarity). Negatively regulates myeloid progenitor cell proliferation by repressing RUNX1 in a NBRE site-independent manner. During inner ear, plays a role as a key mediator of the proliferative growth phase of semicircular canal development (By similarity). Mediates also survival of neuron and smooth muscle cells; mediates CREB-induced neuronal survival, and during hippocampus development, plays a critical role in pyramidal cell survival and axonal guidance. Is required for S phase entry of the cell cycle and survival of smooth muscle cells by inducing CCND1, resulting in RB1 phosphorylation. Binds to NBRE motif in CCND1 promoter, resulting in the activation of the promoter and CCND1 transcription (By similarity). Plays also a role in inflammation; upon TNF stimulation, mediates monocyte adhesion by inducing the expression of VCAM1 and ICAM1 by binding to the NBRE consensus site (By similarity) (PubMed:20558821). In mast cells activated by Fc-epsilon receptor cross-linking, promotes the synthesis and release of cytokines but impairs events leading to degranulation (By similarity). Plays also a role in metabolism; by modulating feeding behavior; and by playing a role in energy balance by inhibiting the glucocorticoid-induced orexigenic neuropeptides AGRP expression, at least in part by forming a complex with activated NR3C1 on the AGRP- glucocorticoid response element (GRE), and thus weakening the DNA binding activity of NR3C1. Upon catecholamines stimulation, regulates gene expression that controls oxidative metabolism in skeletal muscle (By similarity). Plays a role in glucose transport by regulating translocation of the SLC2A4 glucose transporter to the cell surface (PubMed:24022864). Finally, during gastrulation plays a crucial role in the formation of anterior mesoderm by controlling cell migration. Inhibits adipogenesis (By similarity). Also participates in cardiac hypertrophy by activating PARP1 (By similarity). {ECO:0000250|UniProtKB:P51179, ECO:0000250|UniProtKB:Q9QZB6, ECO:0000269|PubMed:20558821, ECO:0000269|PubMed:24022864}.; </t>
        </is>
      </c>
      <c r="E496" t="inlineStr">
        <is>
          <t xml:space="preserve">DISEASE: Ewing sarcoma (ES) [MIM:612219]: A highly malignant, metastatic, primitive small round cell tumor of bone and soft tissue that affects children and adolescents. It belongs to the Ewing sarcoma family of tumors, a group of morphologically heterogeneous neoplasms that share the same cytogenetic features. They are considered neural tumors derived from cells of the neural crest. Ewing sarcoma represents the less differentiated form of the tumors. Note=The gene represented in this entry is involved in disease pathogenesis. A chromosomal aberration involving NR4A3 is found in patients with Erwing sarcoma. Translocation t(9;22)(q22- 31;q11-12) with EWSR1.; DISEASE: Note=A chromosomal aberration involving NR4A3 is a cause of a form of extraskeletal myxoid chondrosarcomas (EMC). Translocation t(9;17)(q22;q11) with TAF2N.; </t>
        </is>
      </c>
      <c r="F496" t="inlineStr">
        <is>
          <t xml:space="preserve">TISSUE SPECIFICITY: Isoform alpha is highly expressed in skeletal muscle. Isoform beta is highly expressed in skeletal muscle and low expressed in fetal brain and placenta.; </t>
        </is>
      </c>
      <c r="G496" t="inlineStr">
        <is>
          <t>unclassifiable (Anatomical System);cartilage;ovary;heart;colon;blood;skin;skeletal muscle;retina;uterus;prostate;pancreas;lung;endometrium;larynx;liver;testis;cervix;head and neck;germinal center;kidney;brain;</t>
        </is>
      </c>
      <c r="H496" t="inlineStr">
        <is>
          <t>dorsal root ganglion;superior cervical ganglion;adrenal cortex;globus pallidus;ciliary ganglion;atrioventricular node;trigeminal ganglion;skeletal muscle;</t>
        </is>
      </c>
      <c r="I496">
        <f>HYPERLINK("https://omim.org/entry/612219", "612219")</f>
        <v/>
      </c>
      <c r="J496" t="inlineStr">
        <is>
          <t>.</t>
        </is>
      </c>
      <c r="K496" t="inlineStr">
        <is>
          <t>.</t>
        </is>
      </c>
      <c r="L496" t="inlineStr">
        <is>
          <t>.</t>
        </is>
      </c>
      <c r="M496" t="inlineStr">
        <is>
          <t>.</t>
        </is>
      </c>
      <c r="N496" t="inlineStr">
        <is>
          <t>.</t>
        </is>
      </c>
      <c r="O496" t="inlineStr">
        <is>
          <t>.</t>
        </is>
      </c>
    </row>
    <row r="497">
      <c r="A497" t="inlineStr">
        <is>
          <t>NSD1</t>
        </is>
      </c>
      <c r="B497" t="inlineStr">
        <is>
          <t>0.999999999179163</t>
        </is>
      </c>
      <c r="C497" t="inlineStr">
        <is>
          <t>nuclear receptor binding SET domain protein 1</t>
        </is>
      </c>
      <c r="D497" t="inlineStr">
        <is>
          <t xml:space="preserve">FUNCTION: Histone methyltransferase. Preferentially methylates 'Lys-36' of histone H3 and 'Lys-20' of histone H4 (in vitro). Transcriptional intermediary factor capable of both negatively or positively influencing transcription, depending on the cellular context. {ECO:0000269|PubMed:21196496}.; </t>
        </is>
      </c>
      <c r="E497" t="inlineStr">
        <is>
          <t xml:space="preserve">DISEASE: Beckwith-Wiedemann syndrome (BWS) [MIM:130650]: A disorder characterized by anterior abdominal wall defects including exomphalos (omphalocele), pre- and postnatal overgrowth, and macroglossia. Additional less frequent complications include specific developmental defects and a predisposition to embryonal tumors. {ECO:0000269|PubMed:14997421}. Note=The disease is caused by mutations affecting the gene represented in this entry.; DISEASE: Note=A chromosomal aberration involving NSD1 is found in childhood acute myeloid leukemia. Translocation t(5;11)(q35;p15.5) with NUP98.; DISEASE: Note=A chromosomal aberration involving NSD1 is found in an adult form of myelodysplastic syndrome (MDS). Insertion of NUP98 into NSD1 generates a NUP98-NSD1 fusion product. {ECO:0000269|PubMed:15382262}.; </t>
        </is>
      </c>
      <c r="F497" t="inlineStr">
        <is>
          <t xml:space="preserve">TISSUE SPECIFICITY: Expressed in the fetal/adult brain, kidney, skeletal muscle, spleen, and the thymus, and faintly in the lung.; </t>
        </is>
      </c>
      <c r="G497" t="inlineStr">
        <is>
          <t>myocardium;medulla oblongata;ovary;skin;bone marrow;retina;prostate;optic nerve;frontal lobe;endometrium;gum;thyroid;germinal center;brain;heart;urinary;adrenal cortex;pharynx;blood;lens;skeletal muscle;breast;visual apparatus;macula lutea;liver;cervix;spleen;mammary gland;peripheral nerve;salivary gland;intestine;colon;parathyroid;choroid;fovea centralis;uterus;whole body;larynx;bone;pituitary gland;testis;unclassifiable (Anatomical System);lymph node;lacrimal gland;islets of Langerhans;hypothalamus;lung;cornea;nasopharynx;placenta;hippocampus;duodenum;head and neck;kidney;stomach;cerebellum;</t>
        </is>
      </c>
      <c r="H497" t="inlineStr">
        <is>
          <t>superior cervical ganglion;testis - interstitial;fetal liver;testis - seminiferous tubule;testis;ciliary ganglion;trigeminal ganglion;skeletal muscle;</t>
        </is>
      </c>
      <c r="I497">
        <f>HYPERLINK("https://omim.org/entry/130650", "130650")</f>
        <v/>
      </c>
      <c r="J497" t="inlineStr">
        <is>
          <t>.</t>
        </is>
      </c>
      <c r="K497" t="inlineStr">
        <is>
          <t>.</t>
        </is>
      </c>
      <c r="L497" t="inlineStr">
        <is>
          <t>.</t>
        </is>
      </c>
      <c r="M497" t="inlineStr">
        <is>
          <t>.</t>
        </is>
      </c>
      <c r="N497" t="inlineStr">
        <is>
          <t>.</t>
        </is>
      </c>
      <c r="O497" t="inlineStr">
        <is>
          <t>.</t>
        </is>
      </c>
    </row>
    <row r="498">
      <c r="A498" t="inlineStr">
        <is>
          <t>NSUN2</t>
        </is>
      </c>
      <c r="B498" t="inlineStr">
        <is>
          <t>0.961845836118256</t>
        </is>
      </c>
      <c r="C498" t="inlineStr">
        <is>
          <t>NOP2/Sun RNA methyltransferase family member 2</t>
        </is>
      </c>
      <c r="D498" t="inlineStr">
        <is>
          <t xml:space="preserve">FUNCTION: RNA methyltransferase that methylates tRNAs, and possibly RNA polymerase III transcripts. Methylates cytosine to 5- methylcytosine (m5C) at positions 34 and 48 of intron-containing tRNA(Leu)(CAA) precursors, and at positions 48, 49 and 50 of tRNA(Gly)(GCC) precursors. May act downstream of Myc to regulate epidermal cell growth and proliferation. Required for proper spindle assembly and chromosome segregation, independently of its methyltransferase activity. {ECO:0000269|PubMed:17071714, ECO:0000269|PubMed:19596847, ECO:0000269|PubMed:22995836}.; </t>
        </is>
      </c>
      <c r="E498" t="inlineStr">
        <is>
          <t xml:space="preserve">DISEASE: Mental retardation, autosomal recessive 5 (MRT5) [MIM:611091]: A disorder characterized by significantly below average general intellectual functioning associated with impairments in adaptive behavior and manifested during the developmental period. {ECO:0000269|PubMed:22541559, ECO:0000269|PubMed:22541562}. Note=The disease is caused by mutations affecting the gene represented in this entry.; </t>
        </is>
      </c>
      <c r="F498" t="inlineStr">
        <is>
          <t xml:space="preserve">TISSUE SPECIFICITY: Expressed in adult and fetal brain and in lymphoblastoid cells. {ECO:0000269|PubMed:22541559}.; </t>
        </is>
      </c>
      <c r="G498" t="inlineStr">
        <is>
          <t>lymphoreticular;smooth muscle;ovary;colon;parathyroid;skin;uterus;prostate;whole body;frontal lobe;endometrium;bone;thyroid;testis;germinal center;brain;unclassifiable (Anatomical System);lymph node;cartilage;heart;adrenal cortex;blood;bile duct;pancreas;lung;placenta;visual apparatus;liver;cervix;kidney;mammary gland;stomach;peripheral nerve;</t>
        </is>
      </c>
      <c r="H498" t="inlineStr">
        <is>
          <t>medulla oblongata;globus pallidus;tumor;ciliary ganglion;white blood cells;atrioventricular node;trigeminal ganglion;</t>
        </is>
      </c>
      <c r="I498">
        <f>HYPERLINK("https://omim.org/entry/611091", "611091")</f>
        <v/>
      </c>
      <c r="J498" t="inlineStr">
        <is>
          <t>.</t>
        </is>
      </c>
      <c r="K498" t="inlineStr">
        <is>
          <t>.</t>
        </is>
      </c>
      <c r="L498" t="inlineStr">
        <is>
          <t>.</t>
        </is>
      </c>
      <c r="M498" t="inlineStr">
        <is>
          <t>.</t>
        </is>
      </c>
      <c r="N498" t="inlineStr">
        <is>
          <t>.</t>
        </is>
      </c>
      <c r="O498" t="inlineStr">
        <is>
          <t>.</t>
        </is>
      </c>
    </row>
    <row r="499">
      <c r="A499" t="inlineStr">
        <is>
          <t>NT5C1A</t>
        </is>
      </c>
      <c r="B499" t="inlineStr">
        <is>
          <t>8.15238589051518e-05</t>
        </is>
      </c>
      <c r="C499" t="inlineStr">
        <is>
          <t>5'-nucleotidase, cytosolic IA</t>
        </is>
      </c>
      <c r="D499" t="inlineStr">
        <is>
          <t xml:space="preserve">FUNCTION: Dephosphorylates the 5' and 2'(3')-phosphates of deoxyribonucleotides and has a broad substrate specificity. Helps to regulate adenosine levels in heart during ischemia and hypoxia. {ECO:0000269|PubMed:11133996}.; </t>
        </is>
      </c>
      <c r="E499" t="inlineStr">
        <is>
          <t>.</t>
        </is>
      </c>
      <c r="F499" t="inlineStr">
        <is>
          <t xml:space="preserve">TISSUE SPECIFICITY: Highly expressed in skeletal muscle. Detected at intermediate levels in heart, brain, kidney and pancreas. {ECO:0000269|PubMed:11133996}.; </t>
        </is>
      </c>
      <c r="G499" t="inlineStr">
        <is>
          <t>unclassifiable (Anatomical System);</t>
        </is>
      </c>
      <c r="H499" t="inlineStr">
        <is>
          <t>dorsal root ganglion;superior cervical ganglion;globus pallidus;ciliary ganglion;atrioventricular node;trigeminal ganglion;skeletal muscle;skin;</t>
        </is>
      </c>
      <c r="I499" t="inlineStr">
        <is>
          <t>.</t>
        </is>
      </c>
      <c r="J499" t="inlineStr">
        <is>
          <t>.</t>
        </is>
      </c>
      <c r="K499" t="inlineStr">
        <is>
          <t>.</t>
        </is>
      </c>
      <c r="L499" t="inlineStr">
        <is>
          <t>.</t>
        </is>
      </c>
      <c r="M499" t="inlineStr">
        <is>
          <t>.</t>
        </is>
      </c>
      <c r="N499" t="inlineStr">
        <is>
          <t>.</t>
        </is>
      </c>
      <c r="O499" t="inlineStr">
        <is>
          <t>.</t>
        </is>
      </c>
    </row>
    <row r="500">
      <c r="A500" t="inlineStr">
        <is>
          <t>NUDT6</t>
        </is>
      </c>
      <c r="B500" t="inlineStr">
        <is>
          <t>0.000761661984062648</t>
        </is>
      </c>
      <c r="C500" t="inlineStr">
        <is>
          <t>nudix hydrolase 6</t>
        </is>
      </c>
      <c r="D500" t="inlineStr">
        <is>
          <t xml:space="preserve">FUNCTION: May contribute to the regulation of cell proliferation. {ECO:0000269|PubMed:11266510}.; </t>
        </is>
      </c>
      <c r="E500" t="inlineStr">
        <is>
          <t>.</t>
        </is>
      </c>
      <c r="F500" t="inlineStr">
        <is>
          <t xml:space="preserve">TISSUE SPECIFICITY: Detected in liver, kidney and esophagus (at protein level). Ubiquitous. {ECO:0000269|PubMed:11266510, ECO:0000269|PubMed:17569023}.; </t>
        </is>
      </c>
      <c r="G500" t="inlineStr">
        <is>
          <t>unclassifiable (Anatomical System);cartilage;heart;ovary;islets of Langerhans;sympathetic chain;colon;parathyroid;skin;retina;bone marrow;uterus;prostate;whole body;lung;cochlea;bone;thyroid;placenta;visual apparatus;liver;testis;spleen;kidney;brain;</t>
        </is>
      </c>
      <c r="H500" t="inlineStr">
        <is>
          <t>.</t>
        </is>
      </c>
      <c r="I500" t="inlineStr">
        <is>
          <t>.</t>
        </is>
      </c>
      <c r="J500" t="inlineStr">
        <is>
          <t>.</t>
        </is>
      </c>
      <c r="K500" t="inlineStr">
        <is>
          <t>.</t>
        </is>
      </c>
      <c r="L500" t="inlineStr">
        <is>
          <t>.</t>
        </is>
      </c>
      <c r="M500" t="inlineStr">
        <is>
          <t>.</t>
        </is>
      </c>
      <c r="N500" t="inlineStr">
        <is>
          <t>.</t>
        </is>
      </c>
      <c r="O500" t="inlineStr">
        <is>
          <t>.</t>
        </is>
      </c>
    </row>
    <row r="501">
      <c r="A501" t="inlineStr">
        <is>
          <t>NUGGC</t>
        </is>
      </c>
      <c r="B501" t="inlineStr">
        <is>
          <t>1.95612770357102e-07</t>
        </is>
      </c>
      <c r="C501" t="inlineStr">
        <is>
          <t>nuclear GTPase, germinal center associated</t>
        </is>
      </c>
      <c r="D501" t="inlineStr">
        <is>
          <t xml:space="preserve">FUNCTION: Plays a role as replication-related GTPase protein in germinal center B-cell. {ECO:0000269|PubMed:19734146}.; </t>
        </is>
      </c>
      <c r="E501" t="inlineStr">
        <is>
          <t>.</t>
        </is>
      </c>
      <c r="F501" t="inlineStr">
        <is>
          <t xml:space="preserve">TISSUE SPECIFICITY: Expressed in germinal center B-cell and in lymphomas derived from germinal center B-cell. {ECO:0000269|PubMed:19734146}.; </t>
        </is>
      </c>
      <c r="G501" t="inlineStr">
        <is>
          <t>.</t>
        </is>
      </c>
      <c r="H501" t="inlineStr">
        <is>
          <t>.</t>
        </is>
      </c>
      <c r="I501" t="inlineStr">
        <is>
          <t>.</t>
        </is>
      </c>
      <c r="J501" t="inlineStr">
        <is>
          <t>.</t>
        </is>
      </c>
      <c r="K501" t="inlineStr">
        <is>
          <t>.</t>
        </is>
      </c>
      <c r="L501" t="inlineStr">
        <is>
          <t>.</t>
        </is>
      </c>
      <c r="M501" t="inlineStr">
        <is>
          <t>.</t>
        </is>
      </c>
      <c r="N501" t="inlineStr">
        <is>
          <t>.</t>
        </is>
      </c>
      <c r="O501" t="inlineStr">
        <is>
          <t>.</t>
        </is>
      </c>
    </row>
    <row r="502">
      <c r="A502" t="inlineStr">
        <is>
          <t>NUP214</t>
        </is>
      </c>
      <c r="B502" t="inlineStr">
        <is>
          <t>0.993841692882668</t>
        </is>
      </c>
      <c r="C502" t="inlineStr">
        <is>
          <t>nucleoporin 214kDa</t>
        </is>
      </c>
      <c r="D502" t="inlineStr">
        <is>
          <t xml:space="preserve">FUNCTION: May serve as a docking site in the receptor-mediated import of substrates across the nuclear pore complex.; </t>
        </is>
      </c>
      <c r="E502" t="inlineStr">
        <is>
          <t xml:space="preserve">DISEASE: Note=A chromosomal aberration involving NUP214 is found in a subset of acute myeloid leukemia (AML); also known as acute non-lymphocytic leukemia. Translocation t(6;9)(p23;q34) with DEK. It results in the formation of a DEK-CAN fusion gene. {ECO:0000269|PubMed:1549122}.; DISEASE: Note=A chromosomal aberration involving NUP214 is found in some cases of acute undifferentiated leukemia (AUL). Translocation t(6;9)(q21;q34.1) with SET. {ECO:0000269|PubMed:1630450}.; </t>
        </is>
      </c>
      <c r="F502" t="inlineStr">
        <is>
          <t xml:space="preserve">TISSUE SPECIFICITY: Expressed in thymus, spleen, bone marrow, kidney, brain and testis, but hardly in all other tissues or in whole embryos during development.; </t>
        </is>
      </c>
      <c r="G502" t="inlineStr">
        <is>
          <t>ovary;colon;skin;retina;bone marrow;uterus;prostate;frontal lobe;endometrium;bone;thyroid;iris;pituitary gland;testis;germinal center;brain;bladder;unclassifiable (Anatomical System);lymph node;cartilage;heart;islets of Langerhans;spinal cord;muscle;blood;skeletal muscle;breast;pancreas;lung;nasopharynx;placenta;visual apparatus;hypopharynx;liver;spleen;head and neck;cervix;kidney;mammary gland;stomach;thymus;</t>
        </is>
      </c>
      <c r="H502" t="inlineStr">
        <is>
          <t>testis - interstitial;superior cervical ganglion;testis - seminiferous tubule;testis;globus pallidus;trigeminal ganglion;</t>
        </is>
      </c>
      <c r="I502" t="inlineStr">
        <is>
          <t>.</t>
        </is>
      </c>
      <c r="J502" t="inlineStr">
        <is>
          <t>.</t>
        </is>
      </c>
      <c r="K502" t="inlineStr">
        <is>
          <t>.</t>
        </is>
      </c>
      <c r="L502" t="inlineStr">
        <is>
          <t>.</t>
        </is>
      </c>
      <c r="M502" t="inlineStr">
        <is>
          <t>.</t>
        </is>
      </c>
      <c r="N502" t="inlineStr">
        <is>
          <t>.</t>
        </is>
      </c>
      <c r="O502" t="inlineStr">
        <is>
          <t>.</t>
        </is>
      </c>
    </row>
    <row r="503">
      <c r="A503" t="inlineStr">
        <is>
          <t>NUTM2F</t>
        </is>
      </c>
      <c r="B503" t="inlineStr">
        <is>
          <t>.</t>
        </is>
      </c>
      <c r="C503" t="inlineStr">
        <is>
          <t>NUT family member 2F</t>
        </is>
      </c>
      <c r="D503" t="inlineStr">
        <is>
          <t>.</t>
        </is>
      </c>
      <c r="E503" t="inlineStr">
        <is>
          <t>.</t>
        </is>
      </c>
      <c r="F503" t="inlineStr">
        <is>
          <t>.</t>
        </is>
      </c>
      <c r="G503" t="inlineStr">
        <is>
          <t>.</t>
        </is>
      </c>
      <c r="H503" t="inlineStr">
        <is>
          <t>.</t>
        </is>
      </c>
      <c r="I503" t="inlineStr">
        <is>
          <t>.</t>
        </is>
      </c>
      <c r="J503" t="inlineStr">
        <is>
          <t>.</t>
        </is>
      </c>
      <c r="K503" t="inlineStr">
        <is>
          <t>.</t>
        </is>
      </c>
      <c r="L503" t="inlineStr">
        <is>
          <t>.</t>
        </is>
      </c>
      <c r="M503" t="inlineStr">
        <is>
          <t>.</t>
        </is>
      </c>
      <c r="N503" t="inlineStr">
        <is>
          <t>.</t>
        </is>
      </c>
      <c r="O503" t="inlineStr">
        <is>
          <t>.</t>
        </is>
      </c>
    </row>
    <row r="504">
      <c r="A504" t="inlineStr">
        <is>
          <t>NYAP1</t>
        </is>
      </c>
      <c r="B504" t="inlineStr">
        <is>
          <t>0.990932129553248</t>
        </is>
      </c>
      <c r="C504" t="inlineStr">
        <is>
          <t>neuronal tyrosine phosphorylated phosphoinositide-3-kinase adaptor 1</t>
        </is>
      </c>
      <c r="D504" t="inlineStr">
        <is>
          <t xml:space="preserve">FUNCTION: Activates PI3K and concomitantly recruits the WAVE1 complex to the close vicinity of PI3K and regulates neuronal morphogenesis. {ECO:0000250}.; </t>
        </is>
      </c>
      <c r="E504" t="inlineStr">
        <is>
          <t>.</t>
        </is>
      </c>
      <c r="F504" t="inlineStr">
        <is>
          <t>.</t>
        </is>
      </c>
      <c r="G504" t="inlineStr">
        <is>
          <t>unclassifiable (Anatomical System);islets of Langerhans;brain;</t>
        </is>
      </c>
      <c r="H504" t="inlineStr">
        <is>
          <t>.</t>
        </is>
      </c>
      <c r="I504" t="inlineStr">
        <is>
          <t>.</t>
        </is>
      </c>
      <c r="J504" t="inlineStr">
        <is>
          <t>.</t>
        </is>
      </c>
      <c r="K504" t="inlineStr">
        <is>
          <t>.</t>
        </is>
      </c>
      <c r="L504" t="inlineStr">
        <is>
          <t>.</t>
        </is>
      </c>
      <c r="M504" t="inlineStr">
        <is>
          <t>.</t>
        </is>
      </c>
      <c r="N504" t="inlineStr">
        <is>
          <t>.</t>
        </is>
      </c>
      <c r="O504" t="inlineStr">
        <is>
          <t>.</t>
        </is>
      </c>
    </row>
    <row r="505">
      <c r="A505" t="inlineStr">
        <is>
          <t>NYAP2</t>
        </is>
      </c>
      <c r="B505" t="inlineStr">
        <is>
          <t>0.906196258132315</t>
        </is>
      </c>
      <c r="C505" t="inlineStr">
        <is>
          <t>neuronal tyrosine-phosphorylated phosphoinositide-3-kinase adaptor 2</t>
        </is>
      </c>
      <c r="D505" t="inlineStr">
        <is>
          <t xml:space="preserve">FUNCTION: Activates PI3K and concomitantly recruits the WAVE1 complex to the close vicinity of PI3K and regulates neuronal morphogenesis. {ECO:0000250}.; </t>
        </is>
      </c>
      <c r="E505" t="inlineStr">
        <is>
          <t>.</t>
        </is>
      </c>
      <c r="F505" t="inlineStr">
        <is>
          <t>.</t>
        </is>
      </c>
      <c r="G505" t="inlineStr">
        <is>
          <t>medulla oblongata;frontal lobe;endometrium;</t>
        </is>
      </c>
      <c r="H505" t="inlineStr">
        <is>
          <t>dorsal root ganglion;superior cervical ganglion;fetal liver;testis;ciliary ganglion;atrioventricular node;pons;skeletal muscle;skin;</t>
        </is>
      </c>
      <c r="I505" t="inlineStr">
        <is>
          <t>.</t>
        </is>
      </c>
      <c r="J505" t="inlineStr">
        <is>
          <t>.</t>
        </is>
      </c>
      <c r="K505" t="inlineStr">
        <is>
          <t>.</t>
        </is>
      </c>
      <c r="L505" t="inlineStr">
        <is>
          <t>.</t>
        </is>
      </c>
      <c r="M505" t="inlineStr">
        <is>
          <t>.</t>
        </is>
      </c>
      <c r="N505" t="inlineStr">
        <is>
          <t>.</t>
        </is>
      </c>
      <c r="O505" t="inlineStr">
        <is>
          <t>.</t>
        </is>
      </c>
    </row>
    <row r="506">
      <c r="A506" t="inlineStr">
        <is>
          <t>OBSCN</t>
        </is>
      </c>
      <c r="B506" t="inlineStr">
        <is>
          <t>5.35738960908037e-91</t>
        </is>
      </c>
      <c r="C506" t="inlineStr">
        <is>
          <t>obscurin, cytoskeletal calmodulin and titin-interacting RhoGEF</t>
        </is>
      </c>
      <c r="D506" t="inlineStr">
        <is>
          <t xml:space="preserve">FUNCTION: Involved in myofibrillogenesis. Seems to be involved in assembly of myosin into sarcomeric A bands in striated muscle. Isoform 3 together with ANK1 isoform Mu17/Ank1.5 may provide a molecular link between the sarcoplasmic reticulum and myofibrils. {ECO:0000269|PubMed:11448995, ECO:0000269|PubMed:16205939}.; </t>
        </is>
      </c>
      <c r="E506" t="inlineStr">
        <is>
          <t xml:space="preserve">DISEASE: Note=A chromosomal aberration involving OBSCN has been found in Wilms tumor. Translocation t(1;7)(q42;p15) with PTHB1. {ECO:0000269|PubMed:12618763}.; </t>
        </is>
      </c>
      <c r="F506" t="inlineStr">
        <is>
          <t>.</t>
        </is>
      </c>
      <c r="G506" t="inlineStr">
        <is>
          <t>unclassifiable (Anatomical System);cartilage;heart;ovary;muscle;colon;fovea centralis;choroid;lens;skeletal muscle;retina;uterus;breast;optic nerve;lung;frontal lobe;larynx;thyroid;placenta;macula lutea;hypopharynx;duodenum;head and neck;kidney;brain;</t>
        </is>
      </c>
      <c r="H506" t="inlineStr">
        <is>
          <t>dorsal root ganglion;occipital lobe;medulla oblongata;superior cervical ganglion;temporal lobe;atrioventricular node;pons;skeletal muscle;subthalamic nucleus;adrenal gland;globus pallidus;ciliary ganglion;cerebellum;</t>
        </is>
      </c>
      <c r="I506" t="inlineStr">
        <is>
          <t>.</t>
        </is>
      </c>
      <c r="J506" t="inlineStr">
        <is>
          <t>.</t>
        </is>
      </c>
      <c r="K506" t="inlineStr">
        <is>
          <t>.</t>
        </is>
      </c>
      <c r="L506" t="inlineStr">
        <is>
          <t>.</t>
        </is>
      </c>
      <c r="M506" t="inlineStr">
        <is>
          <t>.</t>
        </is>
      </c>
      <c r="N506" t="inlineStr">
        <is>
          <t>.</t>
        </is>
      </c>
      <c r="O506" t="inlineStr">
        <is>
          <t>.</t>
        </is>
      </c>
    </row>
    <row r="507">
      <c r="A507" t="inlineStr">
        <is>
          <t>OCSTAMP</t>
        </is>
      </c>
      <c r="B507" t="inlineStr">
        <is>
          <t>.</t>
        </is>
      </c>
      <c r="C507" t="inlineStr">
        <is>
          <t>osteoclast stimulatory transmembrane protein</t>
        </is>
      </c>
      <c r="D507" t="inlineStr">
        <is>
          <t xml:space="preserve">FUNCTION: Probable cell surface receptor that plays a role in cellular fusion and cell differentiation. Cooperates with DCSTAMP in modulating cell-cell fusion in both osteoclasts and foreign body giant cells (FBGCs). Involved in osteoclast bone resorption. Promotes osteoclast differentiation and may play a role in the multinucleated osteoclast maturation (By similarity). {ECO:0000250}.; </t>
        </is>
      </c>
      <c r="E507" t="inlineStr">
        <is>
          <t>.</t>
        </is>
      </c>
      <c r="F507" t="inlineStr">
        <is>
          <t>.</t>
        </is>
      </c>
      <c r="G507" t="inlineStr">
        <is>
          <t>.</t>
        </is>
      </c>
      <c r="H507" t="inlineStr">
        <is>
          <t>.</t>
        </is>
      </c>
      <c r="I507" t="inlineStr">
        <is>
          <t>.</t>
        </is>
      </c>
      <c r="J507" t="inlineStr">
        <is>
          <t>.</t>
        </is>
      </c>
      <c r="K507" t="inlineStr">
        <is>
          <t>.</t>
        </is>
      </c>
      <c r="L507" t="inlineStr">
        <is>
          <t>.</t>
        </is>
      </c>
      <c r="M507" t="inlineStr">
        <is>
          <t>.</t>
        </is>
      </c>
      <c r="N507" t="inlineStr">
        <is>
          <t>.</t>
        </is>
      </c>
      <c r="O507" t="inlineStr">
        <is>
          <t>.</t>
        </is>
      </c>
    </row>
    <row r="508">
      <c r="A508" t="inlineStr">
        <is>
          <t>OGT</t>
        </is>
      </c>
      <c r="B508" t="inlineStr">
        <is>
          <t>0.999947206587498</t>
        </is>
      </c>
      <c r="C508" t="inlineStr">
        <is>
          <t>O-linked N-acetylglucosamine (GlcNAc) transferase</t>
        </is>
      </c>
      <c r="D508" t="inlineStr">
        <is>
          <t xml:space="preserve">FUNCTION: Catalyzes the transfer of a single N-acetylglucosamine from UDP-GlcNAc to a serine or threonine residue in cytoplasmic and nuclear proteins resulting in their modification with a beta- linked N-acetylglucosamine (O-GlcNAc). Glycosylates a large and diverse number of proteins including histone H2B, AKT1, EZH2, PFKL, KMT2E/MLL5, MAPT/TAU and HCFC1. Can regulate their cellular processes via cross-talk between glycosylation and phosphorylation or by affecting proteolytic processing. Involved in insulin resistance in muscle and adipocyte cells via glycosylating insulin signaling components and inhibiting the 'Thr-308' phosphorylation of AKT1, enhancing IRS1 phosphorylation and attenuating insulin signaling. Involved in glycolysis regulation by mediating glycosylation of 6-phosphofructokinase PFKL, inhibiting its activity (PubMed:22923583). Component of a THAP1/THAP3-HCFC1-OGT complex that is required for the regulation of the transcriptional activity of RRM1. Plays a key role in chromatin structure by mediating O-GlcNAcylation of 'Ser-112' of histone H2B: recruited to CpG-rich transcription start sites of active genes via its interaction with TET proteins (TET1, TET2 or TET3) (PubMed:22121020, PubMed:23353889). As part of the NSL complex indirectly involved in acetylation of nucleosomal histone H4 on several lysine residues (PubMed:20018852). O-GlcNAcylation of 'Ser-75' of EZH2 increases its stability, and facilitating the formation of H3K27me3 by the PRC2/EED-EZH2 complex (PubMed:24474760). Regulates circadian oscillation of the clock genes and glucose homeostasis in the liver. Stabilizes clock proteins ARNTL/BMAL1 and CLOCK through O-glycosylation, which prevents their ubiquitination and subsequent degradation. Promotes the CLOCK-ARNTL/BMAL1-mediated transcription of genes in the negative loop of the circadian clock such as PER1/2 and CRY1/2 (PubMed:12150998, PubMed:18288188, PubMed:19377461, PubMed:19451179, PubMed:20018868, PubMed:20200153, PubMed:21285374, PubMed:15361863). {ECO:0000269|PubMed:12150998, ECO:0000269|PubMed:15361863, ECO:0000269|PubMed:18288188, ECO:0000269|PubMed:19377461, ECO:0000269|PubMed:19451179, ECO:0000269|PubMed:20018852, ECO:0000269|PubMed:20018868, ECO:0000269|PubMed:20200153, ECO:0000269|PubMed:21285374, ECO:0000269|PubMed:22121020, ECO:0000269|PubMed:22923583, ECO:0000269|PubMed:23353889, ECO:0000269|PubMed:24474760}.; </t>
        </is>
      </c>
      <c r="E508" t="inlineStr">
        <is>
          <t xml:space="preserve">DISEASE: Note=Regulation of OGT activity and altered O- GlcNAcylations are implicated in diabetes and Alzheimer disease. O-GlcNAcylation of AKT1 affects insulin signaling and, possibly diabetes. Reduced O-GlcNAcylations and resulting increased phosphorylations of MAPT/TAU are observed in Alzheimer disease (AD) brain cerebrum.; </t>
        </is>
      </c>
      <c r="F508" t="inlineStr">
        <is>
          <t xml:space="preserve">TISSUE SPECIFICITY: Highly expressed in pancreas and to a lesser extent in skeletal muscle, heart, brain and placenta. Present in trace amounts in lung and liver. {ECO:0000269|PubMed:9083068}.; </t>
        </is>
      </c>
      <c r="G508" t="inlineStr">
        <is>
          <t>.</t>
        </is>
      </c>
      <c r="H508" t="inlineStr">
        <is>
          <t>.</t>
        </is>
      </c>
      <c r="I508" t="inlineStr">
        <is>
          <t>.</t>
        </is>
      </c>
      <c r="J508" t="inlineStr">
        <is>
          <t>.</t>
        </is>
      </c>
      <c r="K508" t="inlineStr">
        <is>
          <t>.</t>
        </is>
      </c>
      <c r="L508" t="inlineStr">
        <is>
          <t>.</t>
        </is>
      </c>
      <c r="M508" t="inlineStr">
        <is>
          <t>.</t>
        </is>
      </c>
      <c r="N508" t="inlineStr">
        <is>
          <t>.</t>
        </is>
      </c>
      <c r="O508" t="inlineStr">
        <is>
          <t>.</t>
        </is>
      </c>
    </row>
    <row r="509">
      <c r="A509" t="inlineStr">
        <is>
          <t>OLFM1</t>
        </is>
      </c>
      <c r="B509" t="inlineStr">
        <is>
          <t>0.935993730569587</t>
        </is>
      </c>
      <c r="C509" t="inlineStr">
        <is>
          <t>olfactomedin 1</t>
        </is>
      </c>
      <c r="D509" t="inlineStr">
        <is>
          <t xml:space="preserve">FUNCTION: Contributes to the regulation of axonal growth in the embryonic and adult central nervous system by inhibiting interactions between RTN4R and LINGO1. Inhibits RTN4R-mediated axon growth cone collapse (By similarity). May play an important role in regulating the production of neural crest cells by the neural tube (By similarity). May be required for normal responses to olfactory stimuli (By similarity). {ECO:0000250|UniProtKB:O88998, ECO:0000250|UniProtKB:Q9IAK4}.; </t>
        </is>
      </c>
      <c r="E509" t="inlineStr">
        <is>
          <t>.</t>
        </is>
      </c>
      <c r="F509" t="inlineStr">
        <is>
          <t>.</t>
        </is>
      </c>
      <c r="G509" t="inlineStr">
        <is>
          <t>sympathetic chain;colon;substantia nigra;fovea centralis;choroid;skin;retina;uterus;prostate;optic nerve;whole body;frontal lobe;cochlea;endometrium;bone;testis;pineal gland;brain;unclassifiable (Anatomical System);heart;islets of Langerhans;hypothalamus;adrenal cortex;lens;breast;pancreas;lung;macula lutea;visual apparatus;hippocampus;head and neck;cervix;kidney;stomach;aorta;</t>
        </is>
      </c>
      <c r="H509" t="inlineStr">
        <is>
          <t>whole brain;amygdala;dorsal root ganglion;occipital lobe;superior cervical ganglion;thalamus;medulla oblongata;cerebellum peduncles;hypothalamus;temporal lobe;atrioventricular node;pons;caudate nucleus;subthalamic nucleus;fetal brain;prefrontal cortex;globus pallidus;trigeminal ganglion;cingulate cortex;parietal lobe;cerebellum;</t>
        </is>
      </c>
      <c r="I509" t="inlineStr">
        <is>
          <t>.</t>
        </is>
      </c>
      <c r="J509" t="inlineStr">
        <is>
          <t>.</t>
        </is>
      </c>
      <c r="K509" t="inlineStr">
        <is>
          <t>.</t>
        </is>
      </c>
      <c r="L509" t="inlineStr">
        <is>
          <t>.</t>
        </is>
      </c>
      <c r="M509" t="inlineStr">
        <is>
          <t>.</t>
        </is>
      </c>
      <c r="N509" t="inlineStr">
        <is>
          <t>.</t>
        </is>
      </c>
      <c r="O509" t="inlineStr">
        <is>
          <t>.</t>
        </is>
      </c>
    </row>
    <row r="510">
      <c r="A510" t="inlineStr">
        <is>
          <t>OOSP1</t>
        </is>
      </c>
      <c r="B510" t="inlineStr">
        <is>
          <t>.</t>
        </is>
      </c>
      <c r="C510" t="inlineStr">
        <is>
          <t>oocyte secreted protein 1, pseudogene</t>
        </is>
      </c>
      <c r="D510" t="inlineStr">
        <is>
          <t xml:space="preserve">FUNCTION: May be involved in cell differentiation. {ECO:0000250}.; </t>
        </is>
      </c>
      <c r="E510" t="inlineStr">
        <is>
          <t>.</t>
        </is>
      </c>
      <c r="F510" t="inlineStr">
        <is>
          <t>.</t>
        </is>
      </c>
      <c r="G510" t="inlineStr">
        <is>
          <t>.</t>
        </is>
      </c>
      <c r="H510" t="inlineStr">
        <is>
          <t>.</t>
        </is>
      </c>
      <c r="I510" t="inlineStr">
        <is>
          <t>.</t>
        </is>
      </c>
      <c r="J510" t="inlineStr">
        <is>
          <t>.</t>
        </is>
      </c>
      <c r="K510" t="inlineStr">
        <is>
          <t>.</t>
        </is>
      </c>
      <c r="L510" t="inlineStr">
        <is>
          <t>.</t>
        </is>
      </c>
      <c r="M510" t="inlineStr">
        <is>
          <t>.</t>
        </is>
      </c>
      <c r="N510" t="inlineStr">
        <is>
          <t>.</t>
        </is>
      </c>
      <c r="O510" t="inlineStr">
        <is>
          <t>.</t>
        </is>
      </c>
    </row>
    <row r="511">
      <c r="A511" t="inlineStr">
        <is>
          <t>OR10J5</t>
        </is>
      </c>
      <c r="B511" t="inlineStr">
        <is>
          <t>0.723391071464347</t>
        </is>
      </c>
      <c r="C511" t="inlineStr">
        <is>
          <t>olfactory receptor family 10 subfamily J member 5</t>
        </is>
      </c>
      <c r="D511" t="inlineStr">
        <is>
          <t xml:space="preserve">FUNCTION: Odorant receptor. {ECO:0000305}.; </t>
        </is>
      </c>
      <c r="E511" t="inlineStr">
        <is>
          <t>.</t>
        </is>
      </c>
      <c r="F511" t="inlineStr">
        <is>
          <t>.</t>
        </is>
      </c>
      <c r="G511" t="inlineStr">
        <is>
          <t>.</t>
        </is>
      </c>
      <c r="H511" t="inlineStr">
        <is>
          <t>.</t>
        </is>
      </c>
      <c r="I511" t="inlineStr">
        <is>
          <t>.</t>
        </is>
      </c>
      <c r="J511" t="inlineStr">
        <is>
          <t>.</t>
        </is>
      </c>
      <c r="K511" t="inlineStr">
        <is>
          <t>.</t>
        </is>
      </c>
      <c r="L511" t="inlineStr">
        <is>
          <t>.</t>
        </is>
      </c>
      <c r="M511" t="inlineStr">
        <is>
          <t>.</t>
        </is>
      </c>
      <c r="N511" t="inlineStr">
        <is>
          <t>.</t>
        </is>
      </c>
      <c r="O511" t="inlineStr">
        <is>
          <t>.</t>
        </is>
      </c>
    </row>
    <row r="512">
      <c r="A512" t="inlineStr">
        <is>
          <t>OR2T2</t>
        </is>
      </c>
      <c r="B512" t="inlineStr">
        <is>
          <t>0.692627480778694</t>
        </is>
      </c>
      <c r="C512" t="inlineStr">
        <is>
          <t>olfactory receptor family 2 subfamily T member 2</t>
        </is>
      </c>
      <c r="D512" t="inlineStr">
        <is>
          <t xml:space="preserve">FUNCTION: Odorant receptor. {ECO:0000305}.; </t>
        </is>
      </c>
      <c r="E512" t="inlineStr">
        <is>
          <t>.</t>
        </is>
      </c>
      <c r="F512" t="inlineStr">
        <is>
          <t>.</t>
        </is>
      </c>
      <c r="G512" t="inlineStr">
        <is>
          <t>.</t>
        </is>
      </c>
      <c r="H512" t="inlineStr">
        <is>
          <t>.</t>
        </is>
      </c>
      <c r="I512" t="inlineStr">
        <is>
          <t>.</t>
        </is>
      </c>
      <c r="J512" t="inlineStr">
        <is>
          <t>.</t>
        </is>
      </c>
      <c r="K512" t="inlineStr">
        <is>
          <t>.</t>
        </is>
      </c>
      <c r="L512" t="inlineStr">
        <is>
          <t>.</t>
        </is>
      </c>
      <c r="M512" t="inlineStr">
        <is>
          <t>.</t>
        </is>
      </c>
      <c r="N512" t="inlineStr">
        <is>
          <t>.</t>
        </is>
      </c>
      <c r="O512" t="inlineStr">
        <is>
          <t>.</t>
        </is>
      </c>
    </row>
    <row r="513">
      <c r="A513" t="inlineStr">
        <is>
          <t>OR2T33</t>
        </is>
      </c>
      <c r="B513" t="inlineStr">
        <is>
          <t>0.0164922028007124</t>
        </is>
      </c>
      <c r="C513" t="inlineStr">
        <is>
          <t>olfactory receptor family 2 subfamily T member 33</t>
        </is>
      </c>
      <c r="D513" t="inlineStr">
        <is>
          <t xml:space="preserve">FUNCTION: Odorant receptor. {ECO:0000305}.; </t>
        </is>
      </c>
      <c r="E513" t="inlineStr">
        <is>
          <t>.</t>
        </is>
      </c>
      <c r="F513" t="inlineStr">
        <is>
          <t>.</t>
        </is>
      </c>
      <c r="G513" t="inlineStr">
        <is>
          <t>.</t>
        </is>
      </c>
      <c r="H513" t="inlineStr">
        <is>
          <t>.</t>
        </is>
      </c>
      <c r="I513" t="inlineStr">
        <is>
          <t>.</t>
        </is>
      </c>
      <c r="J513" t="inlineStr">
        <is>
          <t>.</t>
        </is>
      </c>
      <c r="K513" t="inlineStr">
        <is>
          <t>.</t>
        </is>
      </c>
      <c r="L513" t="inlineStr">
        <is>
          <t>.</t>
        </is>
      </c>
      <c r="M513" t="inlineStr">
        <is>
          <t>.</t>
        </is>
      </c>
      <c r="N513" t="inlineStr">
        <is>
          <t>.</t>
        </is>
      </c>
      <c r="O513" t="inlineStr">
        <is>
          <t>.</t>
        </is>
      </c>
    </row>
    <row r="514">
      <c r="A514" t="inlineStr">
        <is>
          <t>OR2Y1</t>
        </is>
      </c>
      <c r="B514" t="inlineStr">
        <is>
          <t>5.15790392859341e-07</t>
        </is>
      </c>
      <c r="C514" t="inlineStr">
        <is>
          <t>olfactory receptor family 2 subfamily Y member 1</t>
        </is>
      </c>
      <c r="D514" t="inlineStr">
        <is>
          <t xml:space="preserve">FUNCTION: Odorant receptor. {ECO:0000305}.; </t>
        </is>
      </c>
      <c r="E514" t="inlineStr">
        <is>
          <t>.</t>
        </is>
      </c>
      <c r="F514" t="inlineStr">
        <is>
          <t>.</t>
        </is>
      </c>
      <c r="G514" t="inlineStr">
        <is>
          <t>.</t>
        </is>
      </c>
      <c r="H514" t="inlineStr">
        <is>
          <t>.</t>
        </is>
      </c>
      <c r="I514" t="inlineStr">
        <is>
          <t>.</t>
        </is>
      </c>
      <c r="J514" t="inlineStr">
        <is>
          <t>.</t>
        </is>
      </c>
      <c r="K514" t="inlineStr">
        <is>
          <t>.</t>
        </is>
      </c>
      <c r="L514" t="inlineStr">
        <is>
          <t>.</t>
        </is>
      </c>
      <c r="M514" t="inlineStr">
        <is>
          <t>.</t>
        </is>
      </c>
      <c r="N514" t="inlineStr">
        <is>
          <t>.</t>
        </is>
      </c>
      <c r="O514" t="inlineStr">
        <is>
          <t>.</t>
        </is>
      </c>
    </row>
    <row r="515">
      <c r="A515" t="inlineStr">
        <is>
          <t>OR52M1</t>
        </is>
      </c>
      <c r="B515" t="inlineStr">
        <is>
          <t>4.69164554510947e-06</t>
        </is>
      </c>
      <c r="C515" t="inlineStr">
        <is>
          <t>olfactory receptor family 52 subfamily M member 1</t>
        </is>
      </c>
      <c r="D515" t="inlineStr">
        <is>
          <t xml:space="preserve">FUNCTION: Odorant receptor. {ECO:0000305}.; </t>
        </is>
      </c>
      <c r="E515" t="inlineStr">
        <is>
          <t>.</t>
        </is>
      </c>
      <c r="F515" t="inlineStr">
        <is>
          <t>.</t>
        </is>
      </c>
      <c r="G515" t="inlineStr">
        <is>
          <t>.</t>
        </is>
      </c>
      <c r="H515" t="inlineStr">
        <is>
          <t>.</t>
        </is>
      </c>
      <c r="I515" t="inlineStr">
        <is>
          <t>.</t>
        </is>
      </c>
      <c r="J515" t="inlineStr">
        <is>
          <t>.</t>
        </is>
      </c>
      <c r="K515" t="inlineStr">
        <is>
          <t>.</t>
        </is>
      </c>
      <c r="L515" t="inlineStr">
        <is>
          <t>.</t>
        </is>
      </c>
      <c r="M515" t="inlineStr">
        <is>
          <t>.</t>
        </is>
      </c>
      <c r="N515" t="inlineStr">
        <is>
          <t>.</t>
        </is>
      </c>
      <c r="O515" t="inlineStr">
        <is>
          <t>.</t>
        </is>
      </c>
    </row>
    <row r="516">
      <c r="A516" t="inlineStr">
        <is>
          <t>OR5R1</t>
        </is>
      </c>
      <c r="B516" t="inlineStr">
        <is>
          <t>2.18602853058181e-05</t>
        </is>
      </c>
      <c r="C516" t="inlineStr">
        <is>
          <t>olfactory receptor family 5 subfamily R member 1 (gene/pseudogene)</t>
        </is>
      </c>
      <c r="D516" t="inlineStr">
        <is>
          <t xml:space="preserve">FUNCTION: Odorant receptor. {ECO:0000305}.; </t>
        </is>
      </c>
      <c r="E516" t="inlineStr">
        <is>
          <t>.</t>
        </is>
      </c>
      <c r="F516" t="inlineStr">
        <is>
          <t>.</t>
        </is>
      </c>
      <c r="G516" t="inlineStr">
        <is>
          <t>.</t>
        </is>
      </c>
      <c r="H516" t="inlineStr">
        <is>
          <t>.</t>
        </is>
      </c>
      <c r="I516" t="inlineStr">
        <is>
          <t>.</t>
        </is>
      </c>
      <c r="J516" t="inlineStr">
        <is>
          <t>.</t>
        </is>
      </c>
      <c r="K516" t="inlineStr">
        <is>
          <t>.</t>
        </is>
      </c>
      <c r="L516" t="inlineStr">
        <is>
          <t>.</t>
        </is>
      </c>
      <c r="M516" t="inlineStr">
        <is>
          <t>.</t>
        </is>
      </c>
      <c r="N516" t="inlineStr">
        <is>
          <t>.</t>
        </is>
      </c>
      <c r="O516" t="inlineStr">
        <is>
          <t>.</t>
        </is>
      </c>
    </row>
    <row r="517">
      <c r="A517" t="inlineStr">
        <is>
          <t>OSBPL11</t>
        </is>
      </c>
      <c r="B517" t="inlineStr">
        <is>
          <t>0.898599332497567</t>
        </is>
      </c>
      <c r="C517" t="inlineStr">
        <is>
          <t>oxysterol binding protein like 11</t>
        </is>
      </c>
      <c r="D517" t="inlineStr">
        <is>
          <t xml:space="preserve">FUNCTION: Plays a role in regulating ADIPOQ and FABP4 levels in differentiating adipocytes and is also involved in regulation of adipocyte triglyceride storage (PubMed:23028956). Weakly binds 25- hydroxycholesterol (PubMed:17428193). {ECO:0000269|PubMed:17428193, ECO:0000269|PubMed:23028956}.; </t>
        </is>
      </c>
      <c r="E517" t="inlineStr">
        <is>
          <t>.</t>
        </is>
      </c>
      <c r="F517" t="inlineStr">
        <is>
          <t xml:space="preserve">TISSUE SPECIFICITY: Present at highest levels in ovary, testis, kidney, liver, stomach, brain, and adipose tissue. Strong expression (at protein level) in epithelial cells of kidney tubules, testicular tubules, caecum, and skin (PubMed:20599956). Present at low levels in subcutaneous and visceral adipose tissue (at protein level)(PubMed:23028956). {ECO:0000269|PubMed:20599956, ECO:0000269|PubMed:23028956}.; </t>
        </is>
      </c>
      <c r="G517" t="inlineStr">
        <is>
          <t>myocardium;ovary;colon;parathyroid;fovea centralis;skin;bone marrow;uterus;prostate;whole body;frontal lobe;endometrium;bone;thyroid;testis;amniotic fluid;germinal center;brain;bladder;unclassifiable (Anatomical System);lymph node;cartilage;heart;islets of Langerhans;hypothalamus;muscle;blood;skeletal muscle;breast;lung;placenta;macula lutea;visual apparatus;liver;spleen;head and neck;kidney;mammary gland;stomach;thymus;</t>
        </is>
      </c>
      <c r="H517" t="inlineStr">
        <is>
          <t>dorsal root ganglion;superior cervical ganglion;adipose tissue;trigeminal ganglion;whole blood;skeletal muscle;</t>
        </is>
      </c>
      <c r="I517" t="inlineStr">
        <is>
          <t>.</t>
        </is>
      </c>
      <c r="J517" t="inlineStr">
        <is>
          <t>.</t>
        </is>
      </c>
      <c r="K517" t="inlineStr">
        <is>
          <t>.</t>
        </is>
      </c>
      <c r="L517" t="inlineStr">
        <is>
          <t>.</t>
        </is>
      </c>
      <c r="M517" t="inlineStr">
        <is>
          <t>.</t>
        </is>
      </c>
      <c r="N517" t="inlineStr">
        <is>
          <t>.</t>
        </is>
      </c>
      <c r="O517" t="inlineStr">
        <is>
          <t>.</t>
        </is>
      </c>
    </row>
    <row r="518">
      <c r="A518" t="inlineStr">
        <is>
          <t>OSBPL5</t>
        </is>
      </c>
      <c r="B518" t="inlineStr">
        <is>
          <t>0.000848897697066133</t>
        </is>
      </c>
      <c r="C518" t="inlineStr">
        <is>
          <t>oxysterol binding protein like 5</t>
        </is>
      </c>
      <c r="D518" t="inlineStr">
        <is>
          <t xml:space="preserve">FUNCTION: Lipid transporter involved in lipid countertransport between the endoplasmic reticulum and the plasma membrane: specifically exchanges phosphatidylserine with phosphatidylinositol 4-phosphate (PI4P), delivering phosphatidylserine to the plasma membrane in exchange for PI4P, which is degraded by the SAC1/SACM1L phosphatase in the endoplasmic reticulum. Binds phosphatidylserine and PI4P in a mutually exclusive manner (PubMed:23934110, PubMed:26206935). May cooperate with NPC1 to mediate the exit of cholesterol from endosomes/lysosomes (PubMed:21220512). Binds 25-hydroxycholesterol and cholesterol (PubMed:17428193). {ECO:0000269|PubMed:17428193, ECO:0000269|PubMed:21220512, ECO:0000269|PubMed:23934110, ECO:0000269|PubMed:26206935}.; </t>
        </is>
      </c>
      <c r="E518" t="inlineStr">
        <is>
          <t>.</t>
        </is>
      </c>
      <c r="F518" t="inlineStr">
        <is>
          <t xml:space="preserve">TISSUE SPECIFICITY: Ubiquitously expressed. {ECO:0000269|PubMed:12504849, ECO:0000269|PubMed:21220512}.; </t>
        </is>
      </c>
      <c r="G518" t="inlineStr">
        <is>
          <t>ovary;colon;substantia nigra;fovea centralis;choroid;skin;retina;uterus;prostate;optic nerve;whole body;larynx;bone;unclassifiable (Anatomical System);heart;cartilage;islets of Langerhans;blood;lens;pancreas;lung;placenta;macula lutea;spleen;head and neck;cervix;kidney;mammary gland;stomach;</t>
        </is>
      </c>
      <c r="H518" t="inlineStr">
        <is>
          <t>globus pallidus;ciliary ganglion;atrioventricular node;</t>
        </is>
      </c>
      <c r="I518" t="inlineStr">
        <is>
          <t>.</t>
        </is>
      </c>
      <c r="J518" t="inlineStr">
        <is>
          <t>.</t>
        </is>
      </c>
      <c r="K518" t="inlineStr">
        <is>
          <t>.</t>
        </is>
      </c>
      <c r="L518" t="inlineStr">
        <is>
          <t>.</t>
        </is>
      </c>
      <c r="M518" t="inlineStr">
        <is>
          <t>.</t>
        </is>
      </c>
      <c r="N518" t="inlineStr">
        <is>
          <t>.</t>
        </is>
      </c>
      <c r="O518" t="inlineStr">
        <is>
          <t>.</t>
        </is>
      </c>
    </row>
    <row r="519">
      <c r="A519" t="inlineStr">
        <is>
          <t>OTOF</t>
        </is>
      </c>
      <c r="B519" t="inlineStr">
        <is>
          <t>4.32599885952291e-25</t>
        </is>
      </c>
      <c r="C519" t="inlineStr">
        <is>
          <t>otoferlin</t>
        </is>
      </c>
      <c r="D519" t="inlineStr">
        <is>
          <t xml:space="preserve">FUNCTION: Key calcium ion sensor involved in the Ca(2+)-triggered synaptic vesicle-plasma membrane fusion and in the control of neurotransmitter release at these output synapses. Interacts in a calcium-dependent manner to the presynaptic SNARE proteins at ribbon synapses of cochlear inner hair cells (IHCs) to trigger exocytosis of neurotransmitter. Also essential to synaptic exocytosis in immature outer hair cells (OHCs). May also play a role within the recycling of endosomes (By similarity). {ECO:0000250}.; </t>
        </is>
      </c>
      <c r="E519" t="inlineStr">
        <is>
          <t xml:space="preserve">DISEASE: Deafness, autosomal recessive, 9 (DFNB9) [MIM:601071]: A form of non-syndromic sensorineural hearing loss. Sensorineural deafness results from damage to the neural receptors of the inner ear, the nerve pathways to the brain, or the area of the brain that receives sound information. {ECO:0000269|PubMed:10192385, ECO:0000269|PubMed:12127154, ECO:0000269|PubMed:16097006, ECO:0000269|PubMed:16283880, ECO:0000269|PubMed:16371502}. Note=The disease is caused by mutations affecting the gene represented in this entry.; DISEASE: Auditory neuropathy, autosomal recessive, 1 (AUNB1) [MIM:601071]: A form of sensorineural hearing loss with absent or severely abnormal auditory brainstem response, in the presence of normal cochlear outer hair cell function and normal otoacoustic emissions. Auditory neuropathies result from a lesion in the area including the inner hair cells, connections between the inner hair cells and the cochlear branch of the auditory nerve, the auditory nerve itself and auditory pathways of the brainstem. In some cases AUNB1 phenotype can be temperature sensitive. {ECO:0000269|PubMed:16371502, ECO:0000269|PubMed:18381613}. Note=The disease is caused by mutations affecting the gene represented in this entry.; </t>
        </is>
      </c>
      <c r="F519" t="inlineStr">
        <is>
          <t xml:space="preserve">TISSUE SPECIFICITY: Isoform 1 and isoform 3 are found in adult brain. Isoform 2 is expressed in the fetus and in adult brain, heart, placenta, skeletal muscle and kidney.; </t>
        </is>
      </c>
      <c r="G519" t="inlineStr">
        <is>
          <t>bone;spinal cord;brain;</t>
        </is>
      </c>
      <c r="H519" t="inlineStr">
        <is>
          <t>.</t>
        </is>
      </c>
      <c r="I519">
        <f>HYPERLINK("https://omim.org/entry/601071", "601071")</f>
        <v/>
      </c>
      <c r="J519">
        <f>HYPERLINK("https://omim.org/entry/601071", "601071")</f>
        <v/>
      </c>
      <c r="K519" t="inlineStr">
        <is>
          <t>.</t>
        </is>
      </c>
      <c r="L519" t="inlineStr">
        <is>
          <t>.</t>
        </is>
      </c>
      <c r="M519" t="inlineStr">
        <is>
          <t>.</t>
        </is>
      </c>
      <c r="N519" t="inlineStr">
        <is>
          <t>.</t>
        </is>
      </c>
      <c r="O519" t="inlineStr">
        <is>
          <t>.</t>
        </is>
      </c>
    </row>
    <row r="520">
      <c r="A520" t="inlineStr">
        <is>
          <t>OTOG</t>
        </is>
      </c>
      <c r="B520" t="inlineStr">
        <is>
          <t>.</t>
        </is>
      </c>
      <c r="C520" t="inlineStr">
        <is>
          <t>otogelin</t>
        </is>
      </c>
      <c r="D520" t="inlineStr">
        <is>
          <t xml:space="preserve">FUNCTION: Glycoprotein specific to acellular membranes of the inner ear. May be required for the anchoring of the otoconial membranes and cupulae to the underlying neuroepithelia in the vestibule. May be involved in the organization and/or stabilization of the fibrillar network that compose the tectorial membrane in the cochlea. May play a role in mechanotransduction processes (By similarity). {ECO:0000250}.; </t>
        </is>
      </c>
      <c r="E520" t="inlineStr">
        <is>
          <t xml:space="preserve">DISEASE: Deafness, autosomal recessive, 18B (DFNB18B) [MIM:614945]: A form of non-syndromic deafness characterized by a moderate hearing impairment, which can be associated with vestibular dysfunction, and a flat to shallow "U" or slightly downsloping shaped audiograms. {ECO:0000269|PubMed:23122587}. Note=The disease is caused by mutations affecting the gene represented in this entry.; </t>
        </is>
      </c>
      <c r="F520" t="inlineStr">
        <is>
          <t>.</t>
        </is>
      </c>
      <c r="G520" t="inlineStr">
        <is>
          <t>.</t>
        </is>
      </c>
      <c r="H520" t="inlineStr">
        <is>
          <t>.</t>
        </is>
      </c>
      <c r="I520">
        <f>HYPERLINK("https://omim.org/entry/614945", "614945")</f>
        <v/>
      </c>
      <c r="J520" t="inlineStr">
        <is>
          <t>.</t>
        </is>
      </c>
      <c r="K520" t="inlineStr">
        <is>
          <t>.</t>
        </is>
      </c>
      <c r="L520" t="inlineStr">
        <is>
          <t>.</t>
        </is>
      </c>
      <c r="M520" t="inlineStr">
        <is>
          <t>.</t>
        </is>
      </c>
      <c r="N520" t="inlineStr">
        <is>
          <t>.</t>
        </is>
      </c>
      <c r="O520" t="inlineStr">
        <is>
          <t>.</t>
        </is>
      </c>
    </row>
    <row r="521">
      <c r="A521" t="inlineStr">
        <is>
          <t>OTOGL</t>
        </is>
      </c>
      <c r="B521" t="inlineStr">
        <is>
          <t>3.7282457621613e-31</t>
        </is>
      </c>
      <c r="C521" t="inlineStr">
        <is>
          <t>otogelin like</t>
        </is>
      </c>
      <c r="D521" t="inlineStr">
        <is>
          <t>.</t>
        </is>
      </c>
      <c r="E521" t="inlineStr">
        <is>
          <t>.</t>
        </is>
      </c>
      <c r="F521" t="inlineStr">
        <is>
          <t xml:space="preserve">TISSUE SPECIFICITY: Expressed at high levels in fetal inner ear and heart. Low levels in fetal skeletal muscle, kidney, spleen and colon. Not detected in fetal liver, lung, brain, nor in fetal stomach. In adult tissues, highest levels in brain, kidney, heart and retina. Relatively low levels in lung, spleen and duodenum. Not detected in adult skeletal muscle, liver, nor testis. {ECO:0000269|PubMed:23122586}.; </t>
        </is>
      </c>
      <c r="G521" t="inlineStr">
        <is>
          <t>lung;cochlea;islets of Langerhans;kidney;stomach;</t>
        </is>
      </c>
      <c r="H521" t="inlineStr">
        <is>
          <t>subthalamic nucleus;appendix;ciliary ganglion;skeletal muscle;</t>
        </is>
      </c>
      <c r="I521" t="inlineStr">
        <is>
          <t>.</t>
        </is>
      </c>
      <c r="J521" t="inlineStr">
        <is>
          <t>.</t>
        </is>
      </c>
      <c r="K521" t="inlineStr">
        <is>
          <t>.</t>
        </is>
      </c>
      <c r="L521" t="inlineStr">
        <is>
          <t>.</t>
        </is>
      </c>
      <c r="M521" t="inlineStr">
        <is>
          <t>.</t>
        </is>
      </c>
      <c r="N521" t="inlineStr">
        <is>
          <t>.</t>
        </is>
      </c>
      <c r="O521" t="inlineStr">
        <is>
          <t>.</t>
        </is>
      </c>
    </row>
    <row r="522">
      <c r="A522" t="inlineStr">
        <is>
          <t>OTUD6B</t>
        </is>
      </c>
      <c r="B522" t="inlineStr">
        <is>
          <t>6.25843988413621e-08</t>
        </is>
      </c>
      <c r="C522" t="inlineStr">
        <is>
          <t>OTU domain containing 6B</t>
        </is>
      </c>
      <c r="D522" t="inlineStr">
        <is>
          <t>.</t>
        </is>
      </c>
      <c r="E522" t="inlineStr">
        <is>
          <t>.</t>
        </is>
      </c>
      <c r="F522" t="inlineStr">
        <is>
          <t>.</t>
        </is>
      </c>
      <c r="G522" t="inlineStr">
        <is>
          <t>ovary;colon;parathyroid;skin;bone marrow;uterus;prostate;whole body;endometrium;bone;testis;germinal center;brain;unclassifiable (Anatomical System);lymph node;cartilage;islets of Langerhans;hypothalamus;blood;skeletal muscle;breast;lung;nasopharynx;placenta;hippocampus;liver;mammary gland;stomach;</t>
        </is>
      </c>
      <c r="H522" t="inlineStr">
        <is>
          <t>dorsal root ganglion;occipital lobe;subthalamic nucleus;superior cervical ganglion;globus pallidus;kidney;trigeminal ganglion;</t>
        </is>
      </c>
      <c r="I522" t="inlineStr">
        <is>
          <t>.</t>
        </is>
      </c>
      <c r="J522" t="inlineStr">
        <is>
          <t>.</t>
        </is>
      </c>
      <c r="K522" t="inlineStr">
        <is>
          <t>.</t>
        </is>
      </c>
      <c r="L522" t="inlineStr">
        <is>
          <t>.</t>
        </is>
      </c>
      <c r="M522" t="inlineStr">
        <is>
          <t>.</t>
        </is>
      </c>
      <c r="N522" t="inlineStr">
        <is>
          <t>.</t>
        </is>
      </c>
      <c r="O522" t="inlineStr">
        <is>
          <t>.</t>
        </is>
      </c>
    </row>
    <row r="523">
      <c r="A523" t="inlineStr">
        <is>
          <t>OTX2</t>
        </is>
      </c>
      <c r="B523" t="inlineStr">
        <is>
          <t>0.744599586946362</t>
        </is>
      </c>
      <c r="C523" t="inlineStr">
        <is>
          <t>orthodenticle homeobox 2</t>
        </is>
      </c>
      <c r="D523" t="inlineStr">
        <is>
          <t xml:space="preserve">FUNCTION: Probably plays a role in the development of the brain and the sense organs. Can bind to the BCD target sequence (BTS): 5'-TCTAATCCC-3'.; </t>
        </is>
      </c>
      <c r="E523" t="inlineStr">
        <is>
          <t xml:space="preserve">DISEASE: Microphthalmia, syndromic, 5 (MCOPS5) [MIM:610125]: Patients manifest unilateral or bilateral microphthalmia/clinical anophthalmia and variable additional features including pituitary dysfunction, coloboma, microcornea, cataract, retinal dystrophy, hypoplasia or agenesis of the optic nerve, agenesis of the corpus callosum, developmental delay, joint laxity, hypotonia, and seizures. Microphthalmia is a disorder of eye formation, ranging from small size of a single eye to complete bilateral absence of ocular tissues (anophthalmia). In many cases, microphthalmia/anophthalmia occurs in association with syndromes that include non-ocular abnormalities. {ECO:0000269|PubMed:15846561, ECO:0000269|PubMed:20396904, ECO:0000269|PubMed:22577225, ECO:0000269|PubMed:24167467}. Note=The disease is caused by mutations affecting the gene represented in this entry.; DISEASE: Pituitary hormone deficiency, combined, 6 (CPHD6) [MIM:613986]: Combined pituitary hormone deficiency is defined as the impaired production of growth hormone and one or more of the other five anterior pituitary hormones. CPHD6 patients manifest neonatal hypoglycemia, and deficiencies of growth hormone, thyroid-stimulating hormone, luteinizing hormone, follicle stimulating hormone and adrenocorticotropic hormone. {ECO:0000269|PubMed:18728160}. Note=The disease is caused by mutations affecting the gene represented in this entry.; DISEASE: Retinal dystrophy, early-onset, with or without pituitary dysfunction (RDEOP) [MIM:610125]: An autosomal dominant ocular disease characterized by pattern dystrophy of the retinal pigment epithelium, and photoreceptor degeneration. Mild developmental anomalies include optic nerve head dysplasia, microcornea, and Rathke's cleft cyst. Some patients manifest pituary dysfunction. {ECO:0000269|PubMed:19956411, ECO:0000269|PubMed:25293953}. Note=The disease is caused by mutations affecting the gene represented in this entry.; </t>
        </is>
      </c>
      <c r="F523" t="inlineStr">
        <is>
          <t xml:space="preserve">TISSUE SPECIFICITY: Expressed in brain.; </t>
        </is>
      </c>
      <c r="G523" t="inlineStr">
        <is>
          <t>unclassifiable (Anatomical System);optic nerve;whole body;pineal body;macula lutea;visual apparatus;fovea centralis;choroid;lens;brain;retina;</t>
        </is>
      </c>
      <c r="H523" t="inlineStr">
        <is>
          <t>dorsal root ganglion;superior cervical ganglion;atrioventricular node;trigeminal ganglion;skeletal muscle;cerebellum;</t>
        </is>
      </c>
      <c r="I523">
        <f>HYPERLINK("https://omim.org/entry/610125", "610125")</f>
        <v/>
      </c>
      <c r="J523">
        <f>HYPERLINK("https://omim.org/entry/613986", "613986")</f>
        <v/>
      </c>
      <c r="K523">
        <f>HYPERLINK("https://omim.org/entry/610125", "610125")</f>
        <v/>
      </c>
      <c r="L523" t="inlineStr">
        <is>
          <t>.</t>
        </is>
      </c>
      <c r="M523" t="inlineStr">
        <is>
          <t>.</t>
        </is>
      </c>
      <c r="N523" t="inlineStr">
        <is>
          <t>.</t>
        </is>
      </c>
      <c r="O523" t="inlineStr">
        <is>
          <t>.</t>
        </is>
      </c>
    </row>
    <row r="524">
      <c r="A524" t="inlineStr">
        <is>
          <t>P2RY11</t>
        </is>
      </c>
      <c r="B524" t="inlineStr">
        <is>
          <t>9.07591188729782e-08</t>
        </is>
      </c>
      <c r="C524" t="inlineStr">
        <is>
          <t>purinergic receptor P2Y11</t>
        </is>
      </c>
      <c r="D524" t="inlineStr">
        <is>
          <t xml:space="preserve">FUNCTION: Receptor for ATP and ADP coupled to G-proteins that activate both phosphatidylinositol-calcium and adenylyl cyclase second messenger systems. Not activated by UTP or UDP.; </t>
        </is>
      </c>
      <c r="E524" t="inlineStr">
        <is>
          <t>.</t>
        </is>
      </c>
      <c r="F524" t="inlineStr">
        <is>
          <t xml:space="preserve">TISSUE SPECIFICITY: Highest expression in liver and spleen. {ECO:0000269|PubMed:11278528}.; </t>
        </is>
      </c>
      <c r="G524" t="inlineStr">
        <is>
          <t>lymphoreticular;ovary;colon;fovea centralis;choroid;skin;retina;bone marrow;uterus;prostate;optic nerve;whole body;endometrium;bone;iris;pituitary gland;testis;germinal center;brain;bladder;unclassifiable (Anatomical System);amygdala;cartilage;heart;lacrimal gland;islets of Langerhans;muscle;blood;lens;skeletal muscle;pancreas;lung;nasopharynx;placenta;macula lutea;visual apparatus;cervix;kidney;mammary gland;stomach;aorta;peripheral nerve;</t>
        </is>
      </c>
      <c r="H524" t="inlineStr">
        <is>
          <t>.</t>
        </is>
      </c>
      <c r="I524" t="inlineStr">
        <is>
          <t>.</t>
        </is>
      </c>
      <c r="J524" t="inlineStr">
        <is>
          <t>.</t>
        </is>
      </c>
      <c r="K524" t="inlineStr">
        <is>
          <t>.</t>
        </is>
      </c>
      <c r="L524" t="inlineStr">
        <is>
          <t>.</t>
        </is>
      </c>
      <c r="M524" t="inlineStr">
        <is>
          <t>.</t>
        </is>
      </c>
      <c r="N524" t="inlineStr">
        <is>
          <t>.</t>
        </is>
      </c>
      <c r="O524" t="inlineStr">
        <is>
          <t>.</t>
        </is>
      </c>
    </row>
    <row r="525">
      <c r="A525" t="inlineStr">
        <is>
          <t>PACSIN3</t>
        </is>
      </c>
      <c r="B525" t="inlineStr">
        <is>
          <t>0.0167930476176259</t>
        </is>
      </c>
      <c r="C525" t="inlineStr">
        <is>
          <t>protein kinase C and casein kinase substrate in neurons 3</t>
        </is>
      </c>
      <c r="D525" t="inlineStr">
        <is>
          <t xml:space="preserve">FUNCTION: Plays a role in endocytosis and regulates internalization of plasma membrane proteins. Overexpression impairs internalization of SLC2A1/GLUT1 and TRPV4 and increases the levels of SLC2A1/GLUT1 and TRPV4 at the cell membrane. Inhibits the TRPV4 calcium channel activity (By similarity). {ECO:0000250, ECO:0000269|PubMed:11082044}.; </t>
        </is>
      </c>
      <c r="E525" t="inlineStr">
        <is>
          <t>.</t>
        </is>
      </c>
      <c r="F525" t="inlineStr">
        <is>
          <t xml:space="preserve">TISSUE SPECIFICITY: Widely expressed, with highest levels in heart and skeletal muscle, intermediate levels in placenta, liver and pancreas, and very low levels in brain, lung and kidney. {ECO:0000269|PubMed:11082044, ECO:0000269|PubMed:11179684}.; </t>
        </is>
      </c>
      <c r="G525" t="inlineStr">
        <is>
          <t>smooth muscle;ovary;salivary gland;intestine;colon;parathyroid;fovea centralis;choroid;skin;retina;uterus;prostate;optic nerve;whole body;oesophagus;endometrium;bone;testis;brain;bladder;unclassifiable (Anatomical System);cartilage;heart;islets of Langerhans;hypothalamus;pharynx;blood;lens;skeletal muscle;breast;pancreas;lung;placenta;macula lutea;visual apparatus;liver;cervix;kidney;mammary gland;stomach;</t>
        </is>
      </c>
      <c r="H525" t="inlineStr">
        <is>
          <t>temporal lobe;adrenal cortex;pons;skeletal muscle;parietal lobe;</t>
        </is>
      </c>
      <c r="I525" t="inlineStr">
        <is>
          <t>.</t>
        </is>
      </c>
      <c r="J525" t="inlineStr">
        <is>
          <t>.</t>
        </is>
      </c>
      <c r="K525" t="inlineStr">
        <is>
          <t>.</t>
        </is>
      </c>
      <c r="L525" t="inlineStr">
        <is>
          <t>.</t>
        </is>
      </c>
      <c r="M525" t="inlineStr">
        <is>
          <t>.</t>
        </is>
      </c>
      <c r="N525" t="inlineStr">
        <is>
          <t>.</t>
        </is>
      </c>
      <c r="O525" t="inlineStr">
        <is>
          <t>.</t>
        </is>
      </c>
    </row>
    <row r="526">
      <c r="A526" t="inlineStr">
        <is>
          <t>PANX1</t>
        </is>
      </c>
      <c r="B526" t="inlineStr">
        <is>
          <t>0.00309549630219255</t>
        </is>
      </c>
      <c r="C526" t="inlineStr">
        <is>
          <t>pannexin 1</t>
        </is>
      </c>
      <c r="D526" t="inlineStr">
        <is>
          <t xml:space="preserve">FUNCTION: Structural component of the gap junctions and the hemichannels. May play a role as a Ca(2+)-leak channel to regulate ER Ca(2+) homeostasis. {ECO:0000269|PubMed:16908669, ECO:0000269|PubMed:20829356}.; </t>
        </is>
      </c>
      <c r="E526" t="inlineStr">
        <is>
          <t>.</t>
        </is>
      </c>
      <c r="F526" t="inlineStr">
        <is>
          <t>.</t>
        </is>
      </c>
      <c r="G526" t="inlineStr">
        <is>
          <t>ovary;colon;parathyroid;fovea centralis;choroid;skin;retina;bone marrow;uterus;prostate;optic nerve;whole body;endometrium;gum;bone;testis;brain;unclassifiable (Anatomical System);lymph node;heart;cartilage;islets of Langerhans;lens;skeletal muscle;pancreas;lung;placenta;macula lutea;liver;spleen;kidney;</t>
        </is>
      </c>
      <c r="H526" t="inlineStr">
        <is>
          <t>dorsal root ganglion;atrioventricular node;</t>
        </is>
      </c>
      <c r="I526" t="inlineStr">
        <is>
          <t>.</t>
        </is>
      </c>
      <c r="J526" t="inlineStr">
        <is>
          <t>.</t>
        </is>
      </c>
      <c r="K526" t="inlineStr">
        <is>
          <t>.</t>
        </is>
      </c>
      <c r="L526" t="inlineStr">
        <is>
          <t>.</t>
        </is>
      </c>
      <c r="M526" t="inlineStr">
        <is>
          <t>.</t>
        </is>
      </c>
      <c r="N526" t="inlineStr">
        <is>
          <t>.</t>
        </is>
      </c>
      <c r="O526" t="inlineStr">
        <is>
          <t>.</t>
        </is>
      </c>
    </row>
    <row r="527">
      <c r="A527" t="inlineStr">
        <is>
          <t>PAPPA</t>
        </is>
      </c>
      <c r="B527" t="inlineStr">
        <is>
          <t>0.967751416645701</t>
        </is>
      </c>
      <c r="C527" t="inlineStr">
        <is>
          <t>pregnancy-associated plasma protein A, pappalysin 1</t>
        </is>
      </c>
      <c r="D527" t="inlineStr">
        <is>
          <t xml:space="preserve">FUNCTION: Metalloproteinase which specifically cleaves IGFBP-4 and IGFBP-5, resulting in release of bound IGF. Cleavage of IGFBP-4 is dramatically enhanced by the presence of IGF, whereas cleavage of IGFBP-5 is slightly inhibited by the presence of IGF. {ECO:0000269|PubMed:10077652, ECO:0000269|PubMed:10913121, ECO:0000269|PubMed:11522292}.; </t>
        </is>
      </c>
      <c r="E527" t="inlineStr">
        <is>
          <t>.</t>
        </is>
      </c>
      <c r="F527" t="inlineStr">
        <is>
          <t xml:space="preserve">TISSUE SPECIFICITY: High levels in placenta and pregnancy serum. In placenta, expressed in X cells in septa and anchoring villi, and in syncytiotrophoblasts in the chorionic villi. Lower levels are found in a variety of other tissues including kidney, myometrium, endometrium, ovaries, breast, prostate, bone marrow, colon, fibroblasts and osteoblasts. {ECO:0000269|PubMed:10077652, ECO:0000269|PubMed:10491647, ECO:0000269|PubMed:7508748, ECO:0000269|PubMed:7526035}.; </t>
        </is>
      </c>
      <c r="G527" t="inlineStr">
        <is>
          <t>unclassifiable (Anatomical System);breast;uterus;frontal lobe;ovary;placenta;muscle;liver;colon;parathyroid;stomach;</t>
        </is>
      </c>
      <c r="H527" t="inlineStr">
        <is>
          <t>superior cervical ganglion;smooth muscle;heart;placenta;trigeminal ganglion;cingulate cortex;</t>
        </is>
      </c>
      <c r="I527" t="inlineStr">
        <is>
          <t>.</t>
        </is>
      </c>
      <c r="J527" t="inlineStr">
        <is>
          <t>.</t>
        </is>
      </c>
      <c r="K527" t="inlineStr">
        <is>
          <t>.</t>
        </is>
      </c>
      <c r="L527" t="inlineStr">
        <is>
          <t>.</t>
        </is>
      </c>
      <c r="M527" t="inlineStr">
        <is>
          <t>.</t>
        </is>
      </c>
      <c r="N527" t="inlineStr">
        <is>
          <t>.</t>
        </is>
      </c>
      <c r="O527" t="inlineStr">
        <is>
          <t>.</t>
        </is>
      </c>
    </row>
    <row r="528">
      <c r="A528" t="inlineStr">
        <is>
          <t>PBK</t>
        </is>
      </c>
      <c r="B528" t="inlineStr">
        <is>
          <t>4.09216216235921e-05</t>
        </is>
      </c>
      <c r="C528" t="inlineStr">
        <is>
          <t>PDZ binding kinase</t>
        </is>
      </c>
      <c r="D528" t="inlineStr">
        <is>
          <t xml:space="preserve">FUNCTION: Phosphorylates MAP kinase p38. Seems to be active only in mitosis. May also play a role in the activation of lymphoid cells. When phosphorylated, forms a complex with TP53, leading to TP53 destabilization and attenuation of G2/M checkpoint during doxorubicin-induced DNA damage. {ECO:0000269|PubMed:10781613, ECO:0000269|PubMed:17482142}.; </t>
        </is>
      </c>
      <c r="E528" t="inlineStr">
        <is>
          <t>.</t>
        </is>
      </c>
      <c r="F528" t="inlineStr">
        <is>
          <t xml:space="preserve">TISSUE SPECIFICITY: Expressed in the testis and placenta. In the testis, restrictedly expressed in outer cell layer of seminiferous tubules. {ECO:0000269|PubMed:10781613, ECO:0000269|PubMed:11378444}.; </t>
        </is>
      </c>
      <c r="G528" t="inlineStr">
        <is>
          <t>medulla oblongata;ovary;salivary gland;intestine;colon;skin;uterus;prostate;whole body;endometrium;bone;testis;germinal center;brain;unclassifiable (Anatomical System);lymph node;heart;cartilage;pharynx;blood;bile duct;lung;cornea;mesenchyma;placenta;visual apparatus;liver;kidney;mammary gland;stomach;</t>
        </is>
      </c>
      <c r="H528" t="inlineStr">
        <is>
          <t>testis - interstitial;superior cervical ganglion;testis - seminiferous tubule;testis;tumor;trigeminal ganglion;</t>
        </is>
      </c>
      <c r="I528" t="inlineStr">
        <is>
          <t>.</t>
        </is>
      </c>
      <c r="J528" t="inlineStr">
        <is>
          <t>.</t>
        </is>
      </c>
      <c r="K528" t="inlineStr">
        <is>
          <t>.</t>
        </is>
      </c>
      <c r="L528" t="inlineStr">
        <is>
          <t>.</t>
        </is>
      </c>
      <c r="M528" t="inlineStr">
        <is>
          <t>.</t>
        </is>
      </c>
      <c r="N528" t="inlineStr">
        <is>
          <t>.</t>
        </is>
      </c>
      <c r="O528" t="inlineStr">
        <is>
          <t>.</t>
        </is>
      </c>
    </row>
    <row r="529">
      <c r="A529" t="inlineStr">
        <is>
          <t>PBX3</t>
        </is>
      </c>
      <c r="B529" t="inlineStr">
        <is>
          <t>0.592665483652486</t>
        </is>
      </c>
      <c r="C529" t="inlineStr">
        <is>
          <t>pre-B-cell leukemia homeobox 3</t>
        </is>
      </c>
      <c r="D529" t="inlineStr">
        <is>
          <t xml:space="preserve">FUNCTION: Transcriptional activator that binds the sequence 5'- ATCAATCAA-3'.; </t>
        </is>
      </c>
      <c r="E529" t="inlineStr">
        <is>
          <t>.</t>
        </is>
      </c>
      <c r="F529" t="inlineStr">
        <is>
          <t xml:space="preserve">TISSUE SPECIFICITY: Ubiquitously expressed.; </t>
        </is>
      </c>
      <c r="G529" t="inlineStr">
        <is>
          <t>unclassifiable (Anatomical System);ovary;hypothalamus;colon;blood;lens;breast;lung;larynx;visual apparatus;pituitary gland;liver;testis;head and neck;spleen;germinal center;kidney;brain;mammary gland;stomach;</t>
        </is>
      </c>
      <c r="H529" t="inlineStr">
        <is>
          <t>superior cervical ganglion;ovary;adrenal gland;adrenal cortex;trigeminal ganglion;</t>
        </is>
      </c>
      <c r="I529" t="inlineStr">
        <is>
          <t>.</t>
        </is>
      </c>
      <c r="J529" t="inlineStr">
        <is>
          <t>.</t>
        </is>
      </c>
      <c r="K529" t="inlineStr">
        <is>
          <t>.</t>
        </is>
      </c>
      <c r="L529" t="inlineStr">
        <is>
          <t>.</t>
        </is>
      </c>
      <c r="M529" t="inlineStr">
        <is>
          <t>.</t>
        </is>
      </c>
      <c r="N529" t="inlineStr">
        <is>
          <t>.</t>
        </is>
      </c>
      <c r="O529" t="inlineStr">
        <is>
          <t>.</t>
        </is>
      </c>
    </row>
    <row r="530">
      <c r="A530" t="inlineStr">
        <is>
          <t>PC</t>
        </is>
      </c>
      <c r="B530" t="inlineStr">
        <is>
          <t>0.716435670079512</t>
        </is>
      </c>
      <c r="C530" t="inlineStr">
        <is>
          <t>pyruvate carboxylase</t>
        </is>
      </c>
      <c r="D530" t="inlineStr">
        <is>
          <t xml:space="preserve">FUNCTION: Pyruvate carboxylase catalyzes a 2-step reaction, involving the ATP-dependent carboxylation of the covalently attached biotin in the first step and the transfer of the carboxyl group to pyruvate in the second. Catalyzes in a tissue specific manner, the initial reactions of glucose (liver, kidney) and lipid (adipose tissue, liver, brain) synthesis from pyruvate.; </t>
        </is>
      </c>
      <c r="E530" t="inlineStr">
        <is>
          <t xml:space="preserve">DISEASE: Pyruvate carboxylase deficiency (PC deficiency) [MIM:266150]: Leads to lactic acidosis, mental retardation and death. It occurs in three forms: mild or type A, severe neonatal or type B, and a very mild lacticacidemia. Note=The disease is caused by mutations affecting the gene represented in this entry.; </t>
        </is>
      </c>
      <c r="F530" t="inlineStr">
        <is>
          <t>.</t>
        </is>
      </c>
      <c r="G530" t="inlineStr">
        <is>
          <t>sympathetic chain;colon;choroid;fovea centralis;skin;bone marrow;retina;uterus;prostate;optic nerve;whole body;frontal lobe;bone;testis;spinal ganglion;brain;unclassifiable (Anatomical System);cartilage;hypothalamus;lens;lung;visual apparatus;macula lutea;liver;cervix;spleen;kidney;mammary gland;</t>
        </is>
      </c>
      <c r="H530" t="inlineStr">
        <is>
          <t>whole brain;spinal cord;liver;caudate nucleus;pons;cingulate cortex;</t>
        </is>
      </c>
      <c r="I530">
        <f>HYPERLINK("https://omim.org/entry/266150", "266150")</f>
        <v/>
      </c>
      <c r="J530" t="inlineStr">
        <is>
          <t>.</t>
        </is>
      </c>
      <c r="K530" t="inlineStr">
        <is>
          <t>.</t>
        </is>
      </c>
      <c r="L530" t="inlineStr">
        <is>
          <t>.</t>
        </is>
      </c>
      <c r="M530" t="inlineStr">
        <is>
          <t>.</t>
        </is>
      </c>
      <c r="N530" t="inlineStr">
        <is>
          <t>.</t>
        </is>
      </c>
      <c r="O530" t="inlineStr">
        <is>
          <t>.</t>
        </is>
      </c>
    </row>
    <row r="531">
      <c r="A531" t="inlineStr">
        <is>
          <t>PCDHA6</t>
        </is>
      </c>
      <c r="B531" t="inlineStr">
        <is>
          <t>6.16174888872113e-08</t>
        </is>
      </c>
      <c r="C531" t="inlineStr">
        <is>
          <t>protocadherin alpha 6</t>
        </is>
      </c>
      <c r="D531" t="inlineStr">
        <is>
          <t xml:space="preserve">FUNCTION: Potential calcium-dependent cell-adhesion protein. May be involved in the establishment and maintenance of specific neuronal connections in the brain.; </t>
        </is>
      </c>
      <c r="E531" t="inlineStr">
        <is>
          <t>.</t>
        </is>
      </c>
      <c r="F531" t="inlineStr">
        <is>
          <t>.</t>
        </is>
      </c>
      <c r="G531" t="inlineStr">
        <is>
          <t>.</t>
        </is>
      </c>
      <c r="H531" t="inlineStr">
        <is>
          <t>.</t>
        </is>
      </c>
      <c r="I531" t="inlineStr">
        <is>
          <t>.</t>
        </is>
      </c>
      <c r="J531" t="inlineStr">
        <is>
          <t>.</t>
        </is>
      </c>
      <c r="K531" t="inlineStr">
        <is>
          <t>.</t>
        </is>
      </c>
      <c r="L531" t="inlineStr">
        <is>
          <t>.</t>
        </is>
      </c>
      <c r="M531" t="inlineStr">
        <is>
          <t>.</t>
        </is>
      </c>
      <c r="N531" t="inlineStr">
        <is>
          <t>.</t>
        </is>
      </c>
      <c r="O531" t="inlineStr">
        <is>
          <t>.</t>
        </is>
      </c>
    </row>
    <row r="532">
      <c r="A532" t="inlineStr">
        <is>
          <t>PCDHAC2</t>
        </is>
      </c>
      <c r="B532" t="inlineStr">
        <is>
          <t>0.916966111870881</t>
        </is>
      </c>
      <c r="C532" t="inlineStr">
        <is>
          <t>protocadherin alpha subfamily C, 2</t>
        </is>
      </c>
      <c r="D532" t="inlineStr">
        <is>
          <t xml:space="preserve">FUNCTION: Potential calcium-dependent cell-adhesion protein. May be involved in the establishment and maintenance of specific neuronal connections in the brain.; </t>
        </is>
      </c>
      <c r="E532" t="inlineStr">
        <is>
          <t>.</t>
        </is>
      </c>
      <c r="F532" t="inlineStr">
        <is>
          <t>.</t>
        </is>
      </c>
      <c r="G532" t="inlineStr">
        <is>
          <t>medulla oblongata;ovary;sympathetic chain;colon;parathyroid;fovea centralis;choroid;retina;uterus;optic nerve;whole body;frontal lobe;endometrium;thyroid;bone;pituitary gland;testis;bladder;pineal gland;brain;unclassifiable (Anatomical System);amygdala;cartilage;islets of Langerhans;lens;lung;adrenal gland;placenta;macula lutea;visual apparatus;liver;duodenum;kidney;peripheral nerve;</t>
        </is>
      </c>
      <c r="H532" t="inlineStr">
        <is>
          <t>.</t>
        </is>
      </c>
      <c r="I532" t="inlineStr">
        <is>
          <t>.</t>
        </is>
      </c>
      <c r="J532" t="inlineStr">
        <is>
          <t>.</t>
        </is>
      </c>
      <c r="K532" t="inlineStr">
        <is>
          <t>.</t>
        </is>
      </c>
      <c r="L532" t="inlineStr">
        <is>
          <t>.</t>
        </is>
      </c>
      <c r="M532" t="inlineStr">
        <is>
          <t>.</t>
        </is>
      </c>
      <c r="N532" t="inlineStr">
        <is>
          <t>.</t>
        </is>
      </c>
      <c r="O532" t="inlineStr">
        <is>
          <t>.</t>
        </is>
      </c>
    </row>
    <row r="533">
      <c r="A533" t="inlineStr">
        <is>
          <t>PCDHB1</t>
        </is>
      </c>
      <c r="B533" t="inlineStr">
        <is>
          <t>2.81493692972867e-08</t>
        </is>
      </c>
      <c r="C533" t="inlineStr">
        <is>
          <t>protocadherin beta 1</t>
        </is>
      </c>
      <c r="D533" t="inlineStr">
        <is>
          <t xml:space="preserve">FUNCTION: Potential calcium-dependent cell-adhesion protein. May be involved in the establishment and maintenance of specific neuronal connections in the brain.; </t>
        </is>
      </c>
      <c r="E533" t="inlineStr">
        <is>
          <t>.</t>
        </is>
      </c>
      <c r="F533" t="inlineStr">
        <is>
          <t>.</t>
        </is>
      </c>
      <c r="G533" t="inlineStr">
        <is>
          <t>unclassifiable (Anatomical System);testis;</t>
        </is>
      </c>
      <c r="H533" t="inlineStr">
        <is>
          <t>dorsal root ganglion;superior cervical ganglion;ciliary ganglion;atrioventricular node;trigeminal ganglion;</t>
        </is>
      </c>
      <c r="I533" t="inlineStr">
        <is>
          <t>.</t>
        </is>
      </c>
      <c r="J533" t="inlineStr">
        <is>
          <t>.</t>
        </is>
      </c>
      <c r="K533" t="inlineStr">
        <is>
          <t>.</t>
        </is>
      </c>
      <c r="L533" t="inlineStr">
        <is>
          <t>.</t>
        </is>
      </c>
      <c r="M533" t="inlineStr">
        <is>
          <t>.</t>
        </is>
      </c>
      <c r="N533" t="inlineStr">
        <is>
          <t>.</t>
        </is>
      </c>
      <c r="O533" t="inlineStr">
        <is>
          <t>.</t>
        </is>
      </c>
    </row>
    <row r="534">
      <c r="A534" t="inlineStr">
        <is>
          <t>PCDHB13</t>
        </is>
      </c>
      <c r="B534" t="inlineStr">
        <is>
          <t>1.69139790303478e-09</t>
        </is>
      </c>
      <c r="C534" t="inlineStr">
        <is>
          <t>protocadherin beta 13</t>
        </is>
      </c>
      <c r="D534" t="inlineStr">
        <is>
          <t xml:space="preserve">FUNCTION: Potential calcium-dependent cell-adhesion protein. May be involved in the establishment and maintenance of specific neuronal connections in the brain.; </t>
        </is>
      </c>
      <c r="E534" t="inlineStr">
        <is>
          <t>.</t>
        </is>
      </c>
      <c r="F534" t="inlineStr">
        <is>
          <t>.</t>
        </is>
      </c>
      <c r="G534" t="inlineStr">
        <is>
          <t>unclassifiable (Anatomical System);uterus;prostate;ovary;larynx;thyroid;placenta;duodenum;parathyroid;head and neck;brain;skin;</t>
        </is>
      </c>
      <c r="H534" t="inlineStr">
        <is>
          <t>superior cervical ganglion;atrioventricular node;trigeminal ganglion;skeletal muscle;</t>
        </is>
      </c>
      <c r="I534" t="inlineStr">
        <is>
          <t>.</t>
        </is>
      </c>
      <c r="J534" t="inlineStr">
        <is>
          <t>.</t>
        </is>
      </c>
      <c r="K534" t="inlineStr">
        <is>
          <t>.</t>
        </is>
      </c>
      <c r="L534" t="inlineStr">
        <is>
          <t>.</t>
        </is>
      </c>
      <c r="M534" t="inlineStr">
        <is>
          <t>.</t>
        </is>
      </c>
      <c r="N534" t="inlineStr">
        <is>
          <t>.</t>
        </is>
      </c>
      <c r="O534" t="inlineStr">
        <is>
          <t>.</t>
        </is>
      </c>
    </row>
    <row r="535">
      <c r="A535" t="inlineStr">
        <is>
          <t>PCLO</t>
        </is>
      </c>
      <c r="B535" t="inlineStr">
        <is>
          <t>0.999999999988929</t>
        </is>
      </c>
      <c r="C535" t="inlineStr">
        <is>
          <t>piccolo presynaptic cytomatrix protein</t>
        </is>
      </c>
      <c r="D535" t="inlineStr">
        <is>
          <t xml:space="preserve">FUNCTION: May act as a scaffolding protein involved in the organization of synaptic active zones and in synaptic vesicle trafficking. {ECO:0000250|UniProtKB:Q9QYX7}.; </t>
        </is>
      </c>
      <c r="E535" t="inlineStr">
        <is>
          <t xml:space="preserve">DISEASE: Pontocerebellar hypoplasia 3 (PCH3) [MIM:608027]: A form of pontocerebellar hypoplasia, a disorder characterized by structural defects of the pons and cerebellum. Brain MRI shows an abnormally small cerebellum and brainstem, decreased cerebral white matter, and a thin corpus callosum. PCH3 features include seizures, short stature, optic atrophy, progressive microcephaly, severe developmental delay. {ECO:0000269|PubMed:25832664}. Note=The disease is caused by mutations affecting the gene represented in this entry.; </t>
        </is>
      </c>
      <c r="F535" t="inlineStr">
        <is>
          <t xml:space="preserve">TISSUE SPECIFICITY: Moderately expressed in the developing cerebral cortex. {ECO:0000269|PubMed:25832664}.; </t>
        </is>
      </c>
      <c r="G535" t="inlineStr">
        <is>
          <t>breast;frontal lobe;thyroid;kidney;brain;stomach;retina;</t>
        </is>
      </c>
      <c r="H535" t="inlineStr">
        <is>
          <t>dorsal root ganglion;amygdala;superior cervical ganglion;occipital lobe;medulla oblongata;cerebellum peduncles;temporal lobe;atrioventricular node;pons;caudate nucleus;skeletal muscle;subthalamic nucleus;testis - seminiferous tubule;prefrontal cortex;globus pallidus;ciliary ganglion;trigeminal ganglion;cingulate cortex;parietal lobe;</t>
        </is>
      </c>
      <c r="I535">
        <f>HYPERLINK("https://omim.org/entry/608027", "608027")</f>
        <v/>
      </c>
      <c r="J535" t="inlineStr">
        <is>
          <t>.</t>
        </is>
      </c>
      <c r="K535" t="inlineStr">
        <is>
          <t>.</t>
        </is>
      </c>
      <c r="L535" t="inlineStr">
        <is>
          <t>.</t>
        </is>
      </c>
      <c r="M535" t="inlineStr">
        <is>
          <t>.</t>
        </is>
      </c>
      <c r="N535" t="inlineStr">
        <is>
          <t>.</t>
        </is>
      </c>
      <c r="O535" t="inlineStr">
        <is>
          <t>.</t>
        </is>
      </c>
    </row>
    <row r="536">
      <c r="A536" t="inlineStr">
        <is>
          <t>PCNX4</t>
        </is>
      </c>
      <c r="B536" t="inlineStr">
        <is>
          <t>.</t>
        </is>
      </c>
      <c r="C536" t="inlineStr">
        <is>
          <t>pecanex homolog 4 (Drosophila)</t>
        </is>
      </c>
      <c r="D536" t="inlineStr">
        <is>
          <t>.</t>
        </is>
      </c>
      <c r="E536" t="inlineStr">
        <is>
          <t>.</t>
        </is>
      </c>
      <c r="F536" t="inlineStr">
        <is>
          <t>.</t>
        </is>
      </c>
      <c r="G536" t="inlineStr">
        <is>
          <t>.</t>
        </is>
      </c>
      <c r="H536" t="inlineStr">
        <is>
          <t>.</t>
        </is>
      </c>
      <c r="I536" t="inlineStr">
        <is>
          <t>.</t>
        </is>
      </c>
      <c r="J536" t="inlineStr">
        <is>
          <t>.</t>
        </is>
      </c>
      <c r="K536" t="inlineStr">
        <is>
          <t>.</t>
        </is>
      </c>
      <c r="L536" t="inlineStr">
        <is>
          <t>.</t>
        </is>
      </c>
      <c r="M536" t="inlineStr">
        <is>
          <t>.</t>
        </is>
      </c>
      <c r="N536" t="inlineStr">
        <is>
          <t>.</t>
        </is>
      </c>
      <c r="O536" t="inlineStr">
        <is>
          <t>.</t>
        </is>
      </c>
    </row>
    <row r="537">
      <c r="A537" t="inlineStr">
        <is>
          <t>PCP2</t>
        </is>
      </c>
      <c r="B537" t="inlineStr">
        <is>
          <t>1.2765672414005e-05</t>
        </is>
      </c>
      <c r="C537" t="inlineStr">
        <is>
          <t>Purkinje cell protein 2</t>
        </is>
      </c>
      <c r="D537" t="inlineStr">
        <is>
          <t xml:space="preserve">FUNCTION: May function as a cell-type specific modulator for G protein-mediated cell signaling. {ECO:0000250}.; </t>
        </is>
      </c>
      <c r="E537" t="inlineStr">
        <is>
          <t>.</t>
        </is>
      </c>
      <c r="F537" t="inlineStr">
        <is>
          <t>.</t>
        </is>
      </c>
      <c r="G537" t="inlineStr">
        <is>
          <t>ovary;salivary gland;intestine;colon;parathyroid;fovea centralis;choroid;skin;retina;uterus;prostate;optic nerve;thyroid;testis;brain;unclassifiable (Anatomical System);heart;hypothalamus;pharynx;blood;lens;bile duct;lung;cornea;macula lutea;visual apparatus;liver;kidney;mammary gland;stomach;</t>
        </is>
      </c>
      <c r="H537" t="inlineStr">
        <is>
          <t>.</t>
        </is>
      </c>
      <c r="I537" t="inlineStr">
        <is>
          <t>.</t>
        </is>
      </c>
      <c r="J537" t="inlineStr">
        <is>
          <t>.</t>
        </is>
      </c>
      <c r="K537" t="inlineStr">
        <is>
          <t>.</t>
        </is>
      </c>
      <c r="L537" t="inlineStr">
        <is>
          <t>.</t>
        </is>
      </c>
      <c r="M537" t="inlineStr">
        <is>
          <t>.</t>
        </is>
      </c>
      <c r="N537" t="inlineStr">
        <is>
          <t>.</t>
        </is>
      </c>
      <c r="O537" t="inlineStr">
        <is>
          <t>.</t>
        </is>
      </c>
    </row>
    <row r="538">
      <c r="A538" t="inlineStr">
        <is>
          <t>PCSK4</t>
        </is>
      </c>
      <c r="B538" t="inlineStr">
        <is>
          <t>6.59246485167205e-13</t>
        </is>
      </c>
      <c r="C538" t="inlineStr">
        <is>
          <t>proprotein convertase subtilisin/kexin type 4</t>
        </is>
      </c>
      <c r="D538" t="inlineStr">
        <is>
          <t xml:space="preserve">FUNCTION: Involved in the processing of hormone and other protein precursors at sites comprised of pairs of basic amino acid residues. Plays a role in transcriptional coactivation. May be involved in stabilizing the multiprotein transcription complex. {ECO:0000269|PubMed:16040806}.; </t>
        </is>
      </c>
      <c r="E538" t="inlineStr">
        <is>
          <t>.</t>
        </is>
      </c>
      <c r="F538" t="inlineStr">
        <is>
          <t xml:space="preserve">TISSUE SPECIFICITY: Placenta. {ECO:0000269|PubMed:16040806}.; </t>
        </is>
      </c>
      <c r="G538" t="inlineStr">
        <is>
          <t>unclassifiable (Anatomical System);medulla oblongata;optic nerve;lung;endometrium;bone;macula lutea;testis;fovea centralis;choroid;lens;brain;retina;</t>
        </is>
      </c>
      <c r="H538" t="inlineStr">
        <is>
          <t>dorsal root ganglion;superior cervical ganglion;testis - interstitial;testis - seminiferous tubule;testis;trigeminal ganglion;skeletal muscle;</t>
        </is>
      </c>
      <c r="I538" t="inlineStr">
        <is>
          <t>.</t>
        </is>
      </c>
      <c r="J538" t="inlineStr">
        <is>
          <t>.</t>
        </is>
      </c>
      <c r="K538" t="inlineStr">
        <is>
          <t>.</t>
        </is>
      </c>
      <c r="L538" t="inlineStr">
        <is>
          <t>.</t>
        </is>
      </c>
      <c r="M538" t="inlineStr">
        <is>
          <t>.</t>
        </is>
      </c>
      <c r="N538" t="inlineStr">
        <is>
          <t>.</t>
        </is>
      </c>
      <c r="O538" t="inlineStr">
        <is>
          <t>.</t>
        </is>
      </c>
    </row>
    <row r="539">
      <c r="A539" t="inlineStr">
        <is>
          <t>PDCD2L</t>
        </is>
      </c>
      <c r="B539" t="inlineStr">
        <is>
          <t>4.99044178798444e-05</t>
        </is>
      </c>
      <c r="C539" t="inlineStr">
        <is>
          <t>programmed cell death 2-like</t>
        </is>
      </c>
      <c r="D539" t="inlineStr">
        <is>
          <t xml:space="preserve">FUNCTION: Over-expression suppresses AP1, CREB, NFAT, and NF-kB transcriptional activation, and delays cell cycle progression at S phase. {ECO:0000269|PubMed:17393540}.; </t>
        </is>
      </c>
      <c r="E539" t="inlineStr">
        <is>
          <t>.</t>
        </is>
      </c>
      <c r="F539" t="inlineStr">
        <is>
          <t>.</t>
        </is>
      </c>
      <c r="G539" t="inlineStr">
        <is>
          <t>ovary;colon;parathyroid;fovea centralis;choroid;skin;retina;uterus;prostate;optic nerve;endometrium;thyroid;bone;testis;germinal center;brain;tonsil;unclassifiable (Anatomical System);lymph node;heart;blood;lens;breast;pancreas;lung;nasopharynx;placenta;macula lutea;visual apparatus;hippocampus;cervix;kidney;stomach;</t>
        </is>
      </c>
      <c r="H539" t="inlineStr">
        <is>
          <t>superior cervical ganglion;atrioventricular node;trigeminal ganglion;skeletal muscle;</t>
        </is>
      </c>
      <c r="I539" t="inlineStr">
        <is>
          <t>.</t>
        </is>
      </c>
      <c r="J539" t="inlineStr">
        <is>
          <t>.</t>
        </is>
      </c>
      <c r="K539" t="inlineStr">
        <is>
          <t>.</t>
        </is>
      </c>
      <c r="L539" t="inlineStr">
        <is>
          <t>.</t>
        </is>
      </c>
      <c r="M539" t="inlineStr">
        <is>
          <t>.</t>
        </is>
      </c>
      <c r="N539" t="inlineStr">
        <is>
          <t>.</t>
        </is>
      </c>
      <c r="O539" t="inlineStr">
        <is>
          <t>.</t>
        </is>
      </c>
    </row>
    <row r="540">
      <c r="A540" t="inlineStr">
        <is>
          <t>PDE11A</t>
        </is>
      </c>
      <c r="B540" t="inlineStr">
        <is>
          <t>4.16725018760818e-31</t>
        </is>
      </c>
      <c r="C540" t="inlineStr">
        <is>
          <t>phosphodiesterase 11A</t>
        </is>
      </c>
      <c r="D540" t="inlineStr">
        <is>
          <t xml:space="preserve">FUNCTION: Plays a role in signal transduction by regulating the intracellular concentration of cyclic nucleotides cAMP and cGMP. Catalyzes the hydrolysis of both cAMP and cGMP to 5'-AMP and 5'- GMP, respectively. {ECO:0000269|PubMed:10725373, ECO:0000269|PubMed:10906126, ECO:0000269|PubMed:11050148}.; </t>
        </is>
      </c>
      <c r="E540" t="inlineStr">
        <is>
          <t xml:space="preserve">DISEASE: Primary pigmented nodular adrenocortical disease 2 (PPNAD2) [MIM:610475]: A rare bilateral adrenal defect causing ACTH-independent Cushing syndrome. Macroscopic appearance of the adrenals is characteristic with small pigmented micronodules observed in the cortex. Adrenal glands show overall normal size and weight, and multiple small yellow-to-dark brown nodules surrounded by a cortex with a uniform appearance. Microscopically, there are moderate diffuse cortical hyperplasia with mostly nonpigmented nodules, multiple capsular deficits and massive circumscribed and infiltrating extra-adrenal cortical excrescences with micronodules. Clinical manifestations of Cushing syndrome include facial and truncal obesity, abdominal striae, muscular weakness, osteoporosis, arterial hypertension, diabetes. {ECO:0000269|PubMed:16767104}. Note=The disease is caused by mutations affecting the gene represented in this entry.; </t>
        </is>
      </c>
      <c r="F540" t="inlineStr">
        <is>
          <t xml:space="preserve">TISSUE SPECIFICITY: Isoform 1 is present in prostate, pituitary, heart and liver. It is however not present in testis nor in penis, suggesting that weak inhibition by Tadalafil (Cialis) is not relevant (at protein level). Isoform 2 may be expressed in testis. Isoform 4 is expressed in adrenal cortex. {ECO:0000269|PubMed:10725373, ECO:0000269|PubMed:11121118, ECO:0000269|PubMed:15800651, ECO:0000269|PubMed:16079899, ECO:0000269|PubMed:16767104}.; </t>
        </is>
      </c>
      <c r="G540" t="inlineStr">
        <is>
          <t>unclassifiable (Anatomical System);</t>
        </is>
      </c>
      <c r="H540" t="inlineStr">
        <is>
          <t>superior cervical ganglion;skeletal muscle;</t>
        </is>
      </c>
      <c r="I540">
        <f>HYPERLINK("https://omim.org/entry/610475", "610475")</f>
        <v/>
      </c>
      <c r="J540" t="inlineStr">
        <is>
          <t>.</t>
        </is>
      </c>
      <c r="K540" t="inlineStr">
        <is>
          <t>.</t>
        </is>
      </c>
      <c r="L540" t="inlineStr">
        <is>
          <t>.</t>
        </is>
      </c>
      <c r="M540" t="inlineStr">
        <is>
          <t>.</t>
        </is>
      </c>
      <c r="N540" t="inlineStr">
        <is>
          <t>.</t>
        </is>
      </c>
      <c r="O540" t="inlineStr">
        <is>
          <t>.</t>
        </is>
      </c>
    </row>
    <row r="541">
      <c r="A541" t="inlineStr">
        <is>
          <t>PDE1A</t>
        </is>
      </c>
      <c r="B541" t="inlineStr">
        <is>
          <t>0.730656355381448</t>
        </is>
      </c>
      <c r="C541" t="inlineStr">
        <is>
          <t>phosphodiesterase 1A</t>
        </is>
      </c>
      <c r="D541" t="inlineStr">
        <is>
          <t xml:space="preserve">FUNCTION: Cyclic nucleotide phosphodiesterase with a dual- specificity for the second messengers cAMP and cGMP, which are key regulators of many important physiological processes. Has a higher affinity for cGMP than for cAMP.; </t>
        </is>
      </c>
      <c r="E541" t="inlineStr">
        <is>
          <t>.</t>
        </is>
      </c>
      <c r="F541" t="inlineStr">
        <is>
          <t xml:space="preserve">TISSUE SPECIFICITY: Several tissues, including brain, kidney, testes and heart.; </t>
        </is>
      </c>
      <c r="G541" t="inlineStr">
        <is>
          <t>unclassifiable (Anatomical System);medulla oblongata;ovary;retina;prostate;lung;frontal lobe;cochlea;thyroid;liver;alveolus;testis;cervix;kidney;spinal ganglion;brain;stomach;</t>
        </is>
      </c>
      <c r="H541" t="inlineStr">
        <is>
          <t>testis - interstitial;superior cervical ganglion;testis;trigeminal ganglion;</t>
        </is>
      </c>
      <c r="I541" t="inlineStr">
        <is>
          <t>.</t>
        </is>
      </c>
      <c r="J541" t="inlineStr">
        <is>
          <t>.</t>
        </is>
      </c>
      <c r="K541" t="inlineStr">
        <is>
          <t>.</t>
        </is>
      </c>
      <c r="L541" t="inlineStr">
        <is>
          <t>.</t>
        </is>
      </c>
      <c r="M541" t="inlineStr">
        <is>
          <t>.</t>
        </is>
      </c>
      <c r="N541" t="inlineStr">
        <is>
          <t>.</t>
        </is>
      </c>
      <c r="O541" t="inlineStr">
        <is>
          <t>.</t>
        </is>
      </c>
    </row>
    <row r="542">
      <c r="A542" t="inlineStr">
        <is>
          <t>PDGFRA</t>
        </is>
      </c>
      <c r="B542" t="inlineStr">
        <is>
          <t>0.999876729754594</t>
        </is>
      </c>
      <c r="C542" t="inlineStr">
        <is>
          <t>platelet derived growth factor receptor alpha</t>
        </is>
      </c>
      <c r="D542" t="inlineStr">
        <is>
          <t xml:space="preserve">FUNCTION: Tyrosine-protein kinase that acts as a cell-surface receptor for PDGFA, PDGFB and PDGFC and plays an essential role in the regulation of embryonic development, cell proliferation, survival and chemotaxis. Depending on the context, promotes or inhibits cell proliferation and cell migration. Plays an important role in the differentiation of bone marrow-derived mesenchymal stem cells. Required for normal skeleton development and cephalic closure during embryonic development. Required for normal development of the mucosa lining the gastrointestinal tract, and for recruitment of mesenchymal cells and normal development of intestinal villi. Plays a role in cell migration and chemotaxis in wound healing. Plays a role in platelet activation, secretion of agonists from platelet granules, and in thrombin-induced platelet aggregation. Binding of its cognate ligands - homodimeric PDGFA, homodimeric PDGFB, heterodimers formed by PDGFA and PDGFB or homodimeric PDGFC -leads to the activation of several signaling cascades; the response depends on the nature of the bound ligand and is modulated by the formation of heterodimers between PDGFRA and PDGFRB. Phosphorylates PIK3R1, PLCG1, and PTPN11. Activation of PLCG1 leads to the production of the cellular signaling molecules diacylglycerol and inositol 1,4,5-trisphosphate, mobilization of cytosolic Ca(2+) and the activation of protein kinase C. Phosphorylates PIK3R1, the regulatory subunit of phosphatidylinositol 3-kinase, and thereby mediates activation of the AKT1 signaling pathway. Mediates activation of HRAS and of the MAP kinases MAPK1/ERK2 and/or MAPK3/ERK1. Promotes activation of STAT family members STAT1, STAT3 and STAT5A and/or STAT5B. Receptor signaling is down-regulated by protein phosphatases that dephosphorylate the receptor and its down-stream effectors, and by rapid internalization of the activated receptor. {ECO:0000269|PubMed:10734113, ECO:0000269|PubMed:10947961, ECO:0000269|PubMed:11297552, ECO:0000269|PubMed:12522257, ECO:0000269|PubMed:1646396, ECO:0000269|PubMed:1709159, ECO:0000269|PubMed:17141222, ECO:0000269|PubMed:20972453, ECO:0000269|PubMed:21224473, ECO:0000269|PubMed:21596750, ECO:0000269|PubMed:2554309, ECO:0000269|PubMed:8188664, ECO:0000269|PubMed:8760137, ECO:0000269|PubMed:8943348}.; </t>
        </is>
      </c>
      <c r="E542" t="inlineStr">
        <is>
          <t xml:space="preserve">DISEASE: Note=A chromosomal aberration involving PDGFRA is found in some cases of hypereosinophilic syndrome. Interstitial chromosomal deletion del(4)(q12q12) causes the fusion of FIP1L1 and PDGFRA (FIP1L1-PDGFRA). Mutations that cause overexpression and/or constitutive activation of PDGFRA may be a cause of hypereosinophilic syndrome. {ECO:0000269|PubMed:12808148}.; DISEASE: Gastrointestinal stromal tumor (GIST) [MIM:606764]: Common mesenchymal neoplasms arising in the gastrointestinal tract, most often in the stomach. They are histologically, immunohistochemically, and genetically different from typical leiomyomas, leiomyosarcomas, and schwannomas. Most GISTs are composed of a fairly uniform population of spindle-shaped cells. Some tumors are dominated by epithelioid cells or contain a mixture of spindle and epithelioid morphologies. Primary GISTs in the gastrointestinal tract commonly metastasize in the omentum and mesenteries, often as multiple nodules. However, primary tumors may also occur outside of the gastrointestinal tract, in other intra-abdominal locations, especially in the omentum and mesentery. {ECO:0000269|PubMed:12522257, ECO:0000269|PubMed:15928335}. Note=The gene represented in this entry may be involved in disease pathogenesis. Mutations causing PDGFRA constitutive activation have been found in gastrointestinal stromal tumors lacking KIT mutations (PubMed:12522257). {ECO:0000269|PubMed:12522257}.; </t>
        </is>
      </c>
      <c r="F542" t="inlineStr">
        <is>
          <t xml:space="preserve">TISSUE SPECIFICITY: Detected in platelets (at protein level). Widely expressed. Detected in brain, fibroblasts, smooth muscle, heart, and embryo. Expressed in primary and metastatic colon tumors and in normal colon tissue. {ECO:0000269|PubMed:2536956, ECO:0000269|PubMed:7896447, ECO:0000269|PubMed:8188664}.; </t>
        </is>
      </c>
      <c r="G542" t="inlineStr">
        <is>
          <t>ovary;colon;fovea centralis;choroid;skin;retina;bone marrow;uterus;prostate;optic nerve;whole body;frontal lobe;cochlea;cerebral cortex;endometrium;synovium;bone;iris;testis;brain;gall bladder;unclassifiable (Anatomical System);heart;cartilage;islets of Langerhans;spinal cord;blood;lens;skeletal muscle;pancreas;lung;mesenchyma;internal ear;trabecular meshwork;placenta;macula lutea;visual apparatus;liver;spleen;head and neck;kidney;mammary gland;aorta;peripheral nerve;</t>
        </is>
      </c>
      <c r="H542" t="inlineStr">
        <is>
          <t>uterus;adipose tissue;</t>
        </is>
      </c>
      <c r="I542">
        <f>HYPERLINK("https://omim.org/entry/606764", "606764")</f>
        <v/>
      </c>
      <c r="J542" t="inlineStr">
        <is>
          <t>.</t>
        </is>
      </c>
      <c r="K542" t="inlineStr">
        <is>
          <t>.</t>
        </is>
      </c>
      <c r="L542" t="inlineStr">
        <is>
          <t>.</t>
        </is>
      </c>
      <c r="M542" t="inlineStr">
        <is>
          <t>.</t>
        </is>
      </c>
      <c r="N542" t="inlineStr">
        <is>
          <t>.</t>
        </is>
      </c>
      <c r="O542" t="inlineStr">
        <is>
          <t>.</t>
        </is>
      </c>
    </row>
    <row r="543">
      <c r="A543" t="inlineStr">
        <is>
          <t>PDS5A</t>
        </is>
      </c>
      <c r="B543" t="inlineStr">
        <is>
          <t>0.999852920422859</t>
        </is>
      </c>
      <c r="C543" t="inlineStr">
        <is>
          <t>PDS5 cohesin associated factor A</t>
        </is>
      </c>
      <c r="D543" t="inlineStr">
        <is>
          <t xml:space="preserve">FUNCTION: Probable regulator of sister chromatid cohesion in mitosis which may stabilize cohesin complex association with chromatin. May couple sister chromatid cohesion during mitosis to DNA replication. Cohesion ensures that chromosome partitioning is accurate in both meiotic and mitotic cells and plays an important role in DNA repair. {ECO:0000269|PubMed:15855230, ECO:0000269|PubMed:19907496}.; </t>
        </is>
      </c>
      <c r="E543" t="inlineStr">
        <is>
          <t>.</t>
        </is>
      </c>
      <c r="F543" t="inlineStr">
        <is>
          <t xml:space="preserve">TISSUE SPECIFICITY: Highest level in colon. Low levels in lung, ovary, breast and kidney. Reduced level in renal tumor tissue. Isoform 2 is expressed in kidney. {ECO:0000269|PubMed:15019998}.; </t>
        </is>
      </c>
      <c r="G543" t="inlineStr">
        <is>
          <t>smooth muscle;ovary;salivary gland;intestine;colon;parathyroid;skin;retina;bone marrow;uterus;prostate;whole body;cochlea;endometrium;larynx;bone;thyroid;testis;germinal center;brain;bladder;tonsil;unclassifiable (Anatomical System);lymph node;cartilage;heart;lacrimal gland;cerebellum cortex;islets of Langerhans;pharynx;blood;skeletal muscle;breast;bile duct;lung;epididymis;placenta;visual apparatus;hypopharynx;duodenum;liver;cervix;spleen;head and neck;kidney;mammary gland;aorta;stomach;</t>
        </is>
      </c>
      <c r="H543" t="inlineStr">
        <is>
          <t>superior cervical ganglion;trigeminal ganglion;skeletal muscle;</t>
        </is>
      </c>
      <c r="I543" t="inlineStr">
        <is>
          <t>.</t>
        </is>
      </c>
      <c r="J543" t="inlineStr">
        <is>
          <t>.</t>
        </is>
      </c>
      <c r="K543" t="inlineStr">
        <is>
          <t>.</t>
        </is>
      </c>
      <c r="L543" t="inlineStr">
        <is>
          <t>.</t>
        </is>
      </c>
      <c r="M543" t="inlineStr">
        <is>
          <t>.</t>
        </is>
      </c>
      <c r="N543" t="inlineStr">
        <is>
          <t>.</t>
        </is>
      </c>
      <c r="O543" t="inlineStr">
        <is>
          <t>.</t>
        </is>
      </c>
    </row>
    <row r="544">
      <c r="A544" t="inlineStr">
        <is>
          <t>PDYN</t>
        </is>
      </c>
      <c r="B544" t="inlineStr">
        <is>
          <t>0.000256778020981015</t>
        </is>
      </c>
      <c r="C544" t="inlineStr">
        <is>
          <t>prodynorphin</t>
        </is>
      </c>
      <c r="D544" t="inlineStr">
        <is>
          <t xml:space="preserve">FUNCTION: Leu-enkephalins compete with and mimic the effects of opiate drugs. They play a role in a number of physiologic functions, including pain perception and responses to stress (By similarity). {ECO:0000250}.; FUNCTION: Leumorphin has a typical opiod activity and may have anti-apoptotic effect. {ECO:0000250}.; </t>
        </is>
      </c>
      <c r="E544" t="inlineStr">
        <is>
          <t xml:space="preserve">DISEASE: Spinocerebellar ataxia 23 (SCA23) [MIM:610245]: Spinocerebellar ataxia is a clinically and genetically heterogeneous group of cerebellar disorders. Patients show progressive incoordination of gait and often poor coordination of hands, speech and eye movements, due to degeneration of the cerebellum with variable involvement of the brainstem and spinal cord. SCA23 is an adult-onset autosomal dominant form characterized by slowly progressive gait and limb ataxia, with variable additional features, including peripheral neuropathy and dysarthria. {ECO:0000269|PubMed:21035104, ECO:0000269|PubMed:21712028, ECO:0000269|PubMed:23108490, ECO:0000269|PubMed:23471613}. Note=The disease is caused by mutations affecting the gene represented in this entry.; </t>
        </is>
      </c>
      <c r="F544" t="inlineStr">
        <is>
          <t>.</t>
        </is>
      </c>
      <c r="G544" t="inlineStr">
        <is>
          <t>unclassifiable (Anatomical System);lung;whole body;hippocampus;testis;brain;</t>
        </is>
      </c>
      <c r="H544" t="inlineStr">
        <is>
          <t>amygdala;medulla oblongata;caudate nucleus;pons;trigeminal ganglion;</t>
        </is>
      </c>
      <c r="I544">
        <f>HYPERLINK("https://omim.org/entry/610245", "610245")</f>
        <v/>
      </c>
      <c r="J544" t="inlineStr">
        <is>
          <t>.</t>
        </is>
      </c>
      <c r="K544" t="inlineStr">
        <is>
          <t>.</t>
        </is>
      </c>
      <c r="L544" t="inlineStr">
        <is>
          <t>.</t>
        </is>
      </c>
      <c r="M544" t="inlineStr">
        <is>
          <t>.</t>
        </is>
      </c>
      <c r="N544" t="inlineStr">
        <is>
          <t>.</t>
        </is>
      </c>
      <c r="O544" t="inlineStr">
        <is>
          <t>.</t>
        </is>
      </c>
    </row>
    <row r="545">
      <c r="A545" t="inlineStr">
        <is>
          <t>PES1</t>
        </is>
      </c>
      <c r="B545" t="inlineStr">
        <is>
          <t>0.655113488767418</t>
        </is>
      </c>
      <c r="C545" t="inlineStr">
        <is>
          <t>pescadillo ribosomal biogenesis factor 1</t>
        </is>
      </c>
      <c r="D545" t="inlineStr">
        <is>
          <t xml:space="preserve">FUNCTION: Component of the PeBoW complex, which is required for maturation of 28S and 5.8S ribosomal RNAs and formation of the 60S ribosome. {ECO:0000255|HAMAP-Rule:MF_03028, ECO:0000269|PubMed:16738141, ECO:0000269|PubMed:17189298, ECO:0000269|PubMed:17353269}.; </t>
        </is>
      </c>
      <c r="E545" t="inlineStr">
        <is>
          <t>.</t>
        </is>
      </c>
      <c r="F545" t="inlineStr">
        <is>
          <t xml:space="preserve">TISSUE SPECIFICITY: Significant levels are detected in a variety of cancer cell lines, including glioblastoma, breast carcinoma, colon carcinoma and cervical carcinoma cells. Levels are abnormally elevated in malignant tumors of astrocytic origin.; </t>
        </is>
      </c>
      <c r="G545" t="inlineStr">
        <is>
          <t>lymphoreticular;ovary;salivary gland;sympathetic chain;intestine;colon;skin;bone marrow;retina;uterus;prostate;whole body;frontal lobe;cerebral cortex;endometrium;synovium;bone;thyroid;testis;brain;bladder;unclassifiable (Anatomical System);lymph node;cartilage;pharynx;blood;skeletal muscle;bile duct;breast;pancreas;lung;mesenchyma;adrenal gland;placenta;visual apparatus;liver;amnion;spleen;head and neck;cervix;kidney;mammary gland;stomach;</t>
        </is>
      </c>
      <c r="H545" t="inlineStr">
        <is>
          <t>whole brain;lung;tumor;testis;ciliary ganglion;white blood cells;</t>
        </is>
      </c>
      <c r="I545" t="inlineStr">
        <is>
          <t>.</t>
        </is>
      </c>
      <c r="J545" t="inlineStr">
        <is>
          <t>.</t>
        </is>
      </c>
      <c r="K545" t="inlineStr">
        <is>
          <t>.</t>
        </is>
      </c>
      <c r="L545" t="inlineStr">
        <is>
          <t>.</t>
        </is>
      </c>
      <c r="M545" t="inlineStr">
        <is>
          <t>.</t>
        </is>
      </c>
      <c r="N545" t="inlineStr">
        <is>
          <t>.</t>
        </is>
      </c>
      <c r="O545" t="inlineStr">
        <is>
          <t>.</t>
        </is>
      </c>
    </row>
    <row r="546">
      <c r="A546" t="inlineStr">
        <is>
          <t>PEX11G</t>
        </is>
      </c>
      <c r="B546" t="inlineStr">
        <is>
          <t>0.000252773182205477</t>
        </is>
      </c>
      <c r="C546" t="inlineStr">
        <is>
          <t>peroxisomal biogenesis factor 11 gamma</t>
        </is>
      </c>
      <c r="D546" t="inlineStr">
        <is>
          <t xml:space="preserve">FUNCTION: Promotes membrane protrusion and elongation on the peroxisomal surface. {ECO:0000269|PubMed:20826455}.; </t>
        </is>
      </c>
      <c r="E546" t="inlineStr">
        <is>
          <t>.</t>
        </is>
      </c>
      <c r="F546" t="inlineStr">
        <is>
          <t>.</t>
        </is>
      </c>
      <c r="G546" t="inlineStr">
        <is>
          <t>unclassifiable (Anatomical System);pancreas;lung;placenta;liver;colon;spleen;brain;stomach;</t>
        </is>
      </c>
      <c r="H546" t="inlineStr">
        <is>
          <t>liver;ciliary ganglion;</t>
        </is>
      </c>
      <c r="I546" t="inlineStr">
        <is>
          <t>.</t>
        </is>
      </c>
      <c r="J546" t="inlineStr">
        <is>
          <t>.</t>
        </is>
      </c>
      <c r="K546" t="inlineStr">
        <is>
          <t>.</t>
        </is>
      </c>
      <c r="L546" t="inlineStr">
        <is>
          <t>.</t>
        </is>
      </c>
      <c r="M546" t="inlineStr">
        <is>
          <t>.</t>
        </is>
      </c>
      <c r="N546" t="inlineStr">
        <is>
          <t>.</t>
        </is>
      </c>
      <c r="O546" t="inlineStr">
        <is>
          <t>.</t>
        </is>
      </c>
    </row>
    <row r="547">
      <c r="A547" t="inlineStr">
        <is>
          <t>PEX14</t>
        </is>
      </c>
      <c r="B547" t="inlineStr">
        <is>
          <t>0.634568377657546</t>
        </is>
      </c>
      <c r="C547" t="inlineStr">
        <is>
          <t>peroxisomal biogenesis factor 14</t>
        </is>
      </c>
      <c r="D547" t="inlineStr">
        <is>
          <t xml:space="preserve">FUNCTION: Peroxisome membrane protein that is an essential component of the peroxisomal import machinery. Functions as a docking factor for the predominantly cytoplasmic PTS1 receptor (PEX5). Plays a key role for peroxisome movement through a direct interaction with tubulin. {ECO:0000269|PubMed:21525035, ECO:0000269|PubMed:9653144}.; </t>
        </is>
      </c>
      <c r="E547" t="inlineStr">
        <is>
          <t xml:space="preserve">DISEASE: Peroxisome biogenesis disorder complementation group K (PBD-CGK) [MIM:614887]: A peroxisomal disorder arising from a failure of protein import into the peroxisomal membrane or matrix. The peroxisome biogenesis disorders (PBD group) are genetically heterogeneous with at least 14 distinct genetic groups as concluded from complementation studies. Include disorders are: Zellweger syndrome (ZWS), neonatal adrenoleukodystrophy (NALD), infantile Refsum disease (IRD), and classical rhizomelic chondrodysplasia punctata (RCDP). ZWS, NALD and IRD are distinct from RCDP and constitute a clinical continuum of overlapping phenotypes known as the Zellweger spectrum (PBD-ZSS). {ECO:0000269|PubMed:15146459}. Note=The disease is caused by mutations affecting the gene represented in this entry.; DISEASE: Peroxisome biogenesis disorder 13A (PBD13A) [MIM:614887]: A fatal peroxisome biogenesis disorder belonging to the Zellweger disease spectrum and clinically characterized by severe neurologic dysfunction with profound psychomotor retardation, severe hypotonia and neonatal seizures, craniofacial abnormalities, liver dysfunction, and biochemically by the absence of peroxisomes. Additional features include cardiovascular and skeletal defects, renal cysts, ocular abnormalities, and hearing impairment. Most severely affected individuals with the classic form of the disease (classic Zellweger syndrome) die within the first year of life. {ECO:0000269|PubMed:15146459}. Note=The disease is caused by mutations affecting the gene represented in this entry.; </t>
        </is>
      </c>
      <c r="F547" t="inlineStr">
        <is>
          <t>.</t>
        </is>
      </c>
      <c r="G547" t="inlineStr">
        <is>
          <t>.</t>
        </is>
      </c>
      <c r="H547" t="inlineStr">
        <is>
          <t>.</t>
        </is>
      </c>
      <c r="I547">
        <f>HYPERLINK("https://omim.org/entry/614887", "614887")</f>
        <v/>
      </c>
      <c r="J547">
        <f>HYPERLINK("https://omim.org/entry/614887", "614887")</f>
        <v/>
      </c>
      <c r="K547" t="inlineStr">
        <is>
          <t>.</t>
        </is>
      </c>
      <c r="L547" t="inlineStr">
        <is>
          <t>.</t>
        </is>
      </c>
      <c r="M547" t="inlineStr">
        <is>
          <t>.</t>
        </is>
      </c>
      <c r="N547" t="inlineStr">
        <is>
          <t>.</t>
        </is>
      </c>
      <c r="O547" t="inlineStr">
        <is>
          <t>.</t>
        </is>
      </c>
    </row>
    <row r="548">
      <c r="A548" t="inlineStr">
        <is>
          <t>PHACTR4</t>
        </is>
      </c>
      <c r="B548" t="inlineStr">
        <is>
          <t>0.00427377620221426</t>
        </is>
      </c>
      <c r="C548" t="inlineStr">
        <is>
          <t>phosphatase and actin regulator 4</t>
        </is>
      </c>
      <c r="D548" t="inlineStr">
        <is>
          <t xml:space="preserve">FUNCTION: Regulator of protein phosphatase 1 (PP1) required for neural tube and optic fissure closure, and enteric neural crest cell (ENCCs) migration during development. Acts as an activator of PP1 by interacting with PPP1CA and preventing phosphorylation of PPP1CA at 'Thr-320'. During neural tube closure, localizes to the ventral neural tube and activates PP1, leading to down-regulate cell proliferation within cranial neural tissue and the neural retina. Also acts as a regulator of migration of enteric neural crest cells (ENCCs) by activating PP1, leading to dephosphorylation and subsequent activation of cofilin (COF1 or COF2) and repression of the integrin signaling through the RHO/ROCK pathway (By similarity). {ECO:0000250}.; </t>
        </is>
      </c>
      <c r="E548" t="inlineStr">
        <is>
          <t>.</t>
        </is>
      </c>
      <c r="F548" t="inlineStr">
        <is>
          <t>.</t>
        </is>
      </c>
      <c r="G548" t="inlineStr">
        <is>
          <t>.</t>
        </is>
      </c>
      <c r="H548" t="inlineStr">
        <is>
          <t>.</t>
        </is>
      </c>
      <c r="I548" t="inlineStr">
        <is>
          <t>.</t>
        </is>
      </c>
      <c r="J548" t="inlineStr">
        <is>
          <t>.</t>
        </is>
      </c>
      <c r="K548" t="inlineStr">
        <is>
          <t>.</t>
        </is>
      </c>
      <c r="L548" t="inlineStr">
        <is>
          <t>.</t>
        </is>
      </c>
      <c r="M548" t="inlineStr">
        <is>
          <t>.</t>
        </is>
      </c>
      <c r="N548" t="inlineStr">
        <is>
          <t>.</t>
        </is>
      </c>
      <c r="O548" t="inlineStr">
        <is>
          <t>.</t>
        </is>
      </c>
    </row>
    <row r="549">
      <c r="A549" t="inlineStr">
        <is>
          <t>PI4KA</t>
        </is>
      </c>
      <c r="B549" t="inlineStr">
        <is>
          <t>0.000804073363471932</t>
        </is>
      </c>
      <c r="C549" t="inlineStr">
        <is>
          <t>phosphatidylinositol 4-kinase alpha</t>
        </is>
      </c>
      <c r="D549" t="inlineStr">
        <is>
          <t xml:space="preserve">FUNCTION: Acts on phosphatidylinositol (PtdIns) in the first committed step in the production of the second messenger inositol- 1,4,5,-trisphosphate. {ECO:0000269|PubMed:10101268, ECO:0000269|PubMed:23229899}.; </t>
        </is>
      </c>
      <c r="E549" t="inlineStr">
        <is>
          <t>.</t>
        </is>
      </c>
      <c r="F549" t="inlineStr">
        <is>
          <t xml:space="preserve">TISSUE SPECIFICITY: Expressed ubiquitously. Highest levels in placenta and brain. Little or no expression in lung, liver, pancreas, testis or leukocytes. {ECO:0000269|PubMed:10101268, ECO:0000269|PubMed:7961848}.; </t>
        </is>
      </c>
      <c r="G549" t="inlineStr">
        <is>
          <t>medulla oblongata;ovary;skin;retina;bone marrow;prostate;optic nerve;frontal lobe;thyroid;iris;germinal center;brain;heart;cartilage;tongue;adrenal cortex;blood;skeletal muscle;breast;epididymis;macula lutea;visual apparatus;liver;cervix;spleen;mammary gland;colon;parathyroid;fovea centralis;choroid;uterus;whole body;cerebral cortex;larynx;bone;testis;spinal ganglion;pineal gland;unclassifiable (Anatomical System);lymph node;cerebellum cortex;islets of Langerhans;muscle;bile duct;lung;adrenal gland;placenta;hippocampus;duodenum;head and neck;kidney;stomach;aorta;thymus;</t>
        </is>
      </c>
      <c r="H549" t="inlineStr">
        <is>
          <t>whole brain;amygdala;medulla oblongata;subthalamic nucleus;occipital lobe;temporal lobe;prefrontal cortex;globus pallidus;caudate nucleus;pons;cingulate cortex;parietal lobe;</t>
        </is>
      </c>
      <c r="I549" t="inlineStr">
        <is>
          <t>.</t>
        </is>
      </c>
      <c r="J549" t="inlineStr">
        <is>
          <t>.</t>
        </is>
      </c>
      <c r="K549" t="inlineStr">
        <is>
          <t>.</t>
        </is>
      </c>
      <c r="L549" t="inlineStr">
        <is>
          <t>.</t>
        </is>
      </c>
      <c r="M549" t="inlineStr">
        <is>
          <t>.</t>
        </is>
      </c>
      <c r="N549" t="inlineStr">
        <is>
          <t>.</t>
        </is>
      </c>
      <c r="O549" t="inlineStr">
        <is>
          <t>.</t>
        </is>
      </c>
    </row>
    <row r="550">
      <c r="A550" t="inlineStr">
        <is>
          <t>PIEZO1</t>
        </is>
      </c>
      <c r="B550" t="inlineStr">
        <is>
          <t>0.535969010144802</t>
        </is>
      </c>
      <c r="C550" t="inlineStr">
        <is>
          <t>piezo type mechanosensitive ion channel component 1</t>
        </is>
      </c>
      <c r="D550" t="inlineStr">
        <is>
          <t xml:space="preserve">FUNCTION: Pore-forming subunit of a mechanosensitive non-specific cation channel (PubMed:23479567, PubMed:23695678). Generates currents characterized by a linear current-voltage relationship that are sensitive to ruthenium red and gadolinium. Plays a key role in epithelial cell adhesion by maintaining integrin activation through R-Ras recruitment to the ER, most probably in its activated state, and subsequent stimulation of calpain signaling (PubMed:20016066). In the kidney, may contribute to the detection of intraluminal pressure changes and to urine flow sensing. Acts as shear-stress sensor that promotes endothelial cell organization and alignment in the direction of blood flow through calpain activation (PubMed:25119035). Plays a key role in blood vessel formation and vascular structure in both development and adult physiology (By similarity). {ECO:0000250|UniProtKB:E2JF22, ECO:0000269|PubMed:20016066, ECO:0000269|PubMed:23479567, ECO:0000269|PubMed:23695678, ECO:0000269|PubMed:25119035}.; </t>
        </is>
      </c>
      <c r="E550" t="inlineStr">
        <is>
          <t xml:space="preserve">DISEASE: Dehydrated hereditary stomatocytosis with or without pseudohyperkalemia and/or perinatal edema (DHS) [MIM:194380]: An autosomal dominant hemolytic anemia characterized by primary erythrocyte dehydration. DHS erythrocytes exhibit decreased total cation and potassium content that are not accompanied by a proportional net gain of sodium and water. DHS patients typically exhibit mild to moderate compensated hemolytic anemia, with an increased erythrocyte mean corpuscular hemoglobin concentration and a decreased osmotic fragility, both of which reflect cellular dehydration. Patients may also show perinatal edema and pseudohyperkalemia due to loss of potassium from red cells stored at room temperature. A minor proportion of red cells appear as stomatocytes on blood films. Complications such as splenomegaly and cholelithiasis, resulting from increased red cell trapping in the spleen and elevated bilirubin levels, respectively, may occur. The course of DHS is frequently associated with iron overload, which may lead to hepatosiderosis. {ECO:0000269|PubMed:22529292, ECO:0000269|PubMed:23479567, ECO:0000269|PubMed:23487776, ECO:0000269|PubMed:23581886, ECO:0000269|PubMed:23695678, ECO:0000269|PubMed:23973043}. Note=The disease is caused by mutations affecting the gene represented in this entry. All disease-causing mutations characterized so far produce a gain-of- function phenotype, mutated channels exhibiting increased cation transport in erythroid cells, that could be due to slower channel inactivation rate compared to the wild-type protein.; </t>
        </is>
      </c>
      <c r="F550" t="inlineStr">
        <is>
          <t xml:space="preserve">TISSUE SPECIFICITY: Expressed in numerous tissues. In normal brain, expressed exclusively in neurons, not in astrocytes. In Alzheimer disease brains, expressed in about half of the activated astrocytes located around classical senile plaques. In Parkinson disease substantia nigra, not detected in melanin-containing neurons nor in activated astrocytes. Expressed in erythrocytes (at protein level). {ECO:0000269|PubMed:16854388, ECO:0000269|PubMed:22529292, ECO:0000269|PubMed:23479567}.; </t>
        </is>
      </c>
      <c r="G550" t="inlineStr">
        <is>
          <t>smooth muscle;ovary;skin;retina;prostate;optic nerve;frontal lobe;endometrium;thyroid;germinal center;bladder;brain;heart;cartilage;tongue;urinary;blood;cerebrum;lens;skeletal muscle;breast;epididymis;visual apparatus;macula lutea;liver;alveolus;spleen;cervix;mammary gland;colon;parathyroid;fovea centralis;choroid;uterus;whole body;bone;pituitary gland;testis;unclassifiable (Anatomical System);lymph node;islets of Langerhans;pancreas;lung;cornea;placenta;hypopharynx;head and neck;kidney;stomach;aorta;thymus;</t>
        </is>
      </c>
      <c r="H550" t="inlineStr">
        <is>
          <t>prostate;tumor;white blood cells;</t>
        </is>
      </c>
      <c r="I550">
        <f>HYPERLINK("https://omim.org/entry/194380", "194380")</f>
        <v/>
      </c>
      <c r="J550" t="inlineStr">
        <is>
          <t>.</t>
        </is>
      </c>
      <c r="K550" t="inlineStr">
        <is>
          <t>.</t>
        </is>
      </c>
      <c r="L550" t="inlineStr">
        <is>
          <t>.</t>
        </is>
      </c>
      <c r="M550" t="inlineStr">
        <is>
          <t>.</t>
        </is>
      </c>
      <c r="N550" t="inlineStr">
        <is>
          <t>.</t>
        </is>
      </c>
      <c r="O550" t="inlineStr">
        <is>
          <t>.</t>
        </is>
      </c>
    </row>
    <row r="551">
      <c r="A551" t="inlineStr">
        <is>
          <t>PIK3C2G</t>
        </is>
      </c>
      <c r="B551" t="inlineStr">
        <is>
          <t>9.18857248003686e-32</t>
        </is>
      </c>
      <c r="C551" t="inlineStr">
        <is>
          <t>phosphatidylinositol-4-phosphate 3-kinase catalytic subunit type 2 gamma</t>
        </is>
      </c>
      <c r="D551" t="inlineStr">
        <is>
          <t xml:space="preserve">FUNCTION: Generates phosphatidylinositol 3-phosphate (PtdIns3P) and phosphatidylinositol 3,4-bisphosphate (PtdIns(3,4)P2) that act as second messengers. May play a role in SDF1A-stimulated chemotaxis (By similarity). {ECO:0000250}.; </t>
        </is>
      </c>
      <c r="E551" t="inlineStr">
        <is>
          <t>.</t>
        </is>
      </c>
      <c r="F551" t="inlineStr">
        <is>
          <t xml:space="preserve">TISSUE SPECIFICITY: Highly expressed in liver, prostate and testis. Lower levels in small intestine, kidney and pancreas. {ECO:0000269|PubMed:9878262}.; </t>
        </is>
      </c>
      <c r="G551" t="inlineStr">
        <is>
          <t>unclassifiable (Anatomical System);lung;testis;kidney;brain;skeletal muscle;</t>
        </is>
      </c>
      <c r="H551" t="inlineStr">
        <is>
          <t>dorsal root ganglion;superior cervical ganglion;testis;ciliary ganglion;atrioventricular node;trigeminal ganglion;</t>
        </is>
      </c>
      <c r="I551" t="inlineStr">
        <is>
          <t>.</t>
        </is>
      </c>
      <c r="J551" t="inlineStr">
        <is>
          <t>.</t>
        </is>
      </c>
      <c r="K551" t="inlineStr">
        <is>
          <t>.</t>
        </is>
      </c>
      <c r="L551" t="inlineStr">
        <is>
          <t>.</t>
        </is>
      </c>
      <c r="M551" t="inlineStr">
        <is>
          <t>.</t>
        </is>
      </c>
      <c r="N551" t="inlineStr">
        <is>
          <t>.</t>
        </is>
      </c>
      <c r="O551" t="inlineStr">
        <is>
          <t>.</t>
        </is>
      </c>
    </row>
    <row r="552">
      <c r="A552" t="inlineStr">
        <is>
          <t>PINK1</t>
        </is>
      </c>
      <c r="B552" t="inlineStr">
        <is>
          <t>4.0835436809341e-07</t>
        </is>
      </c>
      <c r="C552" t="inlineStr">
        <is>
          <t>PTEN induced putative kinase 1</t>
        </is>
      </c>
      <c r="D552" t="inlineStr">
        <is>
          <t xml:space="preserve">FUNCTION: Protects against mitochondrial dysfunction during cellular stress by phosphorylating mitochondrial proteins. Involved in the clearance of damaged mitochondria via selective autophagy (mitophagy) by mediating activation and translocation of PARK2. Targets PARK2 to dysfunctional depolarized mitochondria through the phosphorylation of MFN2. Activates PARK2 in 2 steps: (1) by mediating phosphorylation at 'Ser-65' of PARK2 and (2) mediating phosphorylation of ubiquitin, converting PARK2 to its fully-active form (PubMed:24660806, PubMed:24751536, PubMed:24784582, PubMed:25527291). {ECO:0000269|PubMed:14607334, ECO:0000269|PubMed:15087508, ECO:0000269|PubMed:19229105, ECO:0000269|PubMed:19966284, ECO:0000269|PubMed:20404107, ECO:0000269|PubMed:20798600, ECO:0000269|PubMed:23620051, ECO:0000269|PubMed:23754282, ECO:0000269|PubMed:23933751, ECO:0000269|PubMed:24660806, ECO:0000269|PubMed:24751536, ECO:0000269|PubMed:24784582, ECO:0000269|PubMed:24896179, ECO:0000269|PubMed:25527291}.; </t>
        </is>
      </c>
      <c r="E552" t="inlineStr">
        <is>
          <t xml:space="preserve">DISEASE: Parkinson disease 6 (PARK6) [MIM:605909]: A neurodegenerative disorder characterized by parkinsonian signs such as rigidity, resting tremor and bradykinesia. A subset of patients manifest additional symptoms including hyperreflexia, autonomic instability, dementia and psychiatric disturbances. Symptoms show diurnal fluctuation and can improve after sleep. {ECO:0000269|PubMed:15087508, ECO:0000269|PubMed:15349860, ECO:0000269|PubMed:15349870, ECO:0000269|PubMed:15505171, ECO:0000269|PubMed:15596610, ECO:0000269|PubMed:15955953, ECO:0000269|PubMed:15970950, ECO:0000269|PubMed:16009891, ECO:0000269|PubMed:16207217, ECO:0000269|PubMed:16257123, ECO:0000269|PubMed:16401616, ECO:0000269|PubMed:16482571, ECO:0000269|PubMed:16632486, ECO:0000269|PubMed:16966503, ECO:0000269|PubMed:17030667, ECO:0000269|PubMed:18286320, ECO:0000269|PubMed:22956510}. Note=The disease is caused by mutations affecting the gene represented in this entry.; </t>
        </is>
      </c>
      <c r="F552" t="inlineStr">
        <is>
          <t xml:space="preserve">TISSUE SPECIFICITY: Highly expressed in heart, skeletal muscle and testis, and at lower levels in brain, placenta, liver, kidney, pancreas, prostate, ovary and small intestine. Present in the embryonic testis from an early stage of development. {ECO:0000269|PubMed:11494141}.; </t>
        </is>
      </c>
      <c r="G552" t="inlineStr">
        <is>
          <t>.</t>
        </is>
      </c>
      <c r="H552" t="inlineStr">
        <is>
          <t>.</t>
        </is>
      </c>
      <c r="I552">
        <f>HYPERLINK("https://omim.org/entry/605909", "605909")</f>
        <v/>
      </c>
      <c r="J552" t="inlineStr">
        <is>
          <t>.</t>
        </is>
      </c>
      <c r="K552" t="inlineStr">
        <is>
          <t>.</t>
        </is>
      </c>
      <c r="L552" t="inlineStr">
        <is>
          <t>.</t>
        </is>
      </c>
      <c r="M552" t="inlineStr">
        <is>
          <t>.</t>
        </is>
      </c>
      <c r="N552" t="inlineStr">
        <is>
          <t>.</t>
        </is>
      </c>
      <c r="O552" t="inlineStr">
        <is>
          <t>.</t>
        </is>
      </c>
    </row>
    <row r="553">
      <c r="A553" t="inlineStr">
        <is>
          <t>PINK1-AS</t>
        </is>
      </c>
      <c r="B553" t="inlineStr">
        <is>
          <t>.</t>
        </is>
      </c>
      <c r="C553" t="inlineStr">
        <is>
          <t>PINK1 antisense RNA</t>
        </is>
      </c>
      <c r="D553" t="inlineStr">
        <is>
          <t>.</t>
        </is>
      </c>
      <c r="E553" t="inlineStr">
        <is>
          <t>.</t>
        </is>
      </c>
      <c r="F553" t="inlineStr">
        <is>
          <t>.</t>
        </is>
      </c>
      <c r="G553" t="inlineStr">
        <is>
          <t>.</t>
        </is>
      </c>
      <c r="H553" t="inlineStr">
        <is>
          <t>.</t>
        </is>
      </c>
      <c r="I553" t="inlineStr">
        <is>
          <t>.</t>
        </is>
      </c>
      <c r="J553" t="inlineStr">
        <is>
          <t>.</t>
        </is>
      </c>
      <c r="K553" t="inlineStr">
        <is>
          <t>.</t>
        </is>
      </c>
      <c r="L553" t="inlineStr">
        <is>
          <t>.</t>
        </is>
      </c>
      <c r="M553" t="inlineStr">
        <is>
          <t>.</t>
        </is>
      </c>
      <c r="N553" t="inlineStr">
        <is>
          <t>.</t>
        </is>
      </c>
      <c r="O553" t="inlineStr">
        <is>
          <t>.</t>
        </is>
      </c>
    </row>
    <row r="554">
      <c r="A554" t="inlineStr">
        <is>
          <t>PKD1</t>
        </is>
      </c>
      <c r="B554" t="inlineStr">
        <is>
          <t>0.999905331991465</t>
        </is>
      </c>
      <c r="C554" t="inlineStr">
        <is>
          <t>polycystin 1, transient receptor potential channel interacting</t>
        </is>
      </c>
      <c r="D554" t="inlineStr">
        <is>
          <t xml:space="preserve">FUNCTION: Involved in renal tubulogenesis (PubMed:12482949). Involved in fluid-flow mechanosensation by the primary cilium in renal epithelium (By similarity). Acts as a regulator of cilium length, together with PKD2 (By similarity). The dynamic control of cilium length is essential in the regulation of mechanotransductive signaling (By similarity). The cilium length response creates a negative feedback loop whereby fluid shear- mediated deflection of the primary cilium, which decreases intracellular cAMP, leads to cilium shortening and thus decreases flow-induced signaling (By similarity). May be an ion-channel regulator. Involved in adhesive protein-protein and protein- carbohydrate interactions. {ECO:0000250|UniProtKB:O08852, ECO:0000269|PubMed:12482949}.; </t>
        </is>
      </c>
      <c r="E554" t="inlineStr">
        <is>
          <t xml:space="preserve">DISEASE: Polycystic kidney disease 1 (PKD1) [MIM:173900]: A disorder characterized by renal cysts, liver cysts and intracranial aneurysm. Clinical variability is due to differences in the rate of loss of glomerular filtration, the age of reaching end-stage renal disease and the occurrence of hypertension, symptomatic extrarenal cysts, and subarachnoid hemorrhage from intracranial 'berry' aneurysm. {ECO:0000269|PubMed:10200984, ECO:0000269|PubMed:10364515, ECO:0000269|PubMed:10577909, ECO:0000269|PubMed:10647901, ECO:0000269|PubMed:10729710, ECO:0000269|PubMed:10854095, ECO:0000269|PubMed:10923040, ECO:0000269|PubMed:10987650, ECO:0000269|PubMed:11012875, ECO:0000269|PubMed:11058904, ECO:0000269|PubMed:11115377, ECO:0000269|PubMed:11216660, ECO:0000269|PubMed:11316854, ECO:0000269|PubMed:11558899, ECO:0000269|PubMed:11571556, ECO:0000269|PubMed:11691639, ECO:0000269|PubMed:11773467, ECO:0000269|PubMed:11857740, ECO:0000269|PubMed:11967008, ECO:0000269|PubMed:12007219, ECO:0000269|PubMed:12070253, ECO:0000269|PubMed:12220456, ECO:0000269|PubMed:12842373, ECO:0000269|PubMed:15772804, ECO:0000269|PubMed:18837007, ECO:0000269|PubMed:21115670, ECO:0000269|PubMed:22508176, ECO:0000269|PubMed:8554072, ECO:0000269|PubMed:9199561, ECO:0000269|PubMed:9259200, ECO:0000269|PubMed:9285784, ECO:0000269|PubMed:9521593, ECO:0000269|PubMed:9921908}. Note=The disease is caused by mutations affecting the gene represented in this entry.; </t>
        </is>
      </c>
      <c r="F554" t="inlineStr">
        <is>
          <t>.</t>
        </is>
      </c>
      <c r="G554" t="inlineStr">
        <is>
          <t>medulla oblongata;smooth muscle;ovary;skin;retina;bone marrow;prostate;optic nerve;frontal lobe;cochlea;endometrium;thyroid;germinal center;brain;heart;cartilage;tongue;urinary;blood;lens;skeletal muscle;breast;epididymis;macula lutea;visual apparatus;liver;cervix;spleen;mammary gland;colon;parathyroid;fovea centralis;choroid;uterus;whole body;larynx;bone;pituitary gland;testis;spinal ganglion;pineal gland;unclassifiable (Anatomical System);lymph node;islets of Langerhans;hypothalamus;pancreas;lung;placenta;hypopharynx;amnion;head and neck;kidney;stomach;thymus;cerebellum;</t>
        </is>
      </c>
      <c r="H554" t="inlineStr">
        <is>
          <t>amygdala;medulla oblongata;subthalamic nucleus;superior cervical ganglion;cerebellum peduncles;prefrontal cortex;globus pallidus;atrioventricular node;pons;trigeminal ganglion;cingulate cortex;parietal lobe;cerebellum;</t>
        </is>
      </c>
      <c r="I554">
        <f>HYPERLINK("https://omim.org/entry/173900", "173900")</f>
        <v/>
      </c>
      <c r="J554" t="inlineStr">
        <is>
          <t>.</t>
        </is>
      </c>
      <c r="K554" t="inlineStr">
        <is>
          <t>.</t>
        </is>
      </c>
      <c r="L554" t="inlineStr">
        <is>
          <t>.</t>
        </is>
      </c>
      <c r="M554" t="inlineStr">
        <is>
          <t>.</t>
        </is>
      </c>
      <c r="N554" t="inlineStr">
        <is>
          <t>.</t>
        </is>
      </c>
      <c r="O554" t="inlineStr">
        <is>
          <t>.</t>
        </is>
      </c>
    </row>
    <row r="555">
      <c r="A555" t="inlineStr">
        <is>
          <t>PKD2L1</t>
        </is>
      </c>
      <c r="B555" t="inlineStr">
        <is>
          <t>6.57113540225805e-17</t>
        </is>
      </c>
      <c r="C555" t="inlineStr">
        <is>
          <t>polycystin 2 like 1, transient receptor potential cation channel</t>
        </is>
      </c>
      <c r="D555" t="inlineStr">
        <is>
          <t xml:space="preserve">FUNCTION: Pore-forming subunit of a ciliary calcium channel that controls calcium concentration within primary cilia without affecting cytoplasmic calcium concentration. Forms a heterodimer with PKD1L1 in primary cilia and forms a calcium-permeant ciliary channel that regulates sonic hedgehog/SHH signaling and GLI2 transcription. May act as a sour taste receptor by forming a calcium channel with PKD1L3 in gustatory cells; however, its contribution to sour taste perception is unclear in vivo and may be indirect. {ECO:0000269|PubMed:10517637, ECO:0000269|PubMed:19812697, ECO:0000269|PubMed:23212381, ECO:0000269|PubMed:24336289}.; </t>
        </is>
      </c>
      <c r="E555" t="inlineStr">
        <is>
          <t>.</t>
        </is>
      </c>
      <c r="F555" t="inlineStr">
        <is>
          <t xml:space="preserve">TISSUE SPECIFICITY: Expressed in adult heart, skeletal muscle, brain, spleen, testis, retina and liver. According to PubMed:9748274, expressed at high levels in fetal tissues, including kidney and liver, and down-regulated in adult tissues. According to PubMed:10602361, expressed in fetal brain, but not expressed in fetal lung, liver or kidney. Isoform 4 appears to be expressed only in transformed lymphoblasts. {ECO:0000269|PubMed:10602361, ECO:0000269|PubMed:9748274}.; </t>
        </is>
      </c>
      <c r="G555" t="inlineStr">
        <is>
          <t>unclassifiable (Anatomical System);alveolus;testis;retina;</t>
        </is>
      </c>
      <c r="H555" t="inlineStr">
        <is>
          <t>skeletal muscle;</t>
        </is>
      </c>
      <c r="I555" t="inlineStr">
        <is>
          <t>.</t>
        </is>
      </c>
      <c r="J555" t="inlineStr">
        <is>
          <t>.</t>
        </is>
      </c>
      <c r="K555" t="inlineStr">
        <is>
          <t>.</t>
        </is>
      </c>
      <c r="L555" t="inlineStr">
        <is>
          <t>.</t>
        </is>
      </c>
      <c r="M555" t="inlineStr">
        <is>
          <t>.</t>
        </is>
      </c>
      <c r="N555" t="inlineStr">
        <is>
          <t>.</t>
        </is>
      </c>
      <c r="O555" t="inlineStr">
        <is>
          <t>.</t>
        </is>
      </c>
    </row>
    <row r="556">
      <c r="A556" t="inlineStr">
        <is>
          <t>PKLR</t>
        </is>
      </c>
      <c r="B556" t="inlineStr">
        <is>
          <t>1.00020289233933e-05</t>
        </is>
      </c>
      <c r="C556" t="inlineStr">
        <is>
          <t>pyruvate kinase, liver and RBC</t>
        </is>
      </c>
      <c r="D556" t="inlineStr">
        <is>
          <t xml:space="preserve">FUNCTION: Plays a key role in glycolysis. {ECO:0000250}.; </t>
        </is>
      </c>
      <c r="E556" t="inlineStr">
        <is>
          <t xml:space="preserve">DISEASE: Pyruvate kinase hyperactivity (PKHYP) [MIM:102900]: Autosomal dominant phenotype characterized by increase of red blood cell ATP. {ECO:0000269|PubMed:9090535}. Note=The disease is caused by mutations affecting the gene represented in this entry.; DISEASE: Pyruvate kinase deficiency of red cells (PKRD) [MIM:266200]: A frequent cause of hereditary non-spherocytic hemolytic anemia. Clinically, pyruvate kinase-deficient patients suffer from a highly variable degree of chronic hemolysis, ranging from severe neonatal jaundice and fatal anemia at birth, severe transfusion-dependent chronic hemolysis, moderate hemolysis with exacerbation during infection, to a fully compensated hemolysis without apparent anemia. {ECO:0000269|PubMed:11328279, ECO:0000269|PubMed:1536957, ECO:0000269|PubMed:1896471, ECO:0000269|PubMed:19085939, ECO:0000269|PubMed:2018831, ECO:0000269|PubMed:21794208, ECO:0000269|PubMed:7706479, ECO:0000269|PubMed:8161798, ECO:0000269|PubMed:8180378, ECO:0000269|PubMed:8476433, ECO:0000269|PubMed:8481523, ECO:0000269|PubMed:8483951, ECO:0000269|PubMed:9482576, ECO:0000269|PubMed:9827908, ECO:0000269|PubMed:9886305, ECO:0000269|Ref.24}. Note=The disease is caused by mutations affecting the gene represented in this entry.; </t>
        </is>
      </c>
      <c r="F556" t="inlineStr">
        <is>
          <t>.</t>
        </is>
      </c>
      <c r="G556" t="inlineStr">
        <is>
          <t>unclassifiable (Anatomical System);cartilage;ovary;salivary gland;intestine;pharynx;colon;blood;skin;pancreas;prostate;bone;visual apparatus;liver;spleen;kidney;brain;mammary gland;bladder;</t>
        </is>
      </c>
      <c r="H556" t="inlineStr">
        <is>
          <t>dorsal root ganglion;superior cervical ganglion;liver;ciliary ganglion;atrioventricular node;kidney;trigeminal ganglion;skeletal muscle;</t>
        </is>
      </c>
      <c r="I556">
        <f>HYPERLINK("https://omim.org/entry/102900", "102900")</f>
        <v/>
      </c>
      <c r="J556">
        <f>HYPERLINK("https://omim.org/entry/266200", "266200")</f>
        <v/>
      </c>
      <c r="K556" t="inlineStr">
        <is>
          <t>.</t>
        </is>
      </c>
      <c r="L556" t="inlineStr">
        <is>
          <t>.</t>
        </is>
      </c>
      <c r="M556" t="inlineStr">
        <is>
          <t>.</t>
        </is>
      </c>
      <c r="N556" t="inlineStr">
        <is>
          <t>.</t>
        </is>
      </c>
      <c r="O556" t="inlineStr">
        <is>
          <t>.</t>
        </is>
      </c>
    </row>
    <row r="557">
      <c r="A557" t="inlineStr">
        <is>
          <t>PKNOX2</t>
        </is>
      </c>
      <c r="B557" t="inlineStr">
        <is>
          <t>0.91736894679552</t>
        </is>
      </c>
      <c r="C557" t="inlineStr">
        <is>
          <t>PBX/knotted 1 homeobox 2</t>
        </is>
      </c>
      <c r="D557" t="inlineStr">
        <is>
          <t>.</t>
        </is>
      </c>
      <c r="E557" t="inlineStr">
        <is>
          <t>.</t>
        </is>
      </c>
      <c r="F557" t="inlineStr">
        <is>
          <t>.</t>
        </is>
      </c>
      <c r="G557" t="inlineStr">
        <is>
          <t>unclassifiable (Anatomical System);heart;ovary;cartilage;muscle;fovea centralis;choroid;lens;skin;retina;uterus;prostate;optic nerve;lung;frontal lobe;thyroid;macula lutea;visual apparatus;liver;testis;head and neck;spleen;brain;mammary gland;</t>
        </is>
      </c>
      <c r="H557" t="inlineStr">
        <is>
          <t>dorsal root ganglion;whole brain;amygdala;superior cervical ganglion;medulla oblongata;occipital lobe;pons;atrioventricular node;skeletal muscle;subthalamic nucleus;fetal brain;thyroid;prefrontal cortex;globus pallidus;ciliary ganglion;trigeminal ganglion;parietal lobe;cingulate cortex;</t>
        </is>
      </c>
      <c r="I557" t="inlineStr">
        <is>
          <t>.</t>
        </is>
      </c>
      <c r="J557" t="inlineStr">
        <is>
          <t>.</t>
        </is>
      </c>
      <c r="K557" t="inlineStr">
        <is>
          <t>.</t>
        </is>
      </c>
      <c r="L557" t="inlineStr">
        <is>
          <t>.</t>
        </is>
      </c>
      <c r="M557" t="inlineStr">
        <is>
          <t>.</t>
        </is>
      </c>
      <c r="N557" t="inlineStr">
        <is>
          <t>.</t>
        </is>
      </c>
      <c r="O557" t="inlineStr">
        <is>
          <t>.</t>
        </is>
      </c>
    </row>
    <row r="558">
      <c r="A558" t="inlineStr">
        <is>
          <t>PKP3</t>
        </is>
      </c>
      <c r="B558" t="inlineStr">
        <is>
          <t>0.194350414769518</t>
        </is>
      </c>
      <c r="C558" t="inlineStr">
        <is>
          <t>plakophilin 3</t>
        </is>
      </c>
      <c r="D558" t="inlineStr">
        <is>
          <t xml:space="preserve">FUNCTION: May play a role in junctional plaques.; </t>
        </is>
      </c>
      <c r="E558" t="inlineStr">
        <is>
          <t>.</t>
        </is>
      </c>
      <c r="F558" t="inlineStr">
        <is>
          <t xml:space="preserve">TISSUE SPECIFICITY: Isoform PKP3a is found in desmosomes of most simple and stratified epithelia. Not found in foreskin fibroblasts and various sarcoma-derived cell lines. Beside dendritic reticular cells of lymphatic follicles not found in non-epithelial desmosome-bearing tissues. Isoform PKP3b is abundant in the desmosomes of stratified epithelial cell but absent in simple epithelial cells, it is also expressed in the colon and its tumors. {ECO:0000269|PubMed:24178805}.; </t>
        </is>
      </c>
      <c r="G558" t="inlineStr">
        <is>
          <t>unclassifiable (Anatomical System);cartilage;ovary;heart;tongue;islets of Langerhans;colon;parathyroid;blood;skin;uterus;pancreas;prostate;whole body;lung;bone;placenta;hypopharynx;testis;cervix;head and neck;brain;mammary gland;stomach;</t>
        </is>
      </c>
      <c r="H558" t="inlineStr">
        <is>
          <t>superior cervical ganglion;tongue;placenta;trigeminal ganglion;skeletal muscle;</t>
        </is>
      </c>
      <c r="I558" t="inlineStr">
        <is>
          <t>.</t>
        </is>
      </c>
      <c r="J558" t="inlineStr">
        <is>
          <t>.</t>
        </is>
      </c>
      <c r="K558" t="inlineStr">
        <is>
          <t>.</t>
        </is>
      </c>
      <c r="L558" t="inlineStr">
        <is>
          <t>.</t>
        </is>
      </c>
      <c r="M558" t="inlineStr">
        <is>
          <t>.</t>
        </is>
      </c>
      <c r="N558" t="inlineStr">
        <is>
          <t>.</t>
        </is>
      </c>
      <c r="O558" t="inlineStr">
        <is>
          <t>.</t>
        </is>
      </c>
    </row>
    <row r="559">
      <c r="A559" t="inlineStr">
        <is>
          <t>PLA2G2E</t>
        </is>
      </c>
      <c r="B559" t="inlineStr">
        <is>
          <t>0.000343166465007747</t>
        </is>
      </c>
      <c r="C559" t="inlineStr">
        <is>
          <t>phospholipase A2 group IIE</t>
        </is>
      </c>
      <c r="D559" t="inlineStr">
        <is>
          <t xml:space="preserve">FUNCTION: PA2 catalyzes the calcium-dependent hydrolysis of the 2- acyl groups in 3-sn-phosphoglycerides. Has a preference for arachidonic-containing phospholipids.; </t>
        </is>
      </c>
      <c r="E559" t="inlineStr">
        <is>
          <t>.</t>
        </is>
      </c>
      <c r="F559" t="inlineStr">
        <is>
          <t xml:space="preserve">TISSUE SPECIFICITY: Restricted to the brain, heart, lung, and placenta.; </t>
        </is>
      </c>
      <c r="G559" t="inlineStr">
        <is>
          <t>.</t>
        </is>
      </c>
      <c r="H559" t="inlineStr">
        <is>
          <t>.</t>
        </is>
      </c>
      <c r="I559" t="inlineStr">
        <is>
          <t>.</t>
        </is>
      </c>
      <c r="J559" t="inlineStr">
        <is>
          <t>.</t>
        </is>
      </c>
      <c r="K559" t="inlineStr">
        <is>
          <t>.</t>
        </is>
      </c>
      <c r="L559" t="inlineStr">
        <is>
          <t>.</t>
        </is>
      </c>
      <c r="M559" t="inlineStr">
        <is>
          <t>.</t>
        </is>
      </c>
      <c r="N559" t="inlineStr">
        <is>
          <t>.</t>
        </is>
      </c>
      <c r="O559" t="inlineStr">
        <is>
          <t>.</t>
        </is>
      </c>
    </row>
    <row r="560">
      <c r="A560" t="inlineStr">
        <is>
          <t>PLAU</t>
        </is>
      </c>
      <c r="B560" t="inlineStr">
        <is>
          <t>0.00055026957460409</t>
        </is>
      </c>
      <c r="C560" t="inlineStr">
        <is>
          <t>plasminogen activator, urokinase</t>
        </is>
      </c>
      <c r="D560" t="inlineStr">
        <is>
          <t xml:space="preserve">FUNCTION: Specifically cleaves the zymogen plasminogen to form the active enzyme plasmin.; </t>
        </is>
      </c>
      <c r="E560" t="inlineStr">
        <is>
          <t xml:space="preserve">DISEASE: Quebec platelet disorder (QPD) [MIM:601709]: An autosomal dominant bleeding disorder due to a gain-of-function defect in fibrinolysis. Although affected individuals do not exhibit systemic fibrinolysis, they show delayed onset bleeding after challenge, such as surgery. The hallmark of the disorder is markedly increased PLAU levels within platelets, which causes intraplatelet plasmin generation and secondary degradation of alpha-granule proteins. {ECO:0000269|PubMed:20007542}. Note=The disease is caused by mutations affecting the gene represented in this entry.; </t>
        </is>
      </c>
      <c r="F560" t="inlineStr">
        <is>
          <t xml:space="preserve">TISSUE SPECIFICITY: Expressed in the prostate gland and prostate cancers. {ECO:0000269|PubMed:15988036}.; </t>
        </is>
      </c>
      <c r="G560" t="inlineStr">
        <is>
          <t>.</t>
        </is>
      </c>
      <c r="H560" t="inlineStr">
        <is>
          <t>.</t>
        </is>
      </c>
      <c r="I560">
        <f>HYPERLINK("https://omim.org/entry/601709", "601709")</f>
        <v/>
      </c>
      <c r="J560" t="inlineStr">
        <is>
          <t>.</t>
        </is>
      </c>
      <c r="K560" t="inlineStr">
        <is>
          <t>.</t>
        </is>
      </c>
      <c r="L560" t="inlineStr">
        <is>
          <t>.</t>
        </is>
      </c>
      <c r="M560" t="inlineStr">
        <is>
          <t>.</t>
        </is>
      </c>
      <c r="N560" t="inlineStr">
        <is>
          <t>.</t>
        </is>
      </c>
      <c r="O560" t="inlineStr">
        <is>
          <t>.</t>
        </is>
      </c>
    </row>
    <row r="561">
      <c r="A561" t="inlineStr">
        <is>
          <t>PLEKHA5</t>
        </is>
      </c>
      <c r="B561" t="inlineStr">
        <is>
          <t>0.999999407945124</t>
        </is>
      </c>
      <c r="C561" t="inlineStr">
        <is>
          <t>pleckstrin homology domain containing A5</t>
        </is>
      </c>
      <c r="D561" t="inlineStr">
        <is>
          <t>.</t>
        </is>
      </c>
      <c r="E561" t="inlineStr">
        <is>
          <t>.</t>
        </is>
      </c>
      <c r="F561" t="inlineStr">
        <is>
          <t xml:space="preserve">TISSUE SPECIFICITY: Highly expressed in heart and kidney. {ECO:0000269|PubMed:11001876}.; </t>
        </is>
      </c>
      <c r="G561" t="inlineStr">
        <is>
          <t>ovary;parathyroid;fovea centralis;choroid;skin;retina;bone marrow;uterus;prostate;optic nerve;frontal lobe;endometrium;synovium;thyroid;pituitary gland;testis;brain;pineal gland;unclassifiable (Anatomical System);trophoblast;cartilage;heart;lacrimal gland;islets of Langerhans;adrenal cortex;blood;lens;skeletal muscle;breast;pancreas;lung;adrenal gland;trabecular meshwork;placenta;macula lutea;liver;spleen;kidney;stomach;</t>
        </is>
      </c>
      <c r="H561" t="inlineStr">
        <is>
          <t>superior cervical ganglion;prefrontal cortex;</t>
        </is>
      </c>
      <c r="I561" t="inlineStr">
        <is>
          <t>.</t>
        </is>
      </c>
      <c r="J561" t="inlineStr">
        <is>
          <t>.</t>
        </is>
      </c>
      <c r="K561" t="inlineStr">
        <is>
          <t>.</t>
        </is>
      </c>
      <c r="L561" t="inlineStr">
        <is>
          <t>.</t>
        </is>
      </c>
      <c r="M561" t="inlineStr">
        <is>
          <t>.</t>
        </is>
      </c>
      <c r="N561" t="inlineStr">
        <is>
          <t>.</t>
        </is>
      </c>
      <c r="O561" t="inlineStr">
        <is>
          <t>.</t>
        </is>
      </c>
    </row>
    <row r="562">
      <c r="A562" t="inlineStr">
        <is>
          <t>PLEKHH2</t>
        </is>
      </c>
      <c r="B562" t="inlineStr">
        <is>
          <t>1.78874098604568e-26</t>
        </is>
      </c>
      <c r="C562" t="inlineStr">
        <is>
          <t>pleckstrin homology, MyTH4 and FERM domain containing H2</t>
        </is>
      </c>
      <c r="D562" t="inlineStr">
        <is>
          <t xml:space="preserve">FUNCTION: In the kidney glomerulus may play a role in linking podocyte foot processes to the glomerular basement membrane. May be involved in stabilization of F-actin by attenuating its depolymerization. Can recruit TGFB1I1 from focal adhesions to podocyte lamellipodia.; </t>
        </is>
      </c>
      <c r="E562" t="inlineStr">
        <is>
          <t>.</t>
        </is>
      </c>
      <c r="F562" t="inlineStr">
        <is>
          <t xml:space="preserve">TISSUE SPECIFICITY: Kidney. Reduced expression in patients with focal segmental glomerulosclerosis. {ECO:0000269|PubMed:22832517}.; </t>
        </is>
      </c>
      <c r="G562" t="inlineStr">
        <is>
          <t>smooth muscle;ovary;colon;parathyroid;fovea centralis;choroid;skin;retina;uterus;prostate;optic nerve;whole body;endometrium;thyroid;bone;testis;brain;artery;unclassifiable (Anatomical System);heart;cartilage;islets of Langerhans;hypothalamus;lens;skeletal muscle;pancreas;lung;adrenal gland;placenta;macula lutea;hippocampus;kidney;mammary gland;stomach;aorta;</t>
        </is>
      </c>
      <c r="H562" t="inlineStr">
        <is>
          <t>globus pallidus;atrioventricular node;</t>
        </is>
      </c>
      <c r="I562" t="inlineStr">
        <is>
          <t>.</t>
        </is>
      </c>
      <c r="J562" t="inlineStr">
        <is>
          <t>.</t>
        </is>
      </c>
      <c r="K562" t="inlineStr">
        <is>
          <t>.</t>
        </is>
      </c>
      <c r="L562" t="inlineStr">
        <is>
          <t>.</t>
        </is>
      </c>
      <c r="M562" t="inlineStr">
        <is>
          <t>.</t>
        </is>
      </c>
      <c r="N562" t="inlineStr">
        <is>
          <t>.</t>
        </is>
      </c>
      <c r="O562" t="inlineStr">
        <is>
          <t>.</t>
        </is>
      </c>
    </row>
    <row r="563">
      <c r="A563" t="inlineStr">
        <is>
          <t>PLEKHM3</t>
        </is>
      </c>
      <c r="B563" t="inlineStr">
        <is>
          <t>0.76624837589687</t>
        </is>
      </c>
      <c r="C563" t="inlineStr">
        <is>
          <t>pleckstrin homology domain containing M3</t>
        </is>
      </c>
      <c r="D563" t="inlineStr">
        <is>
          <t>.</t>
        </is>
      </c>
      <c r="E563" t="inlineStr">
        <is>
          <t>.</t>
        </is>
      </c>
      <c r="F563" t="inlineStr">
        <is>
          <t>.</t>
        </is>
      </c>
      <c r="G563" t="inlineStr">
        <is>
          <t>.</t>
        </is>
      </c>
      <c r="H563" t="inlineStr">
        <is>
          <t>.</t>
        </is>
      </c>
      <c r="I563" t="inlineStr">
        <is>
          <t>.</t>
        </is>
      </c>
      <c r="J563" t="inlineStr">
        <is>
          <t>.</t>
        </is>
      </c>
      <c r="K563" t="inlineStr">
        <is>
          <t>.</t>
        </is>
      </c>
      <c r="L563" t="inlineStr">
        <is>
          <t>.</t>
        </is>
      </c>
      <c r="M563" t="inlineStr">
        <is>
          <t>.</t>
        </is>
      </c>
      <c r="N563" t="inlineStr">
        <is>
          <t>.</t>
        </is>
      </c>
      <c r="O563" t="inlineStr">
        <is>
          <t>.</t>
        </is>
      </c>
    </row>
    <row r="564">
      <c r="A564" t="inlineStr">
        <is>
          <t>PLK4</t>
        </is>
      </c>
      <c r="B564" t="inlineStr">
        <is>
          <t>0.77798174923305</t>
        </is>
      </c>
      <c r="C564" t="inlineStr">
        <is>
          <t>polo like kinase 4</t>
        </is>
      </c>
      <c r="D564" t="inlineStr">
        <is>
          <t xml:space="preserve">FUNCTION: Serine/threonine-protein kinase that plays a central role in centriole duplication. Able to trigger procentriole formation on the surface of the parental centriole cylinder, leading to the recruitment of centriole biogenesis proteins such as SASS6, CENPJ/CPAP, CCP110, CEP135 and gamma-tubulin. When overexpressed, it is able to induce centrosome amplification through the simultaneous generation of multiple procentrioles adjoining each parental centriole during S phase. Phosphorylates 'Ser-151' of FBXW5 during the G1/S transition, leading to inhibit FBXW5 ability to ubiquitinate SASS6. Its central role in centriole replication suggests a possible role in tumorigenesis, centrosome aberrations being frequently observed in tumors. Also involved in deuterosome-mediated centriole amplification in multiciliated that can generate more than 100 centrioles. Also involved in trophoblast differentiation by phosphorylating HAND1, leading to disrupt the interaction between HAND1 and MDFIC and activate HAND1. Phosphorylates CDC25C and CHEK2. {ECO:0000269|PubMed:16244668, ECO:0000269|PubMed:16326102, ECO:0000269|PubMed:17681131, ECO:0000269|PubMed:18239451, ECO:0000269|PubMed:19164942, ECO:0000269|PubMed:21725316}.; </t>
        </is>
      </c>
      <c r="E564" t="inlineStr">
        <is>
          <t xml:space="preserve">DISEASE: Microcephaly and chorioretinopathy, autosomal recessive, 2 (MCCRP2) [MIM:616171]: A severe disorder characterized by microcephaly, delayed psychomotor development, growth retardation with dwarfism, and ocular abnormalities. {ECO:0000269|PubMed:25344692}. Note=The disease is caused by mutations affecting the gene represented in this entry.; </t>
        </is>
      </c>
      <c r="F564" t="inlineStr">
        <is>
          <t>.</t>
        </is>
      </c>
      <c r="G564" t="inlineStr">
        <is>
          <t>medulla oblongata;ovary;salivary gland;intestine;colon;parathyroid;fovea centralis;choroid;skin;retina;uterus;prostate;optic nerve;whole body;endometrium;bone;testis;germinal center;brain;bladder;unclassifiable (Anatomical System);lymph node;heart;islets of Langerhans;pharynx;blood;lens;skeletal muscle;lung;placenta;macula lutea;visual apparatus;liver;kidney;mammary gland;stomach;</t>
        </is>
      </c>
      <c r="H564" t="inlineStr">
        <is>
          <t>superior cervical ganglion;testis - interstitial;testis - seminiferous tubule;testis;tumor;atrioventricular node;skeletal muscle;</t>
        </is>
      </c>
      <c r="I564">
        <f>HYPERLINK("https://omim.org/entry/616171", "616171")</f>
        <v/>
      </c>
      <c r="J564" t="inlineStr">
        <is>
          <t>.</t>
        </is>
      </c>
      <c r="K564" t="inlineStr">
        <is>
          <t>.</t>
        </is>
      </c>
      <c r="L564" t="inlineStr">
        <is>
          <t>.</t>
        </is>
      </c>
      <c r="M564" t="inlineStr">
        <is>
          <t>.</t>
        </is>
      </c>
      <c r="N564" t="inlineStr">
        <is>
          <t>.</t>
        </is>
      </c>
      <c r="O564" t="inlineStr">
        <is>
          <t>.</t>
        </is>
      </c>
    </row>
    <row r="565">
      <c r="A565" t="inlineStr">
        <is>
          <t>PLK5</t>
        </is>
      </c>
      <c r="B565" t="inlineStr">
        <is>
          <t>0.0716254602582295</t>
        </is>
      </c>
      <c r="C565" t="inlineStr">
        <is>
          <t>polo like kinase 5</t>
        </is>
      </c>
      <c r="D565" t="inlineStr">
        <is>
          <t xml:space="preserve">FUNCTION: Inactive serine/threonine-protein kinase that plays a role in cell cycle progression and neuronal differentiation. {ECO:0000269|PubMed:21245385}.; </t>
        </is>
      </c>
      <c r="E565" t="inlineStr">
        <is>
          <t>.</t>
        </is>
      </c>
      <c r="F565" t="inlineStr">
        <is>
          <t xml:space="preserve">TISSUE SPECIFICITY: Expressed in the brain, neurons and glial cells. Also expressed in highly differentiated cells, such as the serous acini in the parotid gland, distal and proximal tubules of the kidney, tubules of the seminal gland, Kupffer cells and some hepatocytes in the liver, and some cells in the germinal center of lymph nodes (at protein level). {ECO:0000269|PubMed:21245385}.; </t>
        </is>
      </c>
      <c r="G565" t="inlineStr">
        <is>
          <t>unclassifiable (Anatomical System);frontal lobe;testis;brain;</t>
        </is>
      </c>
      <c r="H565" t="inlineStr">
        <is>
          <t>globus pallidus;ciliary ganglion;atrioventricular node;</t>
        </is>
      </c>
      <c r="I565" t="inlineStr">
        <is>
          <t>.</t>
        </is>
      </c>
      <c r="J565" t="inlineStr">
        <is>
          <t>.</t>
        </is>
      </c>
      <c r="K565" t="inlineStr">
        <is>
          <t>.</t>
        </is>
      </c>
      <c r="L565" t="inlineStr">
        <is>
          <t>.</t>
        </is>
      </c>
      <c r="M565" t="inlineStr">
        <is>
          <t>.</t>
        </is>
      </c>
      <c r="N565" t="inlineStr">
        <is>
          <t>.</t>
        </is>
      </c>
      <c r="O565" t="inlineStr">
        <is>
          <t>.</t>
        </is>
      </c>
    </row>
    <row r="566">
      <c r="A566" t="inlineStr">
        <is>
          <t>PLPPR4</t>
        </is>
      </c>
      <c r="B566" t="inlineStr">
        <is>
          <t>.</t>
        </is>
      </c>
      <c r="C566" t="inlineStr">
        <is>
          <t>phospholipid phosphatase related 4</t>
        </is>
      </c>
      <c r="D566" t="inlineStr">
        <is>
          <t xml:space="preserve">FUNCTION: Hydrolyzes lysophosphatidic acid (LPA). Facilitates axonal outgrowth during development and regenerative sprouting. In the outgrowing axons acts as an ecto-enzyme and attenuates phospholipid-induced axon collapse in neurons and facilitates outgrowth in the hippocampus. {ECO:0000269|PubMed:12730698}.; </t>
        </is>
      </c>
      <c r="E566" t="inlineStr">
        <is>
          <t>.</t>
        </is>
      </c>
      <c r="F566" t="inlineStr">
        <is>
          <t xml:space="preserve">TISSUE SPECIFICITY: Specifically expressed in neurons. {ECO:0000269|PubMed:12730698}.; </t>
        </is>
      </c>
      <c r="G566" t="inlineStr">
        <is>
          <t>.</t>
        </is>
      </c>
      <c r="H566" t="inlineStr">
        <is>
          <t>.</t>
        </is>
      </c>
      <c r="I566" t="inlineStr">
        <is>
          <t>.</t>
        </is>
      </c>
      <c r="J566" t="inlineStr">
        <is>
          <t>.</t>
        </is>
      </c>
      <c r="K566" t="inlineStr">
        <is>
          <t>.</t>
        </is>
      </c>
      <c r="L566" t="inlineStr">
        <is>
          <t>.</t>
        </is>
      </c>
      <c r="M566" t="inlineStr">
        <is>
          <t>.</t>
        </is>
      </c>
      <c r="N566" t="inlineStr">
        <is>
          <t>.</t>
        </is>
      </c>
      <c r="O566" t="inlineStr">
        <is>
          <t>.</t>
        </is>
      </c>
    </row>
    <row r="567">
      <c r="A567" t="inlineStr">
        <is>
          <t>PLXNA4</t>
        </is>
      </c>
      <c r="B567" t="inlineStr">
        <is>
          <t>0.9999997021004</t>
        </is>
      </c>
      <c r="C567" t="inlineStr">
        <is>
          <t>plexin A4</t>
        </is>
      </c>
      <c r="D567" t="inlineStr">
        <is>
          <t xml:space="preserve">FUNCTION: Coreceptor for SEMA3A. Necessary for signaling by class 3 semaphorins and subsequent remodeling of the cytoskeleton. Plays a role in axon guidance in the developing nervous system. Class 3 semaphorins bind to a complex composed of a neuropilin and a plexin. The plexin modulates the affinity of the complex for specific semaphorins, and its cytoplasmic domain is required for the activation of down-stream signaling events in the cytoplasm (By similarity). {ECO:0000250}.; </t>
        </is>
      </c>
      <c r="E567" t="inlineStr">
        <is>
          <t>.</t>
        </is>
      </c>
      <c r="F567" t="inlineStr">
        <is>
          <t>.</t>
        </is>
      </c>
      <c r="G567" t="inlineStr">
        <is>
          <t>frontal lobe;ovary;heart;cerebral cortex;testis;brain;skeletal muscle;</t>
        </is>
      </c>
      <c r="H567" t="inlineStr">
        <is>
          <t>.</t>
        </is>
      </c>
      <c r="I567" t="inlineStr">
        <is>
          <t>.</t>
        </is>
      </c>
      <c r="J567" t="inlineStr">
        <is>
          <t>.</t>
        </is>
      </c>
      <c r="K567" t="inlineStr">
        <is>
          <t>.</t>
        </is>
      </c>
      <c r="L567" t="inlineStr">
        <is>
          <t>.</t>
        </is>
      </c>
      <c r="M567" t="inlineStr">
        <is>
          <t>.</t>
        </is>
      </c>
      <c r="N567" t="inlineStr">
        <is>
          <t>.</t>
        </is>
      </c>
      <c r="O567" t="inlineStr">
        <is>
          <t>.</t>
        </is>
      </c>
    </row>
    <row r="568">
      <c r="A568" t="inlineStr">
        <is>
          <t>PLXND1</t>
        </is>
      </c>
      <c r="B568" t="inlineStr">
        <is>
          <t>0.999989724505468</t>
        </is>
      </c>
      <c r="C568" t="inlineStr">
        <is>
          <t>plexin D1</t>
        </is>
      </c>
      <c r="D568" t="inlineStr">
        <is>
          <t xml:space="preserve">FUNCTION: Cell surface receptor for SEMA4A and for class 3 semaphorins, such as SEMA3A, SEMA3C and SEMA3E. Plays an important role in cell-cell signaling, and in regulating the migration of a wide spectrum of cell types. Regulates the migration of thymocytes in the medulla. Regulates endothelial cell migration. Plays an important role in ensuring the specificity of synapse formation. Required for normal development of the heart and vasculature (By similarity). Mediates anti-angiogenic signaling in response to SEMA3E. {ECO:0000250, ECO:0000269|PubMed:20385769}.; </t>
        </is>
      </c>
      <c r="E568" t="inlineStr">
        <is>
          <t>.</t>
        </is>
      </c>
      <c r="F568" t="inlineStr">
        <is>
          <t xml:space="preserve">TISSUE SPECIFICITY: Detected at low levels in heart, placenta, lung, skeletal muscle, kidney, thymus and liver. Detected at very low levels in brain, colon, spleen, small intestine and peripheral blood leukocytes. {ECO:0000269|PubMed:12412018}.; </t>
        </is>
      </c>
      <c r="G568" t="inlineStr">
        <is>
          <t>ovary;colon;parathyroid;fovea centralis;choroid;skin;retina;bone marrow;uterus;prostate;optic nerve;frontal lobe;cerebral cortex;endometrium;bone;thyroid;pituitary gland;testis;brain;unclassifiable (Anatomical System);lymph node;cartilage;heart;islets of Langerhans;hypothalamus;muscle;blood;lens;breast;pancreas;lung;epididymis;placenta;macula lutea;visual apparatus;liver;hypopharynx;alveolus;spleen;head and neck;kidney;mammary gland;stomach;peripheral nerve;thymus;</t>
        </is>
      </c>
      <c r="H568" t="inlineStr">
        <is>
          <t>placenta;</t>
        </is>
      </c>
      <c r="I568" t="inlineStr">
        <is>
          <t>.</t>
        </is>
      </c>
      <c r="J568" t="inlineStr">
        <is>
          <t>.</t>
        </is>
      </c>
      <c r="K568" t="inlineStr">
        <is>
          <t>.</t>
        </is>
      </c>
      <c r="L568" t="inlineStr">
        <is>
          <t>.</t>
        </is>
      </c>
      <c r="M568" t="inlineStr">
        <is>
          <t>.</t>
        </is>
      </c>
      <c r="N568" t="inlineStr">
        <is>
          <t>.</t>
        </is>
      </c>
      <c r="O568" t="inlineStr">
        <is>
          <t>.</t>
        </is>
      </c>
    </row>
    <row r="569">
      <c r="A569" t="inlineStr">
        <is>
          <t>PNMA2</t>
        </is>
      </c>
      <c r="B569" t="inlineStr">
        <is>
          <t>0.101076994690922</t>
        </is>
      </c>
      <c r="C569" t="inlineStr">
        <is>
          <t>paraneoplastic Ma antigen 2</t>
        </is>
      </c>
      <c r="D569" t="inlineStr">
        <is>
          <t>.</t>
        </is>
      </c>
      <c r="E569" t="inlineStr">
        <is>
          <t>.</t>
        </is>
      </c>
      <c r="F569" t="inlineStr">
        <is>
          <t xml:space="preserve">TISSUE SPECIFICITY: Brain-specific. In some cancer patients, specifically expressed by testicular tumor cells. {ECO:0000269|PubMed:10362822, ECO:0000269|PubMed:19366867}.; </t>
        </is>
      </c>
      <c r="G569" t="inlineStr">
        <is>
          <t>.</t>
        </is>
      </c>
      <c r="H569" t="inlineStr">
        <is>
          <t>.</t>
        </is>
      </c>
      <c r="I569" t="inlineStr">
        <is>
          <t>.</t>
        </is>
      </c>
      <c r="J569" t="inlineStr">
        <is>
          <t>.</t>
        </is>
      </c>
      <c r="K569" t="inlineStr">
        <is>
          <t>.</t>
        </is>
      </c>
      <c r="L569" t="inlineStr">
        <is>
          <t>.</t>
        </is>
      </c>
      <c r="M569" t="inlineStr">
        <is>
          <t>.</t>
        </is>
      </c>
      <c r="N569" t="inlineStr">
        <is>
          <t>.</t>
        </is>
      </c>
      <c r="O569" t="inlineStr">
        <is>
          <t>.</t>
        </is>
      </c>
    </row>
    <row r="570">
      <c r="A570" t="inlineStr">
        <is>
          <t>PPAN-P2RY11</t>
        </is>
      </c>
      <c r="B570" t="inlineStr">
        <is>
          <t>1.16703694174413e-08</t>
        </is>
      </c>
      <c r="C570" t="inlineStr">
        <is>
          <t>PPAN-P2RY11 readthrough</t>
        </is>
      </c>
      <c r="D570" t="inlineStr">
        <is>
          <t xml:space="preserve">FUNCTION: May have a role in cell growth.; </t>
        </is>
      </c>
      <c r="E570" t="inlineStr">
        <is>
          <t>.</t>
        </is>
      </c>
      <c r="F570" t="inlineStr">
        <is>
          <t xml:space="preserve">TISSUE SPECIFICITY: Widely expressed. {ECO:0000269|PubMed:10944437, ECO:0000269|PubMed:11278528}.; </t>
        </is>
      </c>
      <c r="G570" t="inlineStr">
        <is>
          <t>.</t>
        </is>
      </c>
      <c r="H570" t="inlineStr">
        <is>
          <t>.</t>
        </is>
      </c>
      <c r="I570" t="inlineStr">
        <is>
          <t>.</t>
        </is>
      </c>
      <c r="J570" t="inlineStr">
        <is>
          <t>.</t>
        </is>
      </c>
      <c r="K570" t="inlineStr">
        <is>
          <t>.</t>
        </is>
      </c>
      <c r="L570" t="inlineStr">
        <is>
          <t>.</t>
        </is>
      </c>
      <c r="M570" t="inlineStr">
        <is>
          <t>.</t>
        </is>
      </c>
      <c r="N570" t="inlineStr">
        <is>
          <t>.</t>
        </is>
      </c>
      <c r="O570" t="inlineStr">
        <is>
          <t>.</t>
        </is>
      </c>
    </row>
    <row r="571">
      <c r="A571" t="inlineStr">
        <is>
          <t>PPP1R16B</t>
        </is>
      </c>
      <c r="B571" t="inlineStr">
        <is>
          <t>0.998536940448375</t>
        </is>
      </c>
      <c r="C571" t="inlineStr">
        <is>
          <t>protein phosphatase 1 regulatory subunit 16B</t>
        </is>
      </c>
      <c r="D571" t="inlineStr">
        <is>
          <t xml:space="preserve">FUNCTION: Regulator of protein phosphatase 1 (PP1) that acts as a positive regulator of pulmonary endothelial cell (EC) barrier function. Involved in PKA-mediated moesin dephosphorylation which is important in EC barrier protection against thrombin stimulation. Promotes the interaction of PPP1CA with RPSA/LAMR1 and in turn facilitates the dephosphorylation of RPSA/LAMR1. Involved in the regulation of endothelial cell filopodia extension. May be a downstream target for TGF-beta1 signaling cascade in endothelial cells. {ECO:0000269|PubMed:16263087, ECO:0000269|PubMed:18586956}.; </t>
        </is>
      </c>
      <c r="E571" t="inlineStr">
        <is>
          <t>.</t>
        </is>
      </c>
      <c r="F571" t="inlineStr">
        <is>
          <t xml:space="preserve">TISSUE SPECIFICITY: Highly expressed in vascular endothelium, CNS, lung, spleen, kidney and testis.; </t>
        </is>
      </c>
      <c r="G571" t="inlineStr">
        <is>
          <t>lymphoreticular;ovary;salivary gland;intestine;colon;parathyroid;skin;bone marrow;uterus;prostate;optic nerve;frontal lobe;bone;thyroid;testis;germinal center;brain;bladder;tonsil;unclassifiable (Anatomical System);lymph node;cartilage;heart;islets of Langerhans;pharynx;blood;breast;pancreas;lung;nasopharynx;placenta;visual apparatus;hippocampus;liver;spleen;kidney;mammary gland;stomach;cerebellum;thymus;</t>
        </is>
      </c>
      <c r="H571" t="inlineStr">
        <is>
          <t>whole brain;amygdala;thalamus;medulla oblongata;occipital lobe;cerebellum peduncles;hypothalamus;spinal cord;temporal lobe;caudate nucleus;pons;subthalamic nucleus;prefrontal cortex;globus pallidus;kidney;parietal lobe;cingulate cortex;cerebellum;</t>
        </is>
      </c>
      <c r="I571" t="inlineStr">
        <is>
          <t>.</t>
        </is>
      </c>
      <c r="J571" t="inlineStr">
        <is>
          <t>.</t>
        </is>
      </c>
      <c r="K571" t="inlineStr">
        <is>
          <t>.</t>
        </is>
      </c>
      <c r="L571" t="inlineStr">
        <is>
          <t>.</t>
        </is>
      </c>
      <c r="M571" t="inlineStr">
        <is>
          <t>.</t>
        </is>
      </c>
      <c r="N571" t="inlineStr">
        <is>
          <t>.</t>
        </is>
      </c>
      <c r="O571" t="inlineStr">
        <is>
          <t>.</t>
        </is>
      </c>
    </row>
    <row r="572">
      <c r="A572" t="inlineStr">
        <is>
          <t>PPP1R3B</t>
        </is>
      </c>
      <c r="B572" t="inlineStr">
        <is>
          <t>0.0229191412335762</t>
        </is>
      </c>
      <c r="C572" t="inlineStr">
        <is>
          <t>protein phosphatase 1 regulatory subunit 3B</t>
        </is>
      </c>
      <c r="D572" t="inlineStr">
        <is>
          <t xml:space="preserve">FUNCTION: Acts as a glycogen-targeting subunit for phosphatase PP1. Facilitates interaction of the PP1 with enzymes of the glycogen metabolism and regulates its activity. Suppresses the rate at which PP1 dephosphorylates (inactivates) glycogen phosphorylase and enhances the rate at which it activates glycogen synthase and therefore limits glycogen breakdown. Its activity is inhibited by PYGL, resulting in inhibition of the glycogen synthase and glycogen phosphorylase phosphatase activities of PP1. Dramatically increases basal and insulin-stimulated glycogen synthesis upon overexpression in hepatocytes (By similarity). {ECO:0000250}.; </t>
        </is>
      </c>
      <c r="E572" t="inlineStr">
        <is>
          <t>.</t>
        </is>
      </c>
      <c r="F572" t="inlineStr">
        <is>
          <t xml:space="preserve">TISSUE SPECIFICITY: Highly expressed in the liver and, at lower levels, in skeletal muscle, including in vastus lateralis, gastrocnemius and soleus (at protein level). Highest mRNA levels are observed in skeletal muscle, and only moderate levels in liver and heart. Weak expression in placenta and lung. {ECO:0000269|PubMed:11872655, ECO:0000269|PubMed:17555403}.; </t>
        </is>
      </c>
      <c r="G572" t="inlineStr">
        <is>
          <t>unclassifiable (Anatomical System);tongue;colon;blood;skin;skeletal muscle;breast;whole body;lung;nasopharynx;placenta;visual apparatus;liver;testis;head and neck;cervix;germinal center;brain;bladder;</t>
        </is>
      </c>
      <c r="H572" t="inlineStr">
        <is>
          <t>subthalamic nucleus;superior cervical ganglion;ciliary ganglion;trigeminal ganglion;</t>
        </is>
      </c>
      <c r="I572" t="inlineStr">
        <is>
          <t>.</t>
        </is>
      </c>
      <c r="J572" t="inlineStr">
        <is>
          <t>.</t>
        </is>
      </c>
      <c r="K572" t="inlineStr">
        <is>
          <t>.</t>
        </is>
      </c>
      <c r="L572" t="inlineStr">
        <is>
          <t>.</t>
        </is>
      </c>
      <c r="M572" t="inlineStr">
        <is>
          <t>.</t>
        </is>
      </c>
      <c r="N572" t="inlineStr">
        <is>
          <t>.</t>
        </is>
      </c>
      <c r="O572" t="inlineStr">
        <is>
          <t>.</t>
        </is>
      </c>
    </row>
    <row r="573">
      <c r="A573" t="inlineStr">
        <is>
          <t>PPP2R5D</t>
        </is>
      </c>
      <c r="B573" t="inlineStr">
        <is>
          <t>0.997520078948917</t>
        </is>
      </c>
      <c r="C573" t="inlineStr">
        <is>
          <t>protein phosphatase 2 regulatory subunit B', delta</t>
        </is>
      </c>
      <c r="D573" t="inlineStr">
        <is>
          <t xml:space="preserve">FUNCTION: The B regulatory subunit might modulate substrate selectivity and catalytic activity, and also might direct the localization of the catalytic enzyme to a particular subcellular compartment.; </t>
        </is>
      </c>
      <c r="E573" t="inlineStr">
        <is>
          <t xml:space="preserve">DISEASE: Mental retardation, autosomal dominant 35 (MRD35) [MIM:616355]: A form of mental retardation, a disorder characterized by significantly below average general intellectual functioning associated with impairments in adaptive behavior and manifested during the developmental period. {ECO:0000269|PubMed:25533962, ECO:0000269|PubMed:26168268}. Note=The disease is caused by mutations affecting the gene represented in this entry.; </t>
        </is>
      </c>
      <c r="F573" t="inlineStr">
        <is>
          <t xml:space="preserve">TISSUE SPECIFICITY: Isoform Delta-2 is widely expressed. Isoform Delta-1 is highly expressed in brain.; </t>
        </is>
      </c>
      <c r="G573" t="inlineStr">
        <is>
          <t>lymphoreticular;medulla oblongata;umbilical cord;ovary;salivary gland;colon;parathyroid;fovea centralis;choroid;vein;skin;retina;bone marrow;uterus;prostate;optic nerve;whole body;frontal lobe;endometrium;bone;thyroid;testis;germinal center;brain;pineal gland;bladder;unclassifiable (Anatomical System);lymph node;cartilage;heart;cerebellum cortex;islets of Langerhans;hypothalamus;adrenal cortex;blood;lens;pancreas;lung;placenta;macula lutea;visual apparatus;liver;spleen;cervix;kidney;mammary gland;stomach;thymus;</t>
        </is>
      </c>
      <c r="H573" t="inlineStr">
        <is>
          <t>superior cervical ganglion;prefrontal cortex;pons;caudate nucleus;trigeminal ganglion;parietal lobe;skeletal muscle;cingulate cortex;cerebellum;</t>
        </is>
      </c>
      <c r="I573">
        <f>HYPERLINK("https://omim.org/entry/616355", "616355")</f>
        <v/>
      </c>
      <c r="J573" t="inlineStr">
        <is>
          <t>.</t>
        </is>
      </c>
      <c r="K573" t="inlineStr">
        <is>
          <t>.</t>
        </is>
      </c>
      <c r="L573" t="inlineStr">
        <is>
          <t>.</t>
        </is>
      </c>
      <c r="M573" t="inlineStr">
        <is>
          <t>.</t>
        </is>
      </c>
      <c r="N573" t="inlineStr">
        <is>
          <t>.</t>
        </is>
      </c>
      <c r="O573" t="inlineStr">
        <is>
          <t>.</t>
        </is>
      </c>
    </row>
    <row r="574">
      <c r="A574" t="inlineStr">
        <is>
          <t>PRDM15</t>
        </is>
      </c>
      <c r="B574" t="inlineStr">
        <is>
          <t>0.753744615224627</t>
        </is>
      </c>
      <c r="C574" t="inlineStr">
        <is>
          <t>PR domain 15</t>
        </is>
      </c>
      <c r="D574" t="inlineStr">
        <is>
          <t xml:space="preserve">FUNCTION: May be involved in transcriptional regulation.; </t>
        </is>
      </c>
      <c r="E574" t="inlineStr">
        <is>
          <t>.</t>
        </is>
      </c>
      <c r="F574" t="inlineStr">
        <is>
          <t xml:space="preserve">TISSUE SPECIFICITY: Detected in all tissues examined. {ECO:0000269|PubMed:15904895}.; </t>
        </is>
      </c>
      <c r="G574" t="inlineStr">
        <is>
          <t>unclassifiable (Anatomical System);lymph node;lung;ovary;islets of Langerhans;visual apparatus;testis;blood;germinal center;brain;stomach;</t>
        </is>
      </c>
      <c r="H574" t="inlineStr">
        <is>
          <t>superior cervical ganglion;testis - seminiferous tubule;adrenal cortex;globus pallidus;ciliary ganglion;trigeminal ganglion;skeletal muscle;skin;</t>
        </is>
      </c>
      <c r="I574" t="inlineStr">
        <is>
          <t>.</t>
        </is>
      </c>
      <c r="J574" t="inlineStr">
        <is>
          <t>.</t>
        </is>
      </c>
      <c r="K574" t="inlineStr">
        <is>
          <t>.</t>
        </is>
      </c>
      <c r="L574" t="inlineStr">
        <is>
          <t>.</t>
        </is>
      </c>
      <c r="M574" t="inlineStr">
        <is>
          <t>.</t>
        </is>
      </c>
      <c r="N574" t="inlineStr">
        <is>
          <t>.</t>
        </is>
      </c>
      <c r="O574" t="inlineStr">
        <is>
          <t>.</t>
        </is>
      </c>
    </row>
    <row r="575">
      <c r="A575" t="inlineStr">
        <is>
          <t>PRDM16</t>
        </is>
      </c>
      <c r="B575" t="inlineStr">
        <is>
          <t>0.999843194473124</t>
        </is>
      </c>
      <c r="C575" t="inlineStr">
        <is>
          <t>PR domain 16</t>
        </is>
      </c>
      <c r="D575" t="inlineStr">
        <is>
          <t xml:space="preserve">FUNCTION: Binds DNA and functions as a transcriptional regulator. Functions in the differentiation of brown adipose tissue (BAT) which is specialized in dissipating chemical energy in the form of heat in response to cold or excess feeding while white adipose tissue (WAT) is specialized in the storage of excess energy and the control of systemic metabolism. Together with CEBPB, regulates the differentiation of myoblastic precursors into brown adipose cells. Functions also as a repressor of TGF-beta signaling. Isoform 4 may regulate granulocytes differentiation. {ECO:0000269|PubMed:12816872, ECO:0000269|PubMed:14656887, ECO:0000269|PubMed:19049980}.; </t>
        </is>
      </c>
      <c r="E575" t="inlineStr">
        <is>
          <t xml:space="preserve">DISEASE: Cardiomyopathy, dilated 1LL (CMD1LL) [MIM:615373]: A disorder characterized by ventricular dilation and impaired systolic function, resulting in congestive heart failure and arrhythmia. Patients are at risk of premature death. {ECO:0000269|PubMed:23768516}. Note=The disease is caused by mutations affecting the gene represented in this entry.; DISEASE: Note=A chromosomal aberration involving PRDM16 is found in myelodysplastic syndrome (MDS) and acute myeloid leukemia (AML). Reciprocal translocation t(1;3)(p36;q21). Isoform 4 is specifically expressed in adult T-cell leukemia. {ECO:0000269|PubMed:11050005, ECO:0000269|PubMed:12557231}.; </t>
        </is>
      </c>
      <c r="F575" t="inlineStr">
        <is>
          <t xml:space="preserve">TISSUE SPECIFICITY: Expressed in uterus and kidney. Expressed in both cardiomyocytes and interstitial cells. {ECO:0000269|PubMed:11050005, ECO:0000269|PubMed:12816872, ECO:0000269|PubMed:23768516}.; </t>
        </is>
      </c>
      <c r="G575" t="inlineStr">
        <is>
          <t>unclassifiable (Anatomical System);lymph node;lung;whole body;liver;testis;colon;brain;</t>
        </is>
      </c>
      <c r="H575" t="inlineStr">
        <is>
          <t>trigeminal ganglion;</t>
        </is>
      </c>
      <c r="I575">
        <f>HYPERLINK("https://omim.org/entry/615373", "615373")</f>
        <v/>
      </c>
      <c r="J575" t="inlineStr">
        <is>
          <t>.</t>
        </is>
      </c>
      <c r="K575" t="inlineStr">
        <is>
          <t>.</t>
        </is>
      </c>
      <c r="L575" t="inlineStr">
        <is>
          <t>.</t>
        </is>
      </c>
      <c r="M575" t="inlineStr">
        <is>
          <t>.</t>
        </is>
      </c>
      <c r="N575" t="inlineStr">
        <is>
          <t>.</t>
        </is>
      </c>
      <c r="O575" t="inlineStr">
        <is>
          <t>.</t>
        </is>
      </c>
    </row>
    <row r="576">
      <c r="A576" t="inlineStr">
        <is>
          <t>PRKAR1B</t>
        </is>
      </c>
      <c r="B576" t="inlineStr">
        <is>
          <t>0.0247577995630588</t>
        </is>
      </c>
      <c r="C576" t="inlineStr">
        <is>
          <t>protein kinase cAMP-dependent type I regulatory subunit beta</t>
        </is>
      </c>
      <c r="D576" t="inlineStr">
        <is>
          <t xml:space="preserve">FUNCTION: Regulatory subunit of the cAMP-dependent protein kinases involved in cAMP signaling in cells. {ECO:0000269|PubMed:20819953}.; </t>
        </is>
      </c>
      <c r="E576" t="inlineStr">
        <is>
          <t>.</t>
        </is>
      </c>
      <c r="F576" t="inlineStr">
        <is>
          <t xml:space="preserve">TISSUE SPECIFICITY: Four types of regulatory chains are found: I- alpha, I-beta, II-alpha, and II-beta. Their expression varies among tissues and is in some cases constitutive and in others inducible.; </t>
        </is>
      </c>
      <c r="G576" t="inlineStr">
        <is>
          <t>unclassifiable (Anatomical System);</t>
        </is>
      </c>
      <c r="H576" t="inlineStr">
        <is>
          <t>whole brain;dorsal root ganglion;amygdala;occipital lobe;superior cervical ganglion;thalamus;medulla oblongata;cerebellum peduncles;temporal lobe;caudate nucleus;pons;subthalamic nucleus;fetal brain;prefrontal cortex;globus pallidus;trigeminal ganglion;parietal lobe;cingulate cortex;cerebellum;</t>
        </is>
      </c>
      <c r="I576" t="inlineStr">
        <is>
          <t>.</t>
        </is>
      </c>
      <c r="J576" t="inlineStr">
        <is>
          <t>.</t>
        </is>
      </c>
      <c r="K576" t="inlineStr">
        <is>
          <t>.</t>
        </is>
      </c>
      <c r="L576" t="inlineStr">
        <is>
          <t>.</t>
        </is>
      </c>
      <c r="M576" t="inlineStr">
        <is>
          <t>.</t>
        </is>
      </c>
      <c r="N576" t="inlineStr">
        <is>
          <t>.</t>
        </is>
      </c>
      <c r="O576" t="inlineStr">
        <is>
          <t>.</t>
        </is>
      </c>
    </row>
    <row r="577">
      <c r="A577" t="inlineStr">
        <is>
          <t>PRKCB</t>
        </is>
      </c>
      <c r="B577" t="inlineStr">
        <is>
          <t>0.999908070013039</t>
        </is>
      </c>
      <c r="C577" t="inlineStr">
        <is>
          <t>protein kinase C beta</t>
        </is>
      </c>
      <c r="D577" t="inlineStr">
        <is>
          <t xml:space="preserve">FUNCTION: Calcium-activated, phospholipid- and diacylglycerol (DAG)-dependent serine/threonine-protein kinase involved in various cellular processes such as regulation of the B-cell receptor (BCR) signalosome, oxidative stress-induced apoptosis, androgen receptor-dependent transcription regulation, insulin signaling and endothelial cells proliferation. Plays a key role in B-cell activation by regulating BCR-induced NF-kappa-B activation. Mediates the activation of the canonical NF-kappa-B pathway (NFKB1) by direct phosphorylation of CARD11/CARMA1 at 'Ser-559', 'Ser-644' and 'Ser-652'. Phosphorylation induces CARD11/CARMA1 association with lipid rafts and recruitment of the BCL10-MALT1 complex as well as MAP3K7/TAK1, which then activates IKK complex, resulting in nuclear translocation and activation of NFKB1. Plays a direct role in the negative feedback regulation of the BCR signaling, by down-modulating BTK function via direct phosphorylation of BTK at 'Ser-180', which results in the alteration of BTK plasma membrane localization and in turn inhibition of BTK activity. Involved in apoptosis following oxidative damage: in case of oxidative conditions, specifically phosphorylates 'Ser-36' of isoform p66Shc of SHC1, leading to mitochondrial accumulation of p66Shc, where p66Shc acts as a reactive oxygen species producer. Acts as a coactivator of androgen receptor (ANDR)-dependent transcription, by being recruited to ANDR target genes and specifically mediating phosphorylation of 'Thr-6' of histone H3 (H3T6ph), a specific tag for epigenetic transcriptional activation that prevents demethylation of histone H3 'Lys-4' (H3K4me) by LSD1/KDM1A. In insulin signaling, may function downstream of IRS1 in muscle cells and mediate insulin-dependent DNA synthesis through the RAF1- MAPK/ERK signaling cascade. May participate in the regulation of glucose transport in adipocytes by negatively modulating the insulin-stimulated translocation of the glucose transporter SLC2A4/GLUT4. Under high glucose in pancreatic beta-cells, is probably involved in the inhibition of the insulin gene transcription, via regulation of MYC expression. In endothelial cells, activation of PRKCB induces increased phosphorylation of RB1, increased VEGFA-induced cell proliferation, and inhibits PI3K/AKT-dependent nitric oxide synthase (NOS3/eNOS) regulation by insulin, which causes endothelial dysfunction. Also involved in triglyceride homeostasis (By similarity). Phosphorylates ATF2 which promotes cooperation between ATF2 and JUN, activating transcription. {ECO:0000250, ECO:0000269|PubMed:11598012, ECO:0000269|PubMed:19176525, ECO:0000269|PubMed:20228790}.; </t>
        </is>
      </c>
      <c r="E577" t="inlineStr">
        <is>
          <t>.</t>
        </is>
      </c>
      <c r="F577" t="inlineStr">
        <is>
          <t>.</t>
        </is>
      </c>
      <c r="G577" t="inlineStr">
        <is>
          <t>colon;fovea centralis;choroid;skin;bone marrow;retina;uterus;optic nerve;frontal lobe;bone;testis;germinal center;brain;tonsil;unclassifiable (Anatomical System);lymph node;heart;blood;lens;breast;lung;placenta;macula lutea;hippocampus;visual apparatus;liver;spleen;kidney;</t>
        </is>
      </c>
      <c r="H577" t="inlineStr">
        <is>
          <t>whole brain;amygdala;occipital lobe;thalamus;medulla oblongata;superior cervical ganglion;temporal lobe;white blood cells;caudate nucleus;pons;subthalamic nucleus;fetal brain;prefrontal cortex;globus pallidus;ciliary ganglion;trigeminal ganglion;parietal lobe;cingulate cortex;</t>
        </is>
      </c>
      <c r="I577" t="inlineStr">
        <is>
          <t>.</t>
        </is>
      </c>
      <c r="J577" t="inlineStr">
        <is>
          <t>.</t>
        </is>
      </c>
      <c r="K577" t="inlineStr">
        <is>
          <t>.</t>
        </is>
      </c>
      <c r="L577" t="inlineStr">
        <is>
          <t>.</t>
        </is>
      </c>
      <c r="M577" t="inlineStr">
        <is>
          <t>.</t>
        </is>
      </c>
      <c r="N577" t="inlineStr">
        <is>
          <t>.</t>
        </is>
      </c>
      <c r="O577" t="inlineStr">
        <is>
          <t>.</t>
        </is>
      </c>
    </row>
    <row r="578">
      <c r="A578" t="inlineStr">
        <is>
          <t>PRKCG</t>
        </is>
      </c>
      <c r="B578" t="inlineStr">
        <is>
          <t>0.999823679633206</t>
        </is>
      </c>
      <c r="C578" t="inlineStr">
        <is>
          <t>protein kinase C gamma</t>
        </is>
      </c>
      <c r="D578" t="inlineStr">
        <is>
          <t xml:space="preserve">FUNCTION: Calcium-activated, phospholipid- and diacylglycerol (DAG)-dependent serine/threonine-protein kinase that plays diverse roles in neuronal cells and eye tissues, such as regulation of the neuronal receptors GRIA4/GLUR4 and GRIN1/NMDAR1, modulation of receptors and neuronal functions related to sensitivity to opiates, pain and alcohol, mediation of synaptic function and cell survival after ischemia, and inhibition of gap junction activity after oxidative stress. Binds and phosphorylates GRIA4/GLUR4 glutamate receptor and regulates its function by increasing plasma membrane-associated GRIA4 expression. In primary cerebellar neurons treated with the agonist 3,5-dihyidroxyphenylglycine, functions downstream of the metabotropic glutamate receptor GRM5/MGLUR5 and phosphorylates GRIN1/NMDAR1 receptor which plays a key role in synaptic plasticity, synaptogenesis, excitotoxicity, memory acquisition and learning. May be involved in the regulation of hippocampal long-term potentiation (LTP), but may be not necessary for the process of synaptic plasticity. May be involved in desensitization of mu-type opioid receptor-mediated G-protein activation in the spinal cord, and may be critical for the development and/or maintenance of morphine-induced reinforcing effects in the limbic forebrain. May modulate the functionality of mu-type-opioid receptors by participating in a signaling pathway which leads to the phosphorylation and degradation of opioid receptors. May also contributes to chronic morphine-induced changes in nociceptive processing. Plays a role in neuropathic pain mechanisms and contributes to the maintenance of the allodynia pain produced by peripheral inflammation. Plays an important role in initial sensitivity and tolerance to ethanol, by mediating the behavioral effects of ethanol as well as the effects of this drug on the GABA(A) receptors. During and after cerebral ischemia modulate neurotransmission and cell survival in synaptic membranes, and is involved in insulin-induced inhibition of necrosis, an important mechanism for minimizing ischemic injury. Required for the elimination of multiple climbing fibers during innervation of Purkinje cells in developing cerebellum. Is activated in lens epithelial cells upon hydrogen peroxide treatment, and phosphorylates connexin-43 (GJA1/CX43), resulting in disassembly of GJA1 gap junction plaques and inhibition of gap junction activity which could provide a protective effect against oxidative stress (By similarity). Phosphorylates p53/TP53 and promotes p53/TP53-dependent apoptosis in response to DNA damage. Involved in the phase resetting of the cerebral cortex circadian clock during temporally restricted feeding. Stabilizes the core clock component ARNTL/BMAL1 by interfering with its ubiquitination, thus suppressing its degradation, resulting in phase resetting of the cerebral cortex clock (By similarity). {ECO:0000250|UniProtKB:P63318, ECO:0000250|UniProtKB:P63319, ECO:0000269|PubMed:16377624}.; </t>
        </is>
      </c>
      <c r="E578" t="inlineStr">
        <is>
          <t xml:space="preserve">DISEASE: Spinocerebellar ataxia 14 (SCA14) [MIM:605361]: Spinocerebellar ataxia is a clinically and genetically heterogeneous group of cerebellar disorders. Patients show progressive incoordination of gait and often poor coordination of hands, speech and eye movements, due to degeneration of the cerebellum with variable involvement of the brainstem and spinal cord. SCA14 is an autosomal dominant cerebellar ataxia (ADCA). {ECO:0000269|PubMed:12644968}. Note=The disease is caused by mutations affecting the gene represented in this entry.; </t>
        </is>
      </c>
      <c r="F578" t="inlineStr">
        <is>
          <t xml:space="preserve">TISSUE SPECIFICITY: Expressed in Purkinje cells of the cerebellar cortex. {ECO:0000269|PubMed:12644968}.; </t>
        </is>
      </c>
      <c r="G578" t="inlineStr">
        <is>
          <t>amygdala;choroid;fovea centralis;lens;retina;optic nerve;lung;hippocampus;macula lutea;testis;kidney;brain;thymus;</t>
        </is>
      </c>
      <c r="H578" t="inlineStr">
        <is>
          <t>amygdala;subthalamic nucleus;superior cervical ganglion;ciliary ganglion;atrioventricular node;pons;skeletal muscle;</t>
        </is>
      </c>
      <c r="I578">
        <f>HYPERLINK("https://omim.org/entry/605361", "605361")</f>
        <v/>
      </c>
      <c r="J578" t="inlineStr">
        <is>
          <t>.</t>
        </is>
      </c>
      <c r="K578" t="inlineStr">
        <is>
          <t>.</t>
        </is>
      </c>
      <c r="L578" t="inlineStr">
        <is>
          <t>.</t>
        </is>
      </c>
      <c r="M578" t="inlineStr">
        <is>
          <t>.</t>
        </is>
      </c>
      <c r="N578" t="inlineStr">
        <is>
          <t>.</t>
        </is>
      </c>
      <c r="O578" t="inlineStr">
        <is>
          <t>.</t>
        </is>
      </c>
    </row>
    <row r="579">
      <c r="A579" t="inlineStr">
        <is>
          <t>PRRT3</t>
        </is>
      </c>
      <c r="B579" t="inlineStr">
        <is>
          <t>0.658018522445195</t>
        </is>
      </c>
      <c r="C579" t="inlineStr">
        <is>
          <t>proline rich transmembrane protein 3</t>
        </is>
      </c>
      <c r="D579" t="inlineStr">
        <is>
          <t>.</t>
        </is>
      </c>
      <c r="E579" t="inlineStr">
        <is>
          <t>.</t>
        </is>
      </c>
      <c r="F579" t="inlineStr">
        <is>
          <t>.</t>
        </is>
      </c>
      <c r="G579" t="inlineStr">
        <is>
          <t>unclassifiable (Anatomical System);heart;ovary;islets of Langerhans;hypothalamus;skin;bone marrow;uterus;lung;liver;pituitary gland;spleen;germinal center;kidney;brain;</t>
        </is>
      </c>
      <c r="H579" t="inlineStr">
        <is>
          <t>.</t>
        </is>
      </c>
      <c r="I579" t="inlineStr">
        <is>
          <t>.</t>
        </is>
      </c>
      <c r="J579" t="inlineStr">
        <is>
          <t>.</t>
        </is>
      </c>
      <c r="K579" t="inlineStr">
        <is>
          <t>.</t>
        </is>
      </c>
      <c r="L579" t="inlineStr">
        <is>
          <t>.</t>
        </is>
      </c>
      <c r="M579" t="inlineStr">
        <is>
          <t>.</t>
        </is>
      </c>
      <c r="N579" t="inlineStr">
        <is>
          <t>.</t>
        </is>
      </c>
      <c r="O579" t="inlineStr">
        <is>
          <t>.</t>
        </is>
      </c>
    </row>
    <row r="580">
      <c r="A580" t="inlineStr">
        <is>
          <t>PRSS1</t>
        </is>
      </c>
      <c r="B580" t="inlineStr">
        <is>
          <t>0.00122029540045484</t>
        </is>
      </c>
      <c r="C580" t="inlineStr">
        <is>
          <t>protease, serine 1</t>
        </is>
      </c>
      <c r="D580" t="inlineStr">
        <is>
          <t xml:space="preserve">FUNCTION: Has activity against the synthetic substrates Boc-Phe- Ser-Arg-Mec, Boc-Leu-Thr-Arg-Mec, Boc-Gln-Ala-Arg-Mec and Boc-Val- Pro-Arg-Mec. The single-chain form is more active than the two- chain form against all of these substrates. {ECO:0000269|PubMed:7945238}.; </t>
        </is>
      </c>
      <c r="E580" t="inlineStr">
        <is>
          <t xml:space="preserve">DISEASE: Pancreatitis, hereditary (PCTT) [MIM:167800]: A disease characterized by pancreas inflammation, permanent destruction of the pancreatic parenchyma, maldigestion, and severe abdominal pain attacks. {ECO:0000269|PubMed:10204851, ECO:0000269|PubMed:10381903, ECO:0000269|PubMed:10930381, ECO:0000269|PubMed:11073545, ECO:0000269|PubMed:11788572, ECO:0000269|PubMed:11866271, ECO:0000269|PubMed:14695529, ECO:0000269|PubMed:15776435, ECO:0000269|PubMed:8841182, ECO:0000269|PubMed:9322498, ECO:0000269|PubMed:9633818}. Note=Disease susceptibility is associated with variations affecting the gene represented in this entry.; </t>
        </is>
      </c>
      <c r="F580" t="inlineStr">
        <is>
          <t>.</t>
        </is>
      </c>
      <c r="G580" t="inlineStr">
        <is>
          <t>pancreas;islets of Langerhans;liver;colon;spleen;</t>
        </is>
      </c>
      <c r="H580" t="inlineStr">
        <is>
          <t>superior cervical ganglion;pancreas;beta cell islets;ciliary ganglion;bone marrow;</t>
        </is>
      </c>
      <c r="I580">
        <f>HYPERLINK("https://omim.org/entry/167800", "167800")</f>
        <v/>
      </c>
      <c r="J580" t="inlineStr">
        <is>
          <t>.</t>
        </is>
      </c>
      <c r="K580" t="inlineStr">
        <is>
          <t>.</t>
        </is>
      </c>
      <c r="L580" t="inlineStr">
        <is>
          <t>.</t>
        </is>
      </c>
      <c r="M580" t="inlineStr">
        <is>
          <t>.</t>
        </is>
      </c>
      <c r="N580" t="inlineStr">
        <is>
          <t>.</t>
        </is>
      </c>
      <c r="O580" t="inlineStr">
        <is>
          <t>.</t>
        </is>
      </c>
    </row>
    <row r="581">
      <c r="A581" t="inlineStr">
        <is>
          <t>PRSS3</t>
        </is>
      </c>
      <c r="B581" t="inlineStr">
        <is>
          <t>4.79797626819515e-10</t>
        </is>
      </c>
      <c r="C581" t="inlineStr">
        <is>
          <t>protease, serine 3</t>
        </is>
      </c>
      <c r="D581" t="inlineStr">
        <is>
          <t xml:space="preserve">FUNCTION: Digestive protease specialized for the degradation of trypsin inhibitors. In the ileum, may be involved in defensin processing, including DEFA5. {ECO:0000269|PubMed:12021776, ECO:0000269|PubMed:14507909}.; </t>
        </is>
      </c>
      <c r="E581" t="inlineStr">
        <is>
          <t>.</t>
        </is>
      </c>
      <c r="F581" t="inlineStr">
        <is>
          <t xml:space="preserve">TISSUE SPECIFICITY: Expressed in pancreas and brain. Also expressed in Paneth cells, at the base of small intestinal crypts. {ECO:0000269|PubMed:12021776}.; </t>
        </is>
      </c>
      <c r="G581" t="inlineStr">
        <is>
          <t>unclassifiable (Anatomical System);ovary;heart;islets of Langerhans;salivary gland;intestine;colon;pharynx;blood;uterus;prostate;pancreas;lung;bone;visual apparatus;liver;testis;spleen;kidney;brain;bladder;stomach;</t>
        </is>
      </c>
      <c r="H581" t="inlineStr">
        <is>
          <t>whole brain;pancreas;subthalamic nucleus;superior cervical ganglion;tongue;cerebellum peduncles;beta cell islets;trigeminal ganglion;skeletal muscle;cerebellum;</t>
        </is>
      </c>
      <c r="I581" t="inlineStr">
        <is>
          <t>.</t>
        </is>
      </c>
      <c r="J581" t="inlineStr">
        <is>
          <t>.</t>
        </is>
      </c>
      <c r="K581" t="inlineStr">
        <is>
          <t>.</t>
        </is>
      </c>
      <c r="L581" t="inlineStr">
        <is>
          <t>.</t>
        </is>
      </c>
      <c r="M581" t="inlineStr">
        <is>
          <t>.</t>
        </is>
      </c>
      <c r="N581" t="inlineStr">
        <is>
          <t>.</t>
        </is>
      </c>
      <c r="O581" t="inlineStr">
        <is>
          <t>.</t>
        </is>
      </c>
    </row>
    <row r="582">
      <c r="A582" t="inlineStr">
        <is>
          <t>PRSS53</t>
        </is>
      </c>
      <c r="B582" t="inlineStr">
        <is>
          <t>7.27161895996479e-11</t>
        </is>
      </c>
      <c r="C582" t="inlineStr">
        <is>
          <t>protease, serine 53</t>
        </is>
      </c>
      <c r="D582" t="inlineStr">
        <is>
          <t xml:space="preserve">FUNCTION: In vitro can degrade the fibrinogen alpha chain of as well as pro-urokinase-type plasminogen activator. {ECO:0000269|PubMed:16566820}.; </t>
        </is>
      </c>
      <c r="E582" t="inlineStr">
        <is>
          <t>.</t>
        </is>
      </c>
      <c r="F582" t="inlineStr">
        <is>
          <t xml:space="preserve">TISSUE SPECIFICITY: Predominantly detected in testis, liver, heart and ovary, as well as in several tumor cell lines. {ECO:0000269|PubMed:16566820}.; </t>
        </is>
      </c>
      <c r="G582" t="inlineStr">
        <is>
          <t>unclassifiable (Anatomical System);heart;ovary;colon;parathyroid;fovea centralis;choroid;lens;skin;skeletal muscle;retina;bone marrow;uterus;pancreas;prostate;optic nerve;whole body;lung;bone;placenta;macula lutea;testis;kidney;brain;mammary gland;</t>
        </is>
      </c>
      <c r="H582" t="inlineStr">
        <is>
          <t>superior cervical ganglion;skeletal muscle;</t>
        </is>
      </c>
      <c r="I582" t="inlineStr">
        <is>
          <t>.</t>
        </is>
      </c>
      <c r="J582" t="inlineStr">
        <is>
          <t>.</t>
        </is>
      </c>
      <c r="K582" t="inlineStr">
        <is>
          <t>.</t>
        </is>
      </c>
      <c r="L582" t="inlineStr">
        <is>
          <t>.</t>
        </is>
      </c>
      <c r="M582" t="inlineStr">
        <is>
          <t>.</t>
        </is>
      </c>
      <c r="N582" t="inlineStr">
        <is>
          <t>.</t>
        </is>
      </c>
      <c r="O582" t="inlineStr">
        <is>
          <t>.</t>
        </is>
      </c>
    </row>
    <row r="583">
      <c r="A583" t="inlineStr">
        <is>
          <t>PRSS55</t>
        </is>
      </c>
      <c r="B583" t="inlineStr">
        <is>
          <t>1.2335690846368e-08</t>
        </is>
      </c>
      <c r="C583" t="inlineStr">
        <is>
          <t>protease, serine 55</t>
        </is>
      </c>
      <c r="D583" t="inlineStr">
        <is>
          <t xml:space="preserve">FUNCTION: Probable serine protease. {ECO:0000250}.; </t>
        </is>
      </c>
      <c r="E583" t="inlineStr">
        <is>
          <t>.</t>
        </is>
      </c>
      <c r="F583" t="inlineStr">
        <is>
          <t xml:space="preserve">TISSUE SPECIFICITY: Only detected in testis. Expressed in spermatogonia, spermatocytes, spermatids, Leydig and Sertoli cells. Expressed in prostate cancer and ovarian cancer (at protein level). {ECO:0000269|PubMed:18844450, ECO:0000269|PubMed:23436708}.; </t>
        </is>
      </c>
      <c r="G583" t="inlineStr">
        <is>
          <t>unclassifiable (Anatomical System);medulla oblongata;testis;</t>
        </is>
      </c>
      <c r="H583" t="inlineStr">
        <is>
          <t>testis - seminiferous tubule;testis;</t>
        </is>
      </c>
      <c r="I583" t="inlineStr">
        <is>
          <t>.</t>
        </is>
      </c>
      <c r="J583" t="inlineStr">
        <is>
          <t>.</t>
        </is>
      </c>
      <c r="K583" t="inlineStr">
        <is>
          <t>.</t>
        </is>
      </c>
      <c r="L583" t="inlineStr">
        <is>
          <t>.</t>
        </is>
      </c>
      <c r="M583" t="inlineStr">
        <is>
          <t>.</t>
        </is>
      </c>
      <c r="N583" t="inlineStr">
        <is>
          <t>.</t>
        </is>
      </c>
      <c r="O583" t="inlineStr">
        <is>
          <t>.</t>
        </is>
      </c>
    </row>
    <row r="584">
      <c r="A584" t="inlineStr">
        <is>
          <t>PSMB2</t>
        </is>
      </c>
      <c r="B584" t="inlineStr">
        <is>
          <t>0.972351383142869</t>
        </is>
      </c>
      <c r="C584" t="inlineStr">
        <is>
          <t>proteasome subunit beta 2</t>
        </is>
      </c>
      <c r="D584" t="inlineStr">
        <is>
          <t xml:space="preserve">FUNCTION: The proteasome is a multicatalytic proteinase complex which is characterized by its ability to cleave peptides with Arg, Phe, Tyr, Leu, and Glu adjacent to the leaving group at neutral or slightly basic pH. The proteasome has an ATP-dependent proteolytic activity. This subunit has a trypsin-like activity.; </t>
        </is>
      </c>
      <c r="E584" t="inlineStr">
        <is>
          <t>.</t>
        </is>
      </c>
      <c r="F584" t="inlineStr">
        <is>
          <t>.</t>
        </is>
      </c>
      <c r="G584" t="inlineStr">
        <is>
          <t>.</t>
        </is>
      </c>
      <c r="H584" t="inlineStr">
        <is>
          <t>.</t>
        </is>
      </c>
      <c r="I584" t="inlineStr">
        <is>
          <t>.</t>
        </is>
      </c>
      <c r="J584" t="inlineStr">
        <is>
          <t>.</t>
        </is>
      </c>
      <c r="K584" t="inlineStr">
        <is>
          <t>.</t>
        </is>
      </c>
      <c r="L584" t="inlineStr">
        <is>
          <t>.</t>
        </is>
      </c>
      <c r="M584" t="inlineStr">
        <is>
          <t>.</t>
        </is>
      </c>
      <c r="N584" t="inlineStr">
        <is>
          <t>.</t>
        </is>
      </c>
      <c r="O584" t="inlineStr">
        <is>
          <t>.</t>
        </is>
      </c>
    </row>
    <row r="585">
      <c r="A585" t="inlineStr">
        <is>
          <t>PSMC6</t>
        </is>
      </c>
      <c r="B585" t="inlineStr">
        <is>
          <t>0.995511977073858</t>
        </is>
      </c>
      <c r="C585" t="inlineStr">
        <is>
          <t>proteasome 26S subunit, ATPase 6</t>
        </is>
      </c>
      <c r="D585" t="inlineStr">
        <is>
          <t xml:space="preserve">FUNCTION: The 26S protease is involved in the ATP-dependent degradation of ubiquitinated proteins. The regulatory (or ATPase) complex confers ATP dependency and substrate specificity to the 26S complex.; </t>
        </is>
      </c>
      <c r="E585" t="inlineStr">
        <is>
          <t>.</t>
        </is>
      </c>
      <c r="F585" t="inlineStr">
        <is>
          <t>.</t>
        </is>
      </c>
      <c r="G585" t="inlineStr">
        <is>
          <t>.</t>
        </is>
      </c>
      <c r="H585" t="inlineStr">
        <is>
          <t>.</t>
        </is>
      </c>
      <c r="I585" t="inlineStr">
        <is>
          <t>.</t>
        </is>
      </c>
      <c r="J585" t="inlineStr">
        <is>
          <t>.</t>
        </is>
      </c>
      <c r="K585" t="inlineStr">
        <is>
          <t>.</t>
        </is>
      </c>
      <c r="L585" t="inlineStr">
        <is>
          <t>.</t>
        </is>
      </c>
      <c r="M585" t="inlineStr">
        <is>
          <t>.</t>
        </is>
      </c>
      <c r="N585" t="inlineStr">
        <is>
          <t>.</t>
        </is>
      </c>
      <c r="O585" t="inlineStr">
        <is>
          <t>.</t>
        </is>
      </c>
    </row>
    <row r="586">
      <c r="A586" t="inlineStr">
        <is>
          <t>PSMD1</t>
        </is>
      </c>
      <c r="B586" t="inlineStr">
        <is>
          <t>0.999999202638138</t>
        </is>
      </c>
      <c r="C586" t="inlineStr">
        <is>
          <t>proteasome 26S subunit, non-ATPase 1</t>
        </is>
      </c>
      <c r="D586" t="inlineStr">
        <is>
          <t xml:space="preserve">FUNCTION: Acts as a regulatory subunit of the 26 proteasome which is involved in the ATP-dependent degradation of ubiquitinated proteins.; </t>
        </is>
      </c>
      <c r="E586" t="inlineStr">
        <is>
          <t>.</t>
        </is>
      </c>
      <c r="F586" t="inlineStr">
        <is>
          <t>.</t>
        </is>
      </c>
      <c r="G586" t="inlineStr">
        <is>
          <t>ovary;salivary gland;colon;fovea centralis;choroid;skin;retina;bone marrow;uterus;prostate;optic nerve;frontal lobe;endometrium;larynx;bone;pituitary gland;testis;dura mater;brain;bladder;tonsil;unclassifiable (Anatomical System);meninges;trophoblast;cartilage;heart;tongue;islets of Langerhans;muscle;pharynx;blood;lens;skeletal muscle;breast;bile duct;pancreas;pia mater;lung;mesenchyma;nasopharynx;placenta;macula lutea;visual apparatus;liver;cervix;spleen;head and neck;kidney;mammary gland;stomach;</t>
        </is>
      </c>
      <c r="H586" t="inlineStr">
        <is>
          <t>superior cervical ganglion;subthalamic nucleus;globus pallidus;caudate nucleus;pons;trigeminal ganglion;parietal lobe;skeletal muscle;</t>
        </is>
      </c>
      <c r="I586" t="inlineStr">
        <is>
          <t>.</t>
        </is>
      </c>
      <c r="J586" t="inlineStr">
        <is>
          <t>.</t>
        </is>
      </c>
      <c r="K586" t="inlineStr">
        <is>
          <t>.</t>
        </is>
      </c>
      <c r="L586" t="inlineStr">
        <is>
          <t>.</t>
        </is>
      </c>
      <c r="M586" t="inlineStr">
        <is>
          <t>.</t>
        </is>
      </c>
      <c r="N586" t="inlineStr">
        <is>
          <t>.</t>
        </is>
      </c>
      <c r="O586" t="inlineStr">
        <is>
          <t>.</t>
        </is>
      </c>
    </row>
    <row r="587">
      <c r="A587" t="inlineStr">
        <is>
          <t>PSME2</t>
        </is>
      </c>
      <c r="B587" t="inlineStr">
        <is>
          <t>0.108796041514697</t>
        </is>
      </c>
      <c r="C587" t="inlineStr">
        <is>
          <t>proteasome activator subunit 2</t>
        </is>
      </c>
      <c r="D587" t="inlineStr">
        <is>
          <t xml:space="preserve">FUNCTION: Implicated in immunoproteasome assembly and required for efficient antigen processing. The PA28 activator complex enhances the generation of class I binding peptides by altering the cleavage pattern of the proteasome.; </t>
        </is>
      </c>
      <c r="E587" t="inlineStr">
        <is>
          <t>.</t>
        </is>
      </c>
      <c r="F587" t="inlineStr">
        <is>
          <t>.</t>
        </is>
      </c>
      <c r="G587" t="inlineStr">
        <is>
          <t>lymphoreticular;medulla oblongata;ovary;salivary gland;developmental;intestine;colon;parathyroid;choroid;skin;bone marrow;uterus;prostate;whole body;endometrium;bone;thyroid;testis;brain;bladder;tonsil;unclassifiable (Anatomical System);lymph node;heart;islets of Langerhans;hypothalamus;muscle;urinary;pharynx;blood;lens;skeletal muscle;breast;bile duct;pancreas;lung;nasopharynx;placenta;visual apparatus;liver;spleen;head and neck;kidney;mammary gland;stomach;cerebellum;thymus;</t>
        </is>
      </c>
      <c r="H587" t="inlineStr">
        <is>
          <t>.</t>
        </is>
      </c>
      <c r="I587" t="inlineStr">
        <is>
          <t>.</t>
        </is>
      </c>
      <c r="J587" t="inlineStr">
        <is>
          <t>.</t>
        </is>
      </c>
      <c r="K587" t="inlineStr">
        <is>
          <t>.</t>
        </is>
      </c>
      <c r="L587" t="inlineStr">
        <is>
          <t>.</t>
        </is>
      </c>
      <c r="M587" t="inlineStr">
        <is>
          <t>.</t>
        </is>
      </c>
      <c r="N587" t="inlineStr">
        <is>
          <t>.</t>
        </is>
      </c>
      <c r="O587" t="inlineStr">
        <is>
          <t>.</t>
        </is>
      </c>
    </row>
    <row r="588">
      <c r="A588" t="inlineStr">
        <is>
          <t>PTH2R</t>
        </is>
      </c>
      <c r="B588" t="inlineStr">
        <is>
          <t>1.3161518374435e-15</t>
        </is>
      </c>
      <c r="C588" t="inlineStr">
        <is>
          <t>parathyroid hormone 2 receptor</t>
        </is>
      </c>
      <c r="D588" t="inlineStr">
        <is>
          <t xml:space="preserve">FUNCTION: This is a specific receptor for parathyroid hormone. The activity of this receptor is mediated by G proteins which activate adenylyl cyclase. PTH2R may be responsible for PTH effects in a number of physiological systems. It may play a significant role in pancreatic function. PTH2R presence in neurons indicates that it may function as a neurotransmitter receptor (By similarity). {ECO:0000250}.; </t>
        </is>
      </c>
      <c r="E588" t="inlineStr">
        <is>
          <t>.</t>
        </is>
      </c>
      <c r="F588" t="inlineStr">
        <is>
          <t xml:space="preserve">TISSUE SPECIFICITY: Expressed abundantly in brain and pancreas. Also expressed in the testis. {ECO:0000269|PubMed:7797535}.; </t>
        </is>
      </c>
      <c r="G588" t="inlineStr">
        <is>
          <t>unclassifiable (Anatomical System);lymphoreticular;lung;macula lutea;fovea centralis;skin;</t>
        </is>
      </c>
      <c r="H588" t="inlineStr">
        <is>
          <t>superior cervical ganglion;ciliary ganglion;atrioventricular node;</t>
        </is>
      </c>
      <c r="I588" t="inlineStr">
        <is>
          <t>.</t>
        </is>
      </c>
      <c r="J588" t="inlineStr">
        <is>
          <t>.</t>
        </is>
      </c>
      <c r="K588" t="inlineStr">
        <is>
          <t>.</t>
        </is>
      </c>
      <c r="L588" t="inlineStr">
        <is>
          <t>.</t>
        </is>
      </c>
      <c r="M588" t="inlineStr">
        <is>
          <t>.</t>
        </is>
      </c>
      <c r="N588" t="inlineStr">
        <is>
          <t>.</t>
        </is>
      </c>
      <c r="O588" t="inlineStr">
        <is>
          <t>.</t>
        </is>
      </c>
    </row>
    <row r="589">
      <c r="A589" t="inlineStr">
        <is>
          <t>PTPN13</t>
        </is>
      </c>
      <c r="B589" t="inlineStr">
        <is>
          <t>5.05692716523618e-10</t>
        </is>
      </c>
      <c r="C589" t="inlineStr">
        <is>
          <t>protein tyrosine phosphatase, non-receptor type 13</t>
        </is>
      </c>
      <c r="D589" t="inlineStr">
        <is>
          <t xml:space="preserve">FUNCTION: Tyrosine phosphatase which regulates negatively FAS- induced apoptosis and NGFR-mediated pro-apoptotic signaling (PubMed:15611135). May regulate phosphoinositide 3-kinase (PI3K) signaling through dephosphorylation of PIK3R2 (PubMed:23604317). {ECO:0000269|PubMed:15611135, ECO:0000269|PubMed:23604317}.; </t>
        </is>
      </c>
      <c r="E589" t="inlineStr">
        <is>
          <t>.</t>
        </is>
      </c>
      <c r="F589" t="inlineStr">
        <is>
          <t xml:space="preserve">TISSUE SPECIFICITY: Present in most tissues with the exception of the liver and skeletal muscle. Most abundant in lung, kidney and fetal brain.; </t>
        </is>
      </c>
      <c r="G589" t="inlineStr">
        <is>
          <t>colon;fovea centralis;choroid;skin;retina;uterus;prostate;optic nerve;whole body;cochlea;endometrium;larynx;thyroid;bone;pituitary gland;testis;amniotic fluid;brain;unclassifiable (Anatomical System);heart;cartilage;islets of Langerhans;urinary;lens;skeletal muscle;pancreas;lung;nasopharynx;trabecular meshwork;placenta;macula lutea;visual apparatus;liver;cervix;spleen;head and neck;kidney;stomach;</t>
        </is>
      </c>
      <c r="H589" t="inlineStr">
        <is>
          <t>superior cervical ganglion;atrioventricular node;</t>
        </is>
      </c>
      <c r="I589" t="inlineStr">
        <is>
          <t>.</t>
        </is>
      </c>
      <c r="J589" t="inlineStr">
        <is>
          <t>.</t>
        </is>
      </c>
      <c r="K589" t="inlineStr">
        <is>
          <t>.</t>
        </is>
      </c>
      <c r="L589" t="inlineStr">
        <is>
          <t>.</t>
        </is>
      </c>
      <c r="M589" t="inlineStr">
        <is>
          <t>.</t>
        </is>
      </c>
      <c r="N589" t="inlineStr">
        <is>
          <t>.</t>
        </is>
      </c>
      <c r="O589" t="inlineStr">
        <is>
          <t>.</t>
        </is>
      </c>
    </row>
    <row r="590">
      <c r="A590" t="inlineStr">
        <is>
          <t>PTPN22</t>
        </is>
      </c>
      <c r="B590" t="inlineStr">
        <is>
          <t>3.0777571006681e-16</t>
        </is>
      </c>
      <c r="C590" t="inlineStr">
        <is>
          <t>protein tyrosine phosphatase, non-receptor type 22</t>
        </is>
      </c>
      <c r="D590" t="inlineStr">
        <is>
          <t xml:space="preserve">FUNCTION: Acts as negative regulator of T-cell receptor (TCR) signaling by direct dephosphorylation of the Src family kinases LCK and FYN, ITAMs of the TCRz/CD3 complex, as well as ZAP70, VAV, VCP and other key signaling molecules (PubMed:16461343, PubMed:18056643). Associates with and probably dephosphorylates CBL. Dephosphorylates LCK at its activating 'Tyr-394' residue (PubMed:21719704). Dephosphorylates ZAP70 at its activating 'Tyr- 493' residue (PubMed:16461343). Dephosphorylates the immune system activator SKAP2 (PubMed:21719704). Positively regulates toll-like receptor (TLR)-induced type 1 interferon production (PubMed:23871208). Promotes host antiviral responses mediated by type 1 interferon (By similarity). Regulates NOD2-induced pro- inflammatory cytokine secretion and autophagy (PubMed:23991106). {ECO:0000250|UniProtKB:P29352, ECO:0000269|PubMed:16461343, ECO:0000269|PubMed:18056643, ECO:0000269|PubMed:19167335, ECO:0000269|PubMed:21719704, ECO:0000269|PubMed:23871208, ECO:0000269|PubMed:23991106}.; </t>
        </is>
      </c>
      <c r="E590" t="inlineStr">
        <is>
          <t xml:space="preserve">DISEASE: Systemic lupus erythematosus (SLE) [MIM:152700]: A chronic, relapsing, inflammatory, and often febrile multisystemic disorder of connective tissue, characterized principally by involvement of the skin, joints, kidneys and serosal membranes. It is of unknown etiology, but is thought to represent a failure of the regulatory mechanisms of the autoimmune system. The disease is marked by a wide range of system dysfunctions, an elevated erythrocyte sedimentation rate, and the formation of LE cells in the blood or bone marrow. {ECO:0000269|PubMed:15273934}. Note=Disease susceptibility is associated with variations affecting the gene represented in this entry.; DISEASE: Diabetes mellitus, insulin-dependent (IDDM) [MIM:222100]: A multifactorial disorder of glucose homeostasis that is characterized by susceptibility to ketoacidosis in the absence of insulin therapy. Clinical features are polydipsia, polyphagia and polyuria which result from hyperglycemia-induced osmotic diuresis and secondary thirst. These derangements result in long-term complications that affect the eyes, kidneys, nerves, and blood vessels. {ECO:0000269|PubMed:15004560}. Note=Disease susceptibility is associated with variations affecting the gene represented in this entry.; DISEASE: Rheumatoid arthritis (RA) [MIM:180300]: An inflammatory disease with autoimmune features and a complex genetic component. It primarily affects the joints and is characterized by inflammatory changes in the synovial membranes and articular structures, widespread fibrinoid degeneration of the collagen fibers in mesenchymal tissues, and by atrophy and rarefaction of bony structures. {ECO:0000269|PubMed:15208781}. Note=Disease susceptibility is associated with variations affecting the gene represented in this entry.; DISEASE: Vitiligo (VTLG) [MIM:193200]: A pigmentary disorder of the skin and mucous membranes. It is characterized by circumscribed depigmented macules and patches, commonly on extensor aspects of extremities, on the face or neck and in skin folds. Vitiligo is a progressive disorder in which some or all of the melanocytes in the affected skin are selectively destroyed. It is a multifactorial disorder with a complex etiology probably including autoimmune mechanisms, and is associated with an elevated risk of other autoimmune diseases. {ECO:0000269|PubMed:16015369}. Note=Disease susceptibility is associated with variations affecting the gene represented in this entry.; </t>
        </is>
      </c>
      <c r="F590" t="inlineStr">
        <is>
          <t xml:space="preserve">TISSUE SPECIFICITY: Expressed in bone marrow, B and T-cells, PBMCs, natural killer cells, monocytes, dendritic cells and neutrophils (PubMed:15208781). Both isoform 1 and 4 are predominantly expressed in lymphoid tissues and cells. Isoform 1 is expressed in thymocytes and both mature B and T-cells. {ECO:0000269|PubMed:15208781}.; </t>
        </is>
      </c>
      <c r="G590" t="inlineStr">
        <is>
          <t>unclassifiable (Anatomical System);lymph node;lung;adrenal gland;nasopharynx;thyroid;testis;colon;germinal center;skeletal muscle;bone marrow;</t>
        </is>
      </c>
      <c r="H590" t="inlineStr">
        <is>
          <t>superior cervical ganglion;temporal lobe;globus pallidus;atrioventricular node;pons;trigeminal ganglion;</t>
        </is>
      </c>
      <c r="I590">
        <f>HYPERLINK("https://omim.org/entry/152700", "152700")</f>
        <v/>
      </c>
      <c r="J590">
        <f>HYPERLINK("https://omim.org/entry/222100", "222100")</f>
        <v/>
      </c>
      <c r="K590">
        <f>HYPERLINK("https://omim.org/entry/180300", "180300")</f>
        <v/>
      </c>
      <c r="L590">
        <f>HYPERLINK("https://omim.org/entry/193200", "193200")</f>
        <v/>
      </c>
      <c r="M590" t="inlineStr">
        <is>
          <t>.</t>
        </is>
      </c>
      <c r="N590" t="inlineStr">
        <is>
          <t>.</t>
        </is>
      </c>
      <c r="O590" t="inlineStr">
        <is>
          <t>.</t>
        </is>
      </c>
    </row>
    <row r="591">
      <c r="A591" t="inlineStr">
        <is>
          <t>PTPRF</t>
        </is>
      </c>
      <c r="B591" t="inlineStr">
        <is>
          <t>0.999998378977356</t>
        </is>
      </c>
      <c r="C591" t="inlineStr">
        <is>
          <t>protein tyrosine phosphatase, receptor type F</t>
        </is>
      </c>
      <c r="D591" t="inlineStr">
        <is>
          <t xml:space="preserve">FUNCTION: Possible cell adhesion receptor. It possesses an intrinsic protein tyrosine phosphatase activity (PTPase) and dephosphorylates EPHA2 regulating its activity.; </t>
        </is>
      </c>
      <c r="E591" t="inlineStr">
        <is>
          <t xml:space="preserve">DISEASE: Aplasia or hypoplasia of the breasts and/or nipples 2 (BNAH2) [MIM:616001]: A group of congenital deformities encompassing total absence of breasts and nipple (amastia), absence of the nipple (athelia), and absence of the mammary gland (amazia). {ECO:0000269|PubMed:24781087}. Note=The disease is caused by mutations affecting the gene represented in this entry.; </t>
        </is>
      </c>
      <c r="F591" t="inlineStr">
        <is>
          <t>.</t>
        </is>
      </c>
      <c r="G591" t="inlineStr">
        <is>
          <t>ovary;sympathetic chain;skin;bone marrow;retina;prostate;optic nerve;frontal lobe;endometrium;thyroid;iris;amniotic fluid;bladder;brain;gall bladder;amygdala;heart;urinary;blood;lens;skeletal muscle;breast;epididymis;visual apparatus;macula lutea;liver;spleen;mammary gland;peripheral nerve;colon;choroid;fovea centralis;uterus;whole body;cerebral cortex;larynx;bone;testis;unclassifiable (Anatomical System);lacrimal gland;islets of Langerhans;hypothalamus;muscle;pancreas;lung;placenta;head and neck;kidney;stomach;cerebellum;</t>
        </is>
      </c>
      <c r="H591" t="inlineStr">
        <is>
          <t>amygdala;prostate;lung;placenta;</t>
        </is>
      </c>
      <c r="I591">
        <f>HYPERLINK("https://omim.org/entry/616001", "616001")</f>
        <v/>
      </c>
      <c r="J591" t="inlineStr">
        <is>
          <t>.</t>
        </is>
      </c>
      <c r="K591" t="inlineStr">
        <is>
          <t>.</t>
        </is>
      </c>
      <c r="L591" t="inlineStr">
        <is>
          <t>.</t>
        </is>
      </c>
      <c r="M591" t="inlineStr">
        <is>
          <t>.</t>
        </is>
      </c>
      <c r="N591" t="inlineStr">
        <is>
          <t>.</t>
        </is>
      </c>
      <c r="O591" t="inlineStr">
        <is>
          <t>.</t>
        </is>
      </c>
    </row>
    <row r="592">
      <c r="A592" t="inlineStr">
        <is>
          <t>PTPRN</t>
        </is>
      </c>
      <c r="B592" t="inlineStr">
        <is>
          <t>0.021748200630743</t>
        </is>
      </c>
      <c r="C592" t="inlineStr">
        <is>
          <t>protein tyrosine phosphatase, receptor type N</t>
        </is>
      </c>
      <c r="D592" t="inlineStr">
        <is>
          <t xml:space="preserve">FUNCTION: Plays a role in vesicle-mediated secretory processes (PubMed:24843546). Required for normal accumulation of secretory vesicles in hippocampus, pituitary and pancreatic islets (By similarity). Required for the accumulation of normal levels of insulin-containing vesicles and preventing their degradation (PubMed:24843546). Plays a role in insulin secretion in response to glucose stimuli (PubMed:24843546). Required for normal accumulation of the neurotransmitters norepinephrine, dopamine and serotonin in the brain (By similarity). In females, but not in males, required for normal accumulation and secretion of pituitary hormones, such as luteinizing hormone (LH) and follicle- stimulating hormone (FSH) (By similarity). Seems to lack intrinsic enzyme activity (By similarity). {ECO:0000250|UniProtKB:Q60673, ECO:0000269|PubMed:24843546}.; </t>
        </is>
      </c>
      <c r="E592" t="inlineStr">
        <is>
          <t xml:space="preserve">DISEASE: Note=Autoantigen in insulin-dependent diabetes mellitus (IDDM). {ECO:0000269|PubMed:8144912, ECO:0000269|PubMed:8641276}.; </t>
        </is>
      </c>
      <c r="F592" t="inlineStr">
        <is>
          <t xml:space="preserve">TISSUE SPECIFICITY: Expression is restricted to neuroendocrine cells. Found in pancreas, brain and pituitary. {ECO:0000269|PubMed:8024693}.; </t>
        </is>
      </c>
      <c r="G592" t="inlineStr">
        <is>
          <t>unclassifiable (Anatomical System);cerebellum cortex;islets of Langerhans;hypothalamus;pineal body;fovea centralis;choroid;breast;pancreas;lung;frontal lobe;macula lutea;visual apparatus;pituitary gland;brain;cerebellum;</t>
        </is>
      </c>
      <c r="H592" t="inlineStr">
        <is>
          <t>amygdala;whole brain;superior cervical ganglion;medulla oblongata;subthalamic nucleus;globus pallidus;caudate nucleus;pons;skeletal muscle;</t>
        </is>
      </c>
      <c r="I592" t="inlineStr">
        <is>
          <t>.</t>
        </is>
      </c>
      <c r="J592" t="inlineStr">
        <is>
          <t>.</t>
        </is>
      </c>
      <c r="K592" t="inlineStr">
        <is>
          <t>.</t>
        </is>
      </c>
      <c r="L592" t="inlineStr">
        <is>
          <t>.</t>
        </is>
      </c>
      <c r="M592" t="inlineStr">
        <is>
          <t>.</t>
        </is>
      </c>
      <c r="N592" t="inlineStr">
        <is>
          <t>.</t>
        </is>
      </c>
      <c r="O592" t="inlineStr">
        <is>
          <t>.</t>
        </is>
      </c>
    </row>
    <row r="593">
      <c r="A593" t="inlineStr">
        <is>
          <t>PTPRO</t>
        </is>
      </c>
      <c r="B593" t="inlineStr">
        <is>
          <t>0.304626089545522</t>
        </is>
      </c>
      <c r="C593" t="inlineStr">
        <is>
          <t>protein tyrosine phosphatase, receptor type O</t>
        </is>
      </c>
      <c r="D593" t="inlineStr">
        <is>
          <t xml:space="preserve">FUNCTION: Possesses tyrosine phosphatase activity. Plays a role in regulating the glomerular pressure/filtration rate relationship through an effect on podocyte structure and function (By similarity). {ECO:0000250, ECO:0000269|PubMed:19167335}.; </t>
        </is>
      </c>
      <c r="E593" t="inlineStr">
        <is>
          <t xml:space="preserve">DISEASE: Nephrotic syndrome 6 (NPHS6) [MIM:614196]: A form of nephrotic syndrome, a renal disease clinically characterized by severe proteinuria, resulting in complications such as hypoalbuminemia, hyperlipidemia and edema. Kidney biopsies show non-specific histologic changes such as focal segmental glomerulosclerosis and diffuse mesangial proliferation. Some affected individuals have an inherited steroid-resistant form and progress to end-stage renal failure. {ECO:0000269|PubMed:21722858}. Note=The disease is caused by mutations affecting the gene represented in this entry.; </t>
        </is>
      </c>
      <c r="F593" t="inlineStr">
        <is>
          <t xml:space="preserve">TISSUE SPECIFICITY: Glomerulus of kidney. Also detected in brain, lung and placenta. {ECO:0000269|PubMed:10498613}.; </t>
        </is>
      </c>
      <c r="G593" t="inlineStr">
        <is>
          <t>unclassifiable (Anatomical System);lymph node;heart;hypothalamus;colon;blood;fovea centralis;choroid;lens;skeletal muscle;retina;bone marrow;breast;prostate;optic nerve;lung;frontal lobe;macula lutea;visual apparatus;testis;kidney;brain;peripheral nerve;</t>
        </is>
      </c>
      <c r="H593" t="inlineStr">
        <is>
          <t>dorsal root ganglion;superior cervical ganglion;fetal brain;globus pallidus;</t>
        </is>
      </c>
      <c r="I593">
        <f>HYPERLINK("https://omim.org/entry/614196", "614196")</f>
        <v/>
      </c>
      <c r="J593" t="inlineStr">
        <is>
          <t>.</t>
        </is>
      </c>
      <c r="K593" t="inlineStr">
        <is>
          <t>.</t>
        </is>
      </c>
      <c r="L593" t="inlineStr">
        <is>
          <t>.</t>
        </is>
      </c>
      <c r="M593" t="inlineStr">
        <is>
          <t>.</t>
        </is>
      </c>
      <c r="N593" t="inlineStr">
        <is>
          <t>.</t>
        </is>
      </c>
      <c r="O593" t="inlineStr">
        <is>
          <t>.</t>
        </is>
      </c>
    </row>
    <row r="594">
      <c r="A594" t="inlineStr">
        <is>
          <t>PVR</t>
        </is>
      </c>
      <c r="B594" t="inlineStr">
        <is>
          <t>5.51101308161619e-07</t>
        </is>
      </c>
      <c r="C594" t="inlineStr">
        <is>
          <t>poliovirus receptor</t>
        </is>
      </c>
      <c r="D594" t="inlineStr">
        <is>
          <t xml:space="preserve">FUNCTION: Mediates NK cell adhesion and triggers NK cell effector functions. Binds two different NK cell receptors: CD96 and CD226. These interactions accumulates at the cell-cell contact site, leading to the formation of a mature immunological synapse between NK cell and target cell. This may trigger adhesion and secretion of lytic granules and IFN-gamma and activate cytoxicity of activated NK cells. May also promote NK cell-target cell modular exchange, and PVR transfer to the NK cell. This transfer is more important in some tumor cells expressing a lot of PVR, and may trigger fratricide NK cell activation, providing tumors with a mechanism of immunoevasion. Plays a role in mediating tumor cell invasion and migration. {ECO:0000269|PubMed:15471548, ECO:0000269|PubMed:15607800}.; </t>
        </is>
      </c>
      <c r="E594" t="inlineStr">
        <is>
          <t>.</t>
        </is>
      </c>
      <c r="F594" t="inlineStr">
        <is>
          <t>.</t>
        </is>
      </c>
      <c r="G594" t="inlineStr">
        <is>
          <t>medulla oblongata;ovary;salivary gland;intestine;colon;fovea centralis;choroid;vein;skin;retina;bone marrow;uterus;prostate;optic nerve;larynx;bone;iris;pituitary gland;testis;brain;bladder;unclassifiable (Anatomical System);cartilage;heart;islets of Langerhans;adrenal cortex;pharynx;blood;lens;breast;pancreas;lung;mesenchyma;epididymis;placenta;macula lutea;visual apparatus;hippocampus;alveolus;hypopharynx;liver;cervix;spleen;head and neck;kidney;mammary gland;aorta;stomach;</t>
        </is>
      </c>
      <c r="H594" t="inlineStr">
        <is>
          <t>superior cervical ganglion;globus pallidus;ciliary ganglion;pons;atrioventricular node;trigeminal ganglion;skeletal muscle;parietal lobe;</t>
        </is>
      </c>
      <c r="I594" t="inlineStr">
        <is>
          <t>.</t>
        </is>
      </c>
      <c r="J594" t="inlineStr">
        <is>
          <t>.</t>
        </is>
      </c>
      <c r="K594" t="inlineStr">
        <is>
          <t>.</t>
        </is>
      </c>
      <c r="L594" t="inlineStr">
        <is>
          <t>.</t>
        </is>
      </c>
      <c r="M594" t="inlineStr">
        <is>
          <t>.</t>
        </is>
      </c>
      <c r="N594" t="inlineStr">
        <is>
          <t>.</t>
        </is>
      </c>
      <c r="O594" t="inlineStr">
        <is>
          <t>.</t>
        </is>
      </c>
    </row>
    <row r="595">
      <c r="A595" t="inlineStr">
        <is>
          <t>PYCRL</t>
        </is>
      </c>
      <c r="B595" t="inlineStr">
        <is>
          <t>0.0171284135571899</t>
        </is>
      </c>
      <c r="C595" t="inlineStr">
        <is>
          <t>pyrroline-5-carboxylate reductase-like</t>
        </is>
      </c>
      <c r="D595" t="inlineStr">
        <is>
          <t>.</t>
        </is>
      </c>
      <c r="E595" t="inlineStr">
        <is>
          <t>.</t>
        </is>
      </c>
      <c r="F595" t="inlineStr">
        <is>
          <t>.</t>
        </is>
      </c>
      <c r="G595" t="inlineStr">
        <is>
          <t>medulla oblongata;ovary;salivary gland;colon;fovea centralis;choroid;skin;retina;uterus;prostate;optic nerve;endometrium;thyroid;bone;testis;brain;unclassifiable (Anatomical System);heart;islets of Langerhans;lens;skeletal muscle;pancreas;lung;mesenchyma;macula lutea;hippocampus;cervix;kidney;mammary gland;</t>
        </is>
      </c>
      <c r="H595" t="inlineStr">
        <is>
          <t>superior cervical ganglion;trigeminal ganglion;skeletal muscle;cingulate cortex;parietal lobe;</t>
        </is>
      </c>
      <c r="I595" t="inlineStr">
        <is>
          <t>.</t>
        </is>
      </c>
      <c r="J595" t="inlineStr">
        <is>
          <t>.</t>
        </is>
      </c>
      <c r="K595" t="inlineStr">
        <is>
          <t>.</t>
        </is>
      </c>
      <c r="L595" t="inlineStr">
        <is>
          <t>.</t>
        </is>
      </c>
      <c r="M595" t="inlineStr">
        <is>
          <t>.</t>
        </is>
      </c>
      <c r="N595" t="inlineStr">
        <is>
          <t>.</t>
        </is>
      </c>
      <c r="O595" t="inlineStr">
        <is>
          <t>.</t>
        </is>
      </c>
    </row>
    <row r="596">
      <c r="A596" t="inlineStr">
        <is>
          <t>RAB10</t>
        </is>
      </c>
      <c r="B596" t="inlineStr">
        <is>
          <t>0.944404791408518</t>
        </is>
      </c>
      <c r="C596" t="inlineStr">
        <is>
          <t>RAB10, member RAS oncogene family</t>
        </is>
      </c>
      <c r="D596" t="inlineStr">
        <is>
          <t xml:space="preserve">FUNCTION: The small GTPases Rab are key regulators of intracellular membrane trafficking, from the formation of transport vesicles to their fusion with membranes. Rabs cycle between an inactive GDP-bound form and an active GTP-bound form that is able to recruit to membranes different set of downstream effectors directly responsible for vesicle formation, movement, tethering and fusion (By similarity). That Rab is mainly involved in the biosynthetic transport of proteins from the Golgi to the plasma membrane. Regulates, for instance, SLC2A4/GLUT4 glucose transporter-enriched vesicles delivery to the plasma membrane. In parallel, it regulates the transport of TLR4, a toll-like receptor to the plasma membrane and therefore may be important for innate immune response. Plays also a specific role in asymmetric protein transport to the plasma membrane within the polarized neuron and epithelial cells. In neurons, it is involved in axonogenesis through regulation of vesicular membrane trafficking toward the axonal plasma membrane while in epithelial cells, it regulates transport from the Golgi to the basolateral membrane. Moreover, may play a role in the basolateral recycling pathway and in phagosome maturation. According to PubMed:23263280, may play a role in endoplasmic reticulum dynamics and morphology controlling tubulation along microtubules and tubules fusion. {ECO:0000250, ECO:0000269|PubMed:16641372, ECO:0000269|PubMed:21248164, ECO:0000269|PubMed:23263280}.; </t>
        </is>
      </c>
      <c r="E596" t="inlineStr">
        <is>
          <t>.</t>
        </is>
      </c>
      <c r="F596" t="inlineStr">
        <is>
          <t>.</t>
        </is>
      </c>
      <c r="G596" t="inlineStr">
        <is>
          <t>ovary;colon;parathyroid;skin;bone marrow;uterus;prostate;whole body;frontal lobe;endometrium;bone;thyroid;iris;testis;germinal center;brain;artery;unclassifiable (Anatomical System);lymph node;cartilage;heart;islets of Langerhans;adrenal cortex;skeletal muscle;breast;pancreas;lung;adrenal gland;nasopharynx;trabecular meshwork;placenta;visual apparatus;hippocampus;liver;spleen;head and neck;cervix;kidney;mammary gland;stomach;aorta;</t>
        </is>
      </c>
      <c r="H596" t="inlineStr">
        <is>
          <t>amygdala;superior cervical ganglion;</t>
        </is>
      </c>
      <c r="I596" t="inlineStr">
        <is>
          <t>.</t>
        </is>
      </c>
      <c r="J596" t="inlineStr">
        <is>
          <t>.</t>
        </is>
      </c>
      <c r="K596" t="inlineStr">
        <is>
          <t>.</t>
        </is>
      </c>
      <c r="L596" t="inlineStr">
        <is>
          <t>.</t>
        </is>
      </c>
      <c r="M596" t="inlineStr">
        <is>
          <t>.</t>
        </is>
      </c>
      <c r="N596" t="inlineStr">
        <is>
          <t>.</t>
        </is>
      </c>
      <c r="O596" t="inlineStr">
        <is>
          <t>.</t>
        </is>
      </c>
    </row>
    <row r="597">
      <c r="A597" t="inlineStr">
        <is>
          <t>RAB26</t>
        </is>
      </c>
      <c r="B597" t="inlineStr">
        <is>
          <t>3.5573777860374e-06</t>
        </is>
      </c>
      <c r="C597" t="inlineStr">
        <is>
          <t>RAB26, member RAS oncogene family</t>
        </is>
      </c>
      <c r="D597" t="inlineStr">
        <is>
          <t xml:space="preserve">FUNCTION: The small GTPases Rab are key regulators of intracellular membrane trafficking, from the formation of transport vesicles to their fusion with membranes. Rabs cycle between an inactive GDP-bound form and an active GTP-bound form that is able to recruit to membranes different set of downstream effectors directly responsible for vesicle formation, movement, tethering and fusion. Mediates transport of ADRA2A and ADRA2B from the Golgi to the cell membrane. Plays a role in the maturation of zymogenic granules and in pepsinogen secretion in the stomach. Plays a role in the secretion of amylase from acinar granules in the parotid gland. {ECO:0000269|PubMed:20038531, ECO:0000269|PubMed:23105096}.; </t>
        </is>
      </c>
      <c r="E597" t="inlineStr">
        <is>
          <t>.</t>
        </is>
      </c>
      <c r="F597" t="inlineStr">
        <is>
          <t xml:space="preserve">TISSUE SPECIFICITY: Predominantly expressed in brain.; </t>
        </is>
      </c>
      <c r="G597" t="inlineStr">
        <is>
          <t>unclassifiable (Anatomical System);ovary;islets of Langerhans;colon;retina;pancreas;optic nerve;lung;frontal lobe;endometrium;bone;hippocampus;liver;spleen;kidney;brain;stomach;thymus;</t>
        </is>
      </c>
      <c r="H597" t="inlineStr">
        <is>
          <t>whole brain;dorsal root ganglion;amygdala;medulla oblongata;superior cervical ganglion;cerebellum peduncles;temporal lobe;pons;atrioventricular node;caudate nucleus;subthalamic nucleus;liver;prefrontal cortex;globus pallidus;ciliary ganglion;trigeminal ganglion;cingulate cortex;parietal lobe;cerebellum;</t>
        </is>
      </c>
      <c r="I597" t="inlineStr">
        <is>
          <t>.</t>
        </is>
      </c>
      <c r="J597" t="inlineStr">
        <is>
          <t>.</t>
        </is>
      </c>
      <c r="K597" t="inlineStr">
        <is>
          <t>.</t>
        </is>
      </c>
      <c r="L597" t="inlineStr">
        <is>
          <t>.</t>
        </is>
      </c>
      <c r="M597" t="inlineStr">
        <is>
          <t>.</t>
        </is>
      </c>
      <c r="N597" t="inlineStr">
        <is>
          <t>.</t>
        </is>
      </c>
      <c r="O597" t="inlineStr">
        <is>
          <t>.</t>
        </is>
      </c>
    </row>
    <row r="598">
      <c r="A598" t="inlineStr">
        <is>
          <t>RAB4B-EGLN2</t>
        </is>
      </c>
      <c r="B598" t="inlineStr">
        <is>
          <t>.</t>
        </is>
      </c>
      <c r="C598" t="inlineStr">
        <is>
          <t>RAB4B-EGLN2 readthrough (NMD candidate)</t>
        </is>
      </c>
      <c r="D598" t="inlineStr">
        <is>
          <t>.</t>
        </is>
      </c>
      <c r="E598" t="inlineStr">
        <is>
          <t>.</t>
        </is>
      </c>
      <c r="F598" t="inlineStr">
        <is>
          <t>.</t>
        </is>
      </c>
      <c r="G598" t="inlineStr">
        <is>
          <t>.</t>
        </is>
      </c>
      <c r="H598" t="inlineStr">
        <is>
          <t>.</t>
        </is>
      </c>
      <c r="I598" t="inlineStr">
        <is>
          <t>.</t>
        </is>
      </c>
      <c r="J598" t="inlineStr">
        <is>
          <t>.</t>
        </is>
      </c>
      <c r="K598" t="inlineStr">
        <is>
          <t>.</t>
        </is>
      </c>
      <c r="L598" t="inlineStr">
        <is>
          <t>.</t>
        </is>
      </c>
      <c r="M598" t="inlineStr">
        <is>
          <t>.</t>
        </is>
      </c>
      <c r="N598" t="inlineStr">
        <is>
          <t>.</t>
        </is>
      </c>
      <c r="O598" t="inlineStr">
        <is>
          <t>.</t>
        </is>
      </c>
    </row>
    <row r="599">
      <c r="A599" t="inlineStr">
        <is>
          <t>RAD51D</t>
        </is>
      </c>
      <c r="B599" t="inlineStr">
        <is>
          <t>6.18804564528162e-07</t>
        </is>
      </c>
      <c r="C599" t="inlineStr">
        <is>
          <t>RAD51 paralog D</t>
        </is>
      </c>
      <c r="D599" t="inlineStr">
        <is>
          <t xml:space="preserve">FUNCTION: Involved in the homologous recombination repair (HRR) pathway of double-stranded DNA breaks arising during DNA replication or induced by DNA-damaging agents. Bind to single- stranded DNA (ssDNA) and has DNA-dependent ATPase activity. Part of the Rad21 paralog protein complex BCDX2 which acts in the BRCA1-BRCA2-dependent HR pathway. Upon DNA damage, BCDX2 acts downstream of BRCA2 recruitment and upstream of RAD51 recruitment. BCDX2 binds predominantly to the intersection of the four duplex arms of the Holliday junction and to junction of replication forks. The BCDX2 complex was originally reported to bind single- stranded DNA, single-stranded gaps in duplex DNA and specifically to nicks in duplex DNA. Involved in telomere maintenance. The BCDX2 subcomplex XRCC2:RAD51D can stimulate Holliday junction resolution by BLM. {ECO:0000269|PubMed:10871607, ECO:0000269|PubMed:11751635, ECO:0000269|PubMed:11834724, ECO:0000269|PubMed:11842113, ECO:0000269|PubMed:12975363, ECO:0000269|PubMed:15109494, ECO:0000269|PubMed:23149936}.; </t>
        </is>
      </c>
      <c r="E599" t="inlineStr">
        <is>
          <t>.</t>
        </is>
      </c>
      <c r="F599" t="inlineStr">
        <is>
          <t xml:space="preserve">TISSUE SPECIFICITY: Expressed in colon, prostate, spleen, testis, ovary, thymus and small intestine. Weakly expressed in leukocytes.; </t>
        </is>
      </c>
      <c r="G599" t="inlineStr">
        <is>
          <t>unclassifiable (Anatomical System);heart;islets of Langerhans;urinary;colon;skin;uterus;pancreas;prostate;lung;frontal lobe;endometrium;thyroid;bone;placenta;liver;testis;cervix;spleen;germinal center;kidney;brain;stomach;</t>
        </is>
      </c>
      <c r="H599" t="inlineStr">
        <is>
          <t>dorsal root ganglion;superior cervical ganglion;appendix;testis;ciliary ganglion;atrioventricular node;trigeminal ganglion;skin;skeletal muscle;</t>
        </is>
      </c>
      <c r="I599" t="inlineStr">
        <is>
          <t>.</t>
        </is>
      </c>
      <c r="J599" t="inlineStr">
        <is>
          <t>.</t>
        </is>
      </c>
      <c r="K599" t="inlineStr">
        <is>
          <t>.</t>
        </is>
      </c>
      <c r="L599" t="inlineStr">
        <is>
          <t>.</t>
        </is>
      </c>
      <c r="M599" t="inlineStr">
        <is>
          <t>.</t>
        </is>
      </c>
      <c r="N599" t="inlineStr">
        <is>
          <t>.</t>
        </is>
      </c>
      <c r="O599" t="inlineStr">
        <is>
          <t>.</t>
        </is>
      </c>
    </row>
    <row r="600">
      <c r="A600" t="inlineStr">
        <is>
          <t>RADIL</t>
        </is>
      </c>
      <c r="B600" t="inlineStr">
        <is>
          <t>1.30554853556863e-12</t>
        </is>
      </c>
      <c r="C600" t="inlineStr">
        <is>
          <t>Ras association and DIL domains</t>
        </is>
      </c>
      <c r="D600" t="inlineStr">
        <is>
          <t xml:space="preserve">FUNCTION: Downstream effector of Rap required for cell adhesion and migration of neural crest precursors during development. {ECO:0000269|PubMed:17704304}.; </t>
        </is>
      </c>
      <c r="E600" t="inlineStr">
        <is>
          <t>.</t>
        </is>
      </c>
      <c r="F600" t="inlineStr">
        <is>
          <t>.</t>
        </is>
      </c>
      <c r="G600" t="inlineStr">
        <is>
          <t>unclassifiable (Anatomical System);ovary;spinal cord;skin;whole body;lung;endometrium;visual apparatus;testis;head and neck;kidney;mammary gland;brain;thymus;</t>
        </is>
      </c>
      <c r="H600" t="inlineStr">
        <is>
          <t>skeletal muscle;</t>
        </is>
      </c>
      <c r="I600" t="inlineStr">
        <is>
          <t>.</t>
        </is>
      </c>
      <c r="J600" t="inlineStr">
        <is>
          <t>.</t>
        </is>
      </c>
      <c r="K600" t="inlineStr">
        <is>
          <t>.</t>
        </is>
      </c>
      <c r="L600" t="inlineStr">
        <is>
          <t>.</t>
        </is>
      </c>
      <c r="M600" t="inlineStr">
        <is>
          <t>.</t>
        </is>
      </c>
      <c r="N600" t="inlineStr">
        <is>
          <t>.</t>
        </is>
      </c>
      <c r="O600" t="inlineStr">
        <is>
          <t>.</t>
        </is>
      </c>
    </row>
    <row r="601">
      <c r="A601" t="inlineStr">
        <is>
          <t>RANBP17</t>
        </is>
      </c>
      <c r="B601" t="inlineStr">
        <is>
          <t>8.61017652515499e-36</t>
        </is>
      </c>
      <c r="C601" t="inlineStr">
        <is>
          <t>RAN binding protein 17</t>
        </is>
      </c>
      <c r="D601" t="inlineStr">
        <is>
          <t xml:space="preserve">FUNCTION: May function as a nuclear transport receptor. {ECO:0000250}.; </t>
        </is>
      </c>
      <c r="E601" t="inlineStr">
        <is>
          <t>.</t>
        </is>
      </c>
      <c r="F601" t="inlineStr">
        <is>
          <t xml:space="preserve">TISSUE SPECIFICITY: Highly expressed in testis, moderately in pancreas and weakly in other tissues studied. {ECO:0000269|PubMed:11071879}.; </t>
        </is>
      </c>
      <c r="G601" t="inlineStr">
        <is>
          <t>.</t>
        </is>
      </c>
      <c r="H601" t="inlineStr">
        <is>
          <t>.</t>
        </is>
      </c>
      <c r="I601" t="inlineStr">
        <is>
          <t>.</t>
        </is>
      </c>
      <c r="J601" t="inlineStr">
        <is>
          <t>.</t>
        </is>
      </c>
      <c r="K601" t="inlineStr">
        <is>
          <t>.</t>
        </is>
      </c>
      <c r="L601" t="inlineStr">
        <is>
          <t>.</t>
        </is>
      </c>
      <c r="M601" t="inlineStr">
        <is>
          <t>.</t>
        </is>
      </c>
      <c r="N601" t="inlineStr">
        <is>
          <t>.</t>
        </is>
      </c>
      <c r="O601" t="inlineStr">
        <is>
          <t>.</t>
        </is>
      </c>
    </row>
    <row r="602">
      <c r="A602" t="inlineStr">
        <is>
          <t>RANGAP1</t>
        </is>
      </c>
      <c r="B602" t="inlineStr">
        <is>
          <t>0.132718719795843</t>
        </is>
      </c>
      <c r="C602" t="inlineStr">
        <is>
          <t>Ran GTPase activating protein 1</t>
        </is>
      </c>
      <c r="D602" t="inlineStr">
        <is>
          <t xml:space="preserve">FUNCTION: GTPase activator for the nuclear Ras-related regulatory protein Ran, converting it to the putatively inactive GDP-bound state.; </t>
        </is>
      </c>
      <c r="E602" t="inlineStr">
        <is>
          <t>.</t>
        </is>
      </c>
      <c r="F602" t="inlineStr">
        <is>
          <t xml:space="preserve">TISSUE SPECIFICITY: Highly expressed in brain, thymus and testis. {ECO:0000269|PubMed:8973340}.; </t>
        </is>
      </c>
      <c r="G602" t="inlineStr">
        <is>
          <t>lymphoreticular;medulla oblongata;ovary;colon;choroid;skin;retina;bone marrow;uterus;prostate;optic nerve;frontal lobe;oesophagus;endometrium;larynx;bone;pituitary gland;testis;germinal center;brain;tonsil;unclassifiable (Anatomical System);amygdala;lymph node;cartilage;heart;islets of Langerhans;hypothalamus;pharynx;blood;lens;breast;pancreas;lung;adrenal gland;placenta;visual apparatus;duodenum;liver;spleen;head and neck;kidney;mammary gland;stomach;cerebellum;thymus;</t>
        </is>
      </c>
      <c r="H602" t="inlineStr">
        <is>
          <t>amygdala;superior cervical ganglion;testis - interstitial;subthalamic nucleus;temporal lobe;prefrontal cortex;globus pallidus;testis;atrioventricular node;trigeminal ganglion;cingulate cortex;parietal lobe;</t>
        </is>
      </c>
      <c r="I602" t="inlineStr">
        <is>
          <t>.</t>
        </is>
      </c>
      <c r="J602" t="inlineStr">
        <is>
          <t>.</t>
        </is>
      </c>
      <c r="K602" t="inlineStr">
        <is>
          <t>.</t>
        </is>
      </c>
      <c r="L602" t="inlineStr">
        <is>
          <t>.</t>
        </is>
      </c>
      <c r="M602" t="inlineStr">
        <is>
          <t>.</t>
        </is>
      </c>
      <c r="N602" t="inlineStr">
        <is>
          <t>.</t>
        </is>
      </c>
      <c r="O602" t="inlineStr">
        <is>
          <t>.</t>
        </is>
      </c>
    </row>
    <row r="603">
      <c r="A603" t="inlineStr">
        <is>
          <t>RAP1GAP</t>
        </is>
      </c>
      <c r="B603" t="inlineStr">
        <is>
          <t>0.974156915163255</t>
        </is>
      </c>
      <c r="C603" t="inlineStr">
        <is>
          <t>RAP1 GTPase activating protein</t>
        </is>
      </c>
      <c r="D603" t="inlineStr">
        <is>
          <t xml:space="preserve">FUNCTION: GTPase activator for the nuclear Ras-related regulatory protein RAP-1A (KREV-1), converting it to the putatively inactive GDP-bound state. {ECO:0000269|PubMed:15141215}.; </t>
        </is>
      </c>
      <c r="E603" t="inlineStr">
        <is>
          <t>.</t>
        </is>
      </c>
      <c r="F603" t="inlineStr">
        <is>
          <t xml:space="preserve">TISSUE SPECIFICITY: Significant expression seen in the brain, kidney and pancreas. Abundant in the cerebral cortex and expressed at much lower levels in the spinal cord. Not detected in the lymphoid tissues. {ECO:0000269|PubMed:9346962}.; </t>
        </is>
      </c>
      <c r="G603" t="inlineStr">
        <is>
          <t>unclassifiable (Anatomical System);ovary;islets of Langerhans;hypothalamus;sympathetic chain;skin;prostate;lung;frontal lobe;placenta;thyroid;hippocampus;testis;kidney;brain;stomach;cerebellum;</t>
        </is>
      </c>
      <c r="H603" t="inlineStr">
        <is>
          <t>amygdala;whole brain;medulla oblongata;occipital lobe;superior cervical ganglion;temporal lobe;adrenal cortex;caudate nucleus;pons;fetal thyroid;skeletal muscle;subthalamic nucleus;uterus corpus;adrenal gland;thyroid;prefrontal cortex;globus pallidus;kidney;trigeminal ganglion;cingulate cortex;parietal lobe;</t>
        </is>
      </c>
      <c r="I603" t="inlineStr">
        <is>
          <t>.</t>
        </is>
      </c>
      <c r="J603" t="inlineStr">
        <is>
          <t>.</t>
        </is>
      </c>
      <c r="K603" t="inlineStr">
        <is>
          <t>.</t>
        </is>
      </c>
      <c r="L603" t="inlineStr">
        <is>
          <t>.</t>
        </is>
      </c>
      <c r="M603" t="inlineStr">
        <is>
          <t>.</t>
        </is>
      </c>
      <c r="N603" t="inlineStr">
        <is>
          <t>.</t>
        </is>
      </c>
      <c r="O603" t="inlineStr">
        <is>
          <t>.</t>
        </is>
      </c>
    </row>
    <row r="604">
      <c r="A604" t="inlineStr">
        <is>
          <t>RAPGEF1</t>
        </is>
      </c>
      <c r="B604" t="inlineStr">
        <is>
          <t>0.999914749689066</t>
        </is>
      </c>
      <c r="C604" t="inlineStr">
        <is>
          <t>Rap guanine nucleotide exchange factor 1</t>
        </is>
      </c>
      <c r="D604" t="inlineStr">
        <is>
          <t xml:space="preserve">FUNCTION: Guanine nucleotide-releasing protein that binds to SH3 domain of CRK and GRB2/ASH. Transduces signals from CRK to activate RAS. Plays a role in the establishment of basal endothelial barrier function. Plays a role in nerve growth factor (NGF)-induced sustained activation of Rap1 and neurite outgrowth. {ECO:0000269|PubMed:17724123, ECO:0000269|PubMed:21840392, ECO:0000269|PubMed:7806500}.; </t>
        </is>
      </c>
      <c r="E604" t="inlineStr">
        <is>
          <t>.</t>
        </is>
      </c>
      <c r="F604" t="inlineStr">
        <is>
          <t xml:space="preserve">TISSUE SPECIFICITY: Ubiquitously expressed in adult and fetus. Expression is high in adult skeletal muscle and placenta and in fetal brain and heart. Low levels of expression in adult and fetal liver.; </t>
        </is>
      </c>
      <c r="G604" t="inlineStr">
        <is>
          <t>ovary;salivary gland;colon;parathyroid;fovea centralis;choroid;skin;retina;bone marrow;uterus;prostate;optic nerve;whole body;frontal lobe;endometrium;bone;thyroid;testis;germinal center;brain;unclassifiable (Anatomical System);lymph node;cartilage;heart;tongue;blood;lens;skeletal muscle;breast;bile duct;pancreas;lung;placenta;macula lutea;visual apparatus;hypopharynx;duodenum;liver;cervix;spleen;head and neck;kidney;mammary gland;aorta;stomach;cerebellum;</t>
        </is>
      </c>
      <c r="H604" t="inlineStr">
        <is>
          <t>superior cervical ganglion;ciliary ganglion;atrioventricular node;trigeminal ganglion;skeletal muscle;</t>
        </is>
      </c>
      <c r="I604" t="inlineStr">
        <is>
          <t>.</t>
        </is>
      </c>
      <c r="J604" t="inlineStr">
        <is>
          <t>.</t>
        </is>
      </c>
      <c r="K604" t="inlineStr">
        <is>
          <t>.</t>
        </is>
      </c>
      <c r="L604" t="inlineStr">
        <is>
          <t>.</t>
        </is>
      </c>
      <c r="M604" t="inlineStr">
        <is>
          <t>.</t>
        </is>
      </c>
      <c r="N604" t="inlineStr">
        <is>
          <t>.</t>
        </is>
      </c>
      <c r="O604" t="inlineStr">
        <is>
          <t>.</t>
        </is>
      </c>
    </row>
    <row r="605">
      <c r="A605" t="inlineStr">
        <is>
          <t>RARB</t>
        </is>
      </c>
      <c r="B605" t="inlineStr">
        <is>
          <t>0.999317519370488</t>
        </is>
      </c>
      <c r="C605" t="inlineStr">
        <is>
          <t>retinoic acid receptor beta</t>
        </is>
      </c>
      <c r="D605" t="inlineStr">
        <is>
          <t xml:space="preserve">FUNCTION: Receptor for retinoic acid. Retinoic acid receptors bind as heterodimers to their target response elements in response to their ligands, all-trans or 9-cis retinoic acid, and regulate gene expression in various biological processes. The RXR/RAR heterodimers bind to the retinoic acid response elements (RARE) composed of tandem 5'-AGGTCA-3' sites known as DR1-DR5. In the absence or presence of hormone ligand, acts mainly as an activator of gene expression due to weak binding to corepressors. In concert with RARG, required for skeletal growth, matrix homeostasis and growth plate function. {ECO:0000269|PubMed:12554770}.; </t>
        </is>
      </c>
      <c r="E605" t="inlineStr">
        <is>
          <t xml:space="preserve">DISEASE: Microphthalmia, syndromic, 12 (MCOPS12) [MIM:615524]: A form of microphthalmia, a disorder of eye formation, ranging from small size of a single eye to complete bilateral absence of ocular tissues (anophthalmia). In many cases, microphthalmia/anophthalmia occurs in association with syndromes that include non-ocular abnormalities. MCOPS12 patients manifest variable features, including diaphragmatic hernia, pulmonary hypoplasia, and cardiac abnormalities. {ECO:0000269|PubMed:24075189}. Note=The disease is caused by mutations affecting the gene represented in this entry.; </t>
        </is>
      </c>
      <c r="F605" t="inlineStr">
        <is>
          <t>.</t>
        </is>
      </c>
      <c r="G605" t="inlineStr">
        <is>
          <t>ovary;colon;fovea centralis;choroid;vein;skin;retina;uterus;prostate;optic nerve;whole body;frontal lobe;cochlea;thyroid;bone;testis;brain;unclassifiable (Anatomical System);heart;cartilage;lens;breast;lung;trabecular meshwork;placenta;macula lutea;visual apparatus;liver;spleen;head and neck;kidney;</t>
        </is>
      </c>
      <c r="H605" t="inlineStr">
        <is>
          <t>dorsal root ganglion;superior cervical ganglion;ciliary ganglion;atrioventricular node;trigeminal ganglion;</t>
        </is>
      </c>
      <c r="I605">
        <f>HYPERLINK("https://omim.org/entry/615524", "615524")</f>
        <v/>
      </c>
      <c r="J605" t="inlineStr">
        <is>
          <t>.</t>
        </is>
      </c>
      <c r="K605" t="inlineStr">
        <is>
          <t>.</t>
        </is>
      </c>
      <c r="L605" t="inlineStr">
        <is>
          <t>.</t>
        </is>
      </c>
      <c r="M605" t="inlineStr">
        <is>
          <t>.</t>
        </is>
      </c>
      <c r="N605" t="inlineStr">
        <is>
          <t>.</t>
        </is>
      </c>
      <c r="O605" t="inlineStr">
        <is>
          <t>.</t>
        </is>
      </c>
    </row>
    <row r="606">
      <c r="A606" t="inlineStr">
        <is>
          <t>RAVER1</t>
        </is>
      </c>
      <c r="B606" t="inlineStr">
        <is>
          <t>0.982340267394972</t>
        </is>
      </c>
      <c r="C606" t="inlineStr">
        <is>
          <t>ribonucleoprotein, PTB-binding 1</t>
        </is>
      </c>
      <c r="D606" t="inlineStr">
        <is>
          <t xml:space="preserve">FUNCTION: Cooperates with PTBP1 to modulate regulated alternative splicing events. Promotes exon skipping. Cooperates with PTBP1 to modulate switching between mutually exclusive exons during maturation of the TPM1 pre-mRNA (By similarity). {ECO:0000250}.; </t>
        </is>
      </c>
      <c r="E606" t="inlineStr">
        <is>
          <t>.</t>
        </is>
      </c>
      <c r="F606" t="inlineStr">
        <is>
          <t>.</t>
        </is>
      </c>
      <c r="G606" t="inlineStr">
        <is>
          <t>lymphoreticular;smooth muscle;ovary;sympathetic chain;colon;parathyroid;fovea centralis;choroid;skin;retina;bone marrow;uterus;optic nerve;whole body;frontal lobe;endometrium;bone;iris;testis;germinal center;brain;pineal gland;unclassifiable (Anatomical System);lymph node;cartilage;heart;muscle;adrenal cortex;blood;lens;skeletal muscle;pancreas;lung;placenta;macula lutea;visual apparatus;liver;spleen;cervix;kidney;mammary gland;stomach;cerebellum;thymus;</t>
        </is>
      </c>
      <c r="H606" t="inlineStr">
        <is>
          <t>superior cervical ganglion;ciliary ganglion;</t>
        </is>
      </c>
      <c r="I606" t="inlineStr">
        <is>
          <t>.</t>
        </is>
      </c>
      <c r="J606" t="inlineStr">
        <is>
          <t>.</t>
        </is>
      </c>
      <c r="K606" t="inlineStr">
        <is>
          <t>.</t>
        </is>
      </c>
      <c r="L606" t="inlineStr">
        <is>
          <t>.</t>
        </is>
      </c>
      <c r="M606" t="inlineStr">
        <is>
          <t>.</t>
        </is>
      </c>
      <c r="N606" t="inlineStr">
        <is>
          <t>.</t>
        </is>
      </c>
      <c r="O606" t="inlineStr">
        <is>
          <t>.</t>
        </is>
      </c>
    </row>
    <row r="607">
      <c r="A607" t="inlineStr">
        <is>
          <t>RERE</t>
        </is>
      </c>
      <c r="B607" t="inlineStr">
        <is>
          <t>0.999995655258253</t>
        </is>
      </c>
      <c r="C607" t="inlineStr">
        <is>
          <t>arginine-glutamic acid dipeptide (RE) repeats</t>
        </is>
      </c>
      <c r="D607" t="inlineStr">
        <is>
          <t xml:space="preserve">FUNCTION: Plays a role as a transcriptional repressor during development. May play a role in the control of cell survival. Overexpression of RERE recruits BAX to the nucleus particularly to POD and triggers caspase-3 activation, leading to cell death. {ECO:0000269|PubMed:11331249}.; </t>
        </is>
      </c>
      <c r="E607" t="inlineStr">
        <is>
          <t xml:space="preserve">DISEASE: Note=A chromosomal aberration involving RERE is found in the neuroblastoma cell line NGP. Translocation t(1;15)(p36.2;q24).; </t>
        </is>
      </c>
      <c r="F607" t="inlineStr">
        <is>
          <t xml:space="preserve">TISSUE SPECIFICITY: Widely expressed. Expressed in tumor cell lines. {ECO:0000269|PubMed:10729226, ECO:0000269|PubMed:10814707, ECO:0000269|PubMed:11331249}.; </t>
        </is>
      </c>
      <c r="G607" t="inlineStr">
        <is>
          <t>ovary;salivary gland;sympathetic chain;colon;parathyroid;choroid;skin;retina;bone marrow;uterus;prostate;optic nerve;whole body;frontal lobe;endometrium;bone;testis;germinal center;brain;tonsil;unclassifiable (Anatomical System);lymph node;cartilage;heart;lacrimal gland;cerebellum cortex;islets of Langerhans;blood;lens;skeletal muscle;pancreas;lung;nasopharynx;trabecular meshwork;placenta;visual apparatus;liver;spleen;cervix;kidney;mammary gland;aorta;stomach;peripheral nerve;cerebellum;</t>
        </is>
      </c>
      <c r="H607" t="inlineStr">
        <is>
          <t>dorsal root ganglion;testis - interstitial;superior cervical ganglion;temporal lobe;spinal cord;atrioventricular node;pons;skeletal muscle;subthalamic nucleus;prefrontal cortex;globus pallidus;ciliary ganglion;trigeminal ganglion;parietal lobe;cerebellum;</t>
        </is>
      </c>
      <c r="I607" t="inlineStr">
        <is>
          <t>.</t>
        </is>
      </c>
      <c r="J607" t="inlineStr">
        <is>
          <t>.</t>
        </is>
      </c>
      <c r="K607" t="inlineStr">
        <is>
          <t>.</t>
        </is>
      </c>
      <c r="L607" t="inlineStr">
        <is>
          <t>.</t>
        </is>
      </c>
      <c r="M607" t="inlineStr">
        <is>
          <t>.</t>
        </is>
      </c>
      <c r="N607" t="inlineStr">
        <is>
          <t>.</t>
        </is>
      </c>
      <c r="O607" t="inlineStr">
        <is>
          <t>.</t>
        </is>
      </c>
    </row>
    <row r="608">
      <c r="A608" t="inlineStr">
        <is>
          <t>RFX1</t>
        </is>
      </c>
      <c r="B608" t="inlineStr">
        <is>
          <t>0.998752687183383</t>
        </is>
      </c>
      <c r="C608" t="inlineStr">
        <is>
          <t>regulatory factor X1</t>
        </is>
      </c>
      <c r="D608" t="inlineStr">
        <is>
          <t xml:space="preserve">FUNCTION: Regulatory factor essential for MHC class II genes expression. Binds to the X boxes of MHC class II genes. Also binds to an inverted repeat (ENH1) required for hepatitis B virus genes expression and to the most upstream element (alpha) of the RPL30 promoter.; </t>
        </is>
      </c>
      <c r="E608" t="inlineStr">
        <is>
          <t>.</t>
        </is>
      </c>
      <c r="F608" t="inlineStr">
        <is>
          <t>.</t>
        </is>
      </c>
      <c r="G608" t="inlineStr">
        <is>
          <t>unclassifiable (Anatomical System);cartilage;heart;ovary;sympathetic chain;parathyroid;blood;choroid;skin;skeletal muscle;bone marrow;uterus;whole body;lung;bone;placenta;duodenum;liver;testis;brain;tonsil;stomach;</t>
        </is>
      </c>
      <c r="H608" t="inlineStr">
        <is>
          <t>subthalamic nucleus;superior cervical ganglion;ciliary ganglion;atrioventricular node;caudate nucleus;trigeminal ganglion;skeletal muscle;cingulate cortex;</t>
        </is>
      </c>
      <c r="I608" t="inlineStr">
        <is>
          <t>.</t>
        </is>
      </c>
      <c r="J608" t="inlineStr">
        <is>
          <t>.</t>
        </is>
      </c>
      <c r="K608" t="inlineStr">
        <is>
          <t>.</t>
        </is>
      </c>
      <c r="L608" t="inlineStr">
        <is>
          <t>.</t>
        </is>
      </c>
      <c r="M608" t="inlineStr">
        <is>
          <t>.</t>
        </is>
      </c>
      <c r="N608" t="inlineStr">
        <is>
          <t>.</t>
        </is>
      </c>
      <c r="O608" t="inlineStr">
        <is>
          <t>.</t>
        </is>
      </c>
    </row>
    <row r="609">
      <c r="A609" t="inlineStr">
        <is>
          <t>RHBDD2</t>
        </is>
      </c>
      <c r="B609" t="inlineStr">
        <is>
          <t>0.646226806703523</t>
        </is>
      </c>
      <c r="C609" t="inlineStr">
        <is>
          <t>rhomboid domain containing 2</t>
        </is>
      </c>
      <c r="D609" t="inlineStr">
        <is>
          <t>.</t>
        </is>
      </c>
      <c r="E609" t="inlineStr">
        <is>
          <t>.</t>
        </is>
      </c>
      <c r="F609" t="inlineStr">
        <is>
          <t>.</t>
        </is>
      </c>
      <c r="G609" t="inlineStr">
        <is>
          <t>ovary;colon;parathyroid;choroid;skin;retina;bone marrow;uterus;prostate;whole body;frontal lobe;endometrium;larynx;thyroid;iris;pituitary gland;testis;germinal center;spinal ganglion;brain;pineal gland;unclassifiable (Anatomical System);lymph node;cartilage;heart;islets of Langerhans;hypothalamus;muscle;pharynx;blood;skeletal muscle;pancreas;lung;adrenal gland;placenta;hippocampus;visual apparatus;hypopharynx;liver;spleen;head and neck;cervix;kidney;mammary gland;aorta;stomach;</t>
        </is>
      </c>
      <c r="H609" t="inlineStr">
        <is>
          <t>whole brain;amygdala;subthalamic nucleus;medulla oblongata;occipital lobe;adrenal gland;hypothalamus;temporal lobe;caudate nucleus;parietal lobe;</t>
        </is>
      </c>
      <c r="I609" t="inlineStr">
        <is>
          <t>.</t>
        </is>
      </c>
      <c r="J609" t="inlineStr">
        <is>
          <t>.</t>
        </is>
      </c>
      <c r="K609" t="inlineStr">
        <is>
          <t>.</t>
        </is>
      </c>
      <c r="L609" t="inlineStr">
        <is>
          <t>.</t>
        </is>
      </c>
      <c r="M609" t="inlineStr">
        <is>
          <t>.</t>
        </is>
      </c>
      <c r="N609" t="inlineStr">
        <is>
          <t>.</t>
        </is>
      </c>
      <c r="O609" t="inlineStr">
        <is>
          <t>.</t>
        </is>
      </c>
    </row>
    <row r="610">
      <c r="A610" t="inlineStr">
        <is>
          <t>RHBG</t>
        </is>
      </c>
      <c r="B610" t="inlineStr">
        <is>
          <t>3.72564357556274e-10</t>
        </is>
      </c>
      <c r="C610" t="inlineStr">
        <is>
          <t>Rh family B glycoprotein (gene/pseudogene)</t>
        </is>
      </c>
      <c r="D610" t="inlineStr">
        <is>
          <t xml:space="preserve">FUNCTION: Functions as a specific ammonium transporter. {ECO:0000269|PubMed:15284342, ECO:0000269|PubMed:15929723}.; </t>
        </is>
      </c>
      <c r="E610" t="inlineStr">
        <is>
          <t>.</t>
        </is>
      </c>
      <c r="F610" t="inlineStr">
        <is>
          <t xml:space="preserve">TISSUE SPECIFICITY: Specifically expressed in kidney. Also detected in liver and ovary. {ECO:0000269|PubMed:11024028}.; </t>
        </is>
      </c>
      <c r="G610" t="inlineStr">
        <is>
          <t>liver;spleen;kidney;</t>
        </is>
      </c>
      <c r="H610" t="inlineStr">
        <is>
          <t>superior cervical ganglion;testis - seminiferous tubule;cerebellum peduncles;testis;ciliary ganglion;kidney;atrioventricular node;pons;trigeminal ganglion;skeletal muscle;</t>
        </is>
      </c>
      <c r="I610" t="inlineStr">
        <is>
          <t>.</t>
        </is>
      </c>
      <c r="J610" t="inlineStr">
        <is>
          <t>.</t>
        </is>
      </c>
      <c r="K610" t="inlineStr">
        <is>
          <t>.</t>
        </is>
      </c>
      <c r="L610" t="inlineStr">
        <is>
          <t>.</t>
        </is>
      </c>
      <c r="M610" t="inlineStr">
        <is>
          <t>.</t>
        </is>
      </c>
      <c r="N610" t="inlineStr">
        <is>
          <t>.</t>
        </is>
      </c>
      <c r="O610" t="inlineStr">
        <is>
          <t>.</t>
        </is>
      </c>
    </row>
    <row r="611">
      <c r="A611" t="inlineStr">
        <is>
          <t>RIMS2</t>
        </is>
      </c>
      <c r="B611" t="inlineStr">
        <is>
          <t>0.999998398615947</t>
        </is>
      </c>
      <c r="C611" t="inlineStr">
        <is>
          <t>regulating synaptic membrane exocytosis 2</t>
        </is>
      </c>
      <c r="D611" t="inlineStr">
        <is>
          <t xml:space="preserve">FUNCTION: Rab effector involved in exocytosis. May act as scaffold protein. Plays a role in dendrite formation by melanocytes (PubMed:23999003). {ECO:0000269|PubMed:23999003}.; </t>
        </is>
      </c>
      <c r="E611" t="inlineStr">
        <is>
          <t>.</t>
        </is>
      </c>
      <c r="F611" t="inlineStr">
        <is>
          <t xml:space="preserve">TISSUE SPECIFICITY: Expressed in melanocytes (PubMed:23999003). {ECO:0000269|PubMed:23999003}.; </t>
        </is>
      </c>
      <c r="G611" t="inlineStr">
        <is>
          <t>unclassifiable (Anatomical System);whole body;adrenal gland;islets of Langerhans;hypothalamus;visual apparatus;pituitary gland;brain;mammary gland;skin;skeletal muscle;retina;</t>
        </is>
      </c>
      <c r="H611" t="inlineStr">
        <is>
          <t>dorsal root ganglion;medulla oblongata;occipital lobe;superior cervical ganglion;temporal lobe;prefrontal cortex;ciliary ganglion;atrioventricular node;pons;trigeminal ganglion;parietal lobe;skeletal muscle;</t>
        </is>
      </c>
      <c r="I611" t="inlineStr">
        <is>
          <t>.</t>
        </is>
      </c>
      <c r="J611" t="inlineStr">
        <is>
          <t>.</t>
        </is>
      </c>
      <c r="K611" t="inlineStr">
        <is>
          <t>.</t>
        </is>
      </c>
      <c r="L611" t="inlineStr">
        <is>
          <t>.</t>
        </is>
      </c>
      <c r="M611" t="inlineStr">
        <is>
          <t>.</t>
        </is>
      </c>
      <c r="N611" t="inlineStr">
        <is>
          <t>.</t>
        </is>
      </c>
      <c r="O611" t="inlineStr">
        <is>
          <t>.</t>
        </is>
      </c>
    </row>
    <row r="612">
      <c r="A612" t="inlineStr">
        <is>
          <t>RIMS4</t>
        </is>
      </c>
      <c r="B612" t="inlineStr">
        <is>
          <t>0.952765434512064</t>
        </is>
      </c>
      <c r="C612" t="inlineStr">
        <is>
          <t>regulating synaptic membrane exocytosis 4</t>
        </is>
      </c>
      <c r="D612" t="inlineStr">
        <is>
          <t xml:space="preserve">FUNCTION: Regulates synaptic membrane exocytosis. {ECO:0000250}.; </t>
        </is>
      </c>
      <c r="E612" t="inlineStr">
        <is>
          <t>.</t>
        </is>
      </c>
      <c r="F612" t="inlineStr">
        <is>
          <t>.</t>
        </is>
      </c>
      <c r="G612" t="inlineStr">
        <is>
          <t>.</t>
        </is>
      </c>
      <c r="H612" t="inlineStr">
        <is>
          <t>.</t>
        </is>
      </c>
      <c r="I612" t="inlineStr">
        <is>
          <t>.</t>
        </is>
      </c>
      <c r="J612" t="inlineStr">
        <is>
          <t>.</t>
        </is>
      </c>
      <c r="K612" t="inlineStr">
        <is>
          <t>.</t>
        </is>
      </c>
      <c r="L612" t="inlineStr">
        <is>
          <t>.</t>
        </is>
      </c>
      <c r="M612" t="inlineStr">
        <is>
          <t>.</t>
        </is>
      </c>
      <c r="N612" t="inlineStr">
        <is>
          <t>.</t>
        </is>
      </c>
      <c r="O612" t="inlineStr">
        <is>
          <t>.</t>
        </is>
      </c>
    </row>
    <row r="613">
      <c r="A613" t="inlineStr">
        <is>
          <t>RIN1</t>
        </is>
      </c>
      <c r="B613" t="inlineStr">
        <is>
          <t>0.000202046521763345</t>
        </is>
      </c>
      <c r="C613" t="inlineStr">
        <is>
          <t>Ras and Rab interactor 1</t>
        </is>
      </c>
      <c r="D613" t="inlineStr">
        <is>
          <t xml:space="preserve">FUNCTION: Ras effector protein, which may serve as an inhibitory modulator of neuronal plasticity in aversive memory formation. Can affect Ras signaling at different levels. First, by competing with RAF1 protein for binding to activated Ras. Second, by enhancing signaling from ABL1 and ABL2, which regulate cytoskeletal remodeling. Third, by activating RAB5A, possibly by functioning as a guanine nucleotide exchange factor (GEF) for RAB5A, by exchanging bound GDP for free GTP, and facilitating Ras-activated receptor endocytosis. {ECO:0000269|PubMed:15886098, ECO:0000269|PubMed:9144171, ECO:0000269|PubMed:9208849}.; </t>
        </is>
      </c>
      <c r="E613" t="inlineStr">
        <is>
          <t>.</t>
        </is>
      </c>
      <c r="F613" t="inlineStr">
        <is>
          <t xml:space="preserve">TISSUE SPECIFICITY: Expressed in all tissues examined with high levels in brain, placenta and pancreas. {ECO:0000269|PubMed:9144171}.; </t>
        </is>
      </c>
      <c r="G613" t="inlineStr">
        <is>
          <t>ovary;salivary gland;colon;parathyroid;fovea centralis;choroid;skin;bone marrow;retina;uterus;prostate;optic nerve;oesophagus;bone;testis;germinal center;brain;unclassifiable (Anatomical System);tongue;islets of Langerhans;lens;lung;placenta;macula lutea;visual apparatus;liver;stomach;cerebellum;</t>
        </is>
      </c>
      <c r="H613" t="inlineStr">
        <is>
          <t>ciliary ganglion;caudate nucleus;pons;atrioventricular node;trigeminal ganglion;</t>
        </is>
      </c>
      <c r="I613" t="inlineStr">
        <is>
          <t>.</t>
        </is>
      </c>
      <c r="J613" t="inlineStr">
        <is>
          <t>.</t>
        </is>
      </c>
      <c r="K613" t="inlineStr">
        <is>
          <t>.</t>
        </is>
      </c>
      <c r="L613" t="inlineStr">
        <is>
          <t>.</t>
        </is>
      </c>
      <c r="M613" t="inlineStr">
        <is>
          <t>.</t>
        </is>
      </c>
      <c r="N613" t="inlineStr">
        <is>
          <t>.</t>
        </is>
      </c>
      <c r="O613" t="inlineStr">
        <is>
          <t>.</t>
        </is>
      </c>
    </row>
    <row r="614">
      <c r="A614" t="inlineStr">
        <is>
          <t>RNF185</t>
        </is>
      </c>
      <c r="B614" t="inlineStr">
        <is>
          <t>0.679395060761065</t>
        </is>
      </c>
      <c r="C614" t="inlineStr">
        <is>
          <t>ring finger protein 185</t>
        </is>
      </c>
      <c r="D614" t="inlineStr">
        <is>
          <t xml:space="preserve">FUNCTION: E3 ubiquitin-protein ligase that regulates selective mitochondrial autophagy by mediating 'Lys-63'-linked polyubiquitination of BNIP1. Responsible for the cotranslational ubiquitination and degradation of CFTR in the ERAD pathway. Preferentially associates with the E2 enzymes UBE2J1 and UBE2J2. {ECO:0000269|PubMed:21931693, ECO:0000269|PubMed:24019521}.; </t>
        </is>
      </c>
      <c r="E614" t="inlineStr">
        <is>
          <t>.</t>
        </is>
      </c>
      <c r="F614" t="inlineStr">
        <is>
          <t>.</t>
        </is>
      </c>
      <c r="G614" t="inlineStr">
        <is>
          <t>ovary;salivary gland;colon;parathyroid;fovea centralis;choroid;vein;skin;retina;uterus;prostate;optic nerve;whole body;frontal lobe;cerebral cortex;endometrium;larynx;thyroid;iris;testis;germinal center;brain;tonsil;unclassifiable (Anatomical System);amygdala;lymph node;heart;islets of Langerhans;muscle;blood;lens;skeletal muscle;bile duct;pancreas;lung;placenta;macula lutea;visual apparatus;liver;spleen;head and neck;cervix;kidney;mammary gland;stomach;</t>
        </is>
      </c>
      <c r="H614" t="inlineStr">
        <is>
          <t>.</t>
        </is>
      </c>
      <c r="I614" t="inlineStr">
        <is>
          <t>.</t>
        </is>
      </c>
      <c r="J614" t="inlineStr">
        <is>
          <t>.</t>
        </is>
      </c>
      <c r="K614" t="inlineStr">
        <is>
          <t>.</t>
        </is>
      </c>
      <c r="L614" t="inlineStr">
        <is>
          <t>.</t>
        </is>
      </c>
      <c r="M614" t="inlineStr">
        <is>
          <t>.</t>
        </is>
      </c>
      <c r="N614" t="inlineStr">
        <is>
          <t>.</t>
        </is>
      </c>
      <c r="O614" t="inlineStr">
        <is>
          <t>.</t>
        </is>
      </c>
    </row>
    <row r="615">
      <c r="A615" t="inlineStr">
        <is>
          <t>RNF213</t>
        </is>
      </c>
      <c r="B615" t="inlineStr">
        <is>
          <t>1.67778352788526e-29</t>
        </is>
      </c>
      <c r="C615" t="inlineStr">
        <is>
          <t>ring finger protein 213</t>
        </is>
      </c>
      <c r="D615" t="inlineStr">
        <is>
          <t xml:space="preserve">FUNCTION: Probable E3 ubiquitin-protein ligase that may play a role in angiogenesis. May also have an ATPase activity.; </t>
        </is>
      </c>
      <c r="E615" t="inlineStr">
        <is>
          <t xml:space="preserve">DISEASE: Moyamoya disease 2 (MYMY2) [MIM:607151]: A progressive cerebral angiopathy characterized by bilateral intracranial carotid artery stenosis and telangiectatic vessels in the region of the basal ganglia. The abnormal vessels resemble a 'puff of smoke' (moyamoya) on cerebral angiogram. Affected individuals can develop transient ischemic attacks and/or cerebral infarction, and rupture of the collateral vessels can cause intracranial hemorrhage. Hemiplegia of sudden onset and epileptic seizures constitute the prevailing presentation in childhood, while subarachnoid bleeding occurs more frequently in adults. {ECO:0000269|PubMed:21048783, ECO:0000269|PubMed:21799892}. Note=Disease susceptibility is associated with variations affecting the gene represented in this entry.; DISEASE: Note=A chromosomal aberration involving ALO17 is associated with anaplastic large-cell lymphoma (ALCL). Translocation t(2;17)(p23;q25) with ALK.; </t>
        </is>
      </c>
      <c r="F615" t="inlineStr">
        <is>
          <t xml:space="preserve">TISSUE SPECIFICITY: Widely expressed (at protein level). {ECO:0000269|PubMed:21799892}.; </t>
        </is>
      </c>
      <c r="G615" t="inlineStr">
        <is>
          <t>smooth muscle;ovary;colon;parathyroid;choroid;fovea centralis;vein;skin;bone marrow;retina;uterus;prostate;whole body;optic nerve;frontal lobe;endometrium;larynx;bone;thyroid;testis;amniotic fluid;germinal center;brain;unclassifiable (Anatomical System);lymph node;cartilage;small intestine;heart;blood;lens;skeletal muscle;bile duct;breast;pancreas;lung;nasopharynx;placenta;visual apparatus;macula lutea;liver;cervix;spleen;head and neck;kidney;mammary gland;aorta;stomach;thymus;</t>
        </is>
      </c>
      <c r="H615" t="inlineStr">
        <is>
          <t>uterus;dorsal root ganglion;superior cervical ganglion;ciliary ganglion;atrioventricular node;</t>
        </is>
      </c>
      <c r="I615">
        <f>HYPERLINK("https://omim.org/entry/607151", "607151")</f>
        <v/>
      </c>
      <c r="J615" t="inlineStr">
        <is>
          <t>.</t>
        </is>
      </c>
      <c r="K615" t="inlineStr">
        <is>
          <t>.</t>
        </is>
      </c>
      <c r="L615" t="inlineStr">
        <is>
          <t>.</t>
        </is>
      </c>
      <c r="M615" t="inlineStr">
        <is>
          <t>.</t>
        </is>
      </c>
      <c r="N615" t="inlineStr">
        <is>
          <t>.</t>
        </is>
      </c>
      <c r="O615" t="inlineStr">
        <is>
          <t>.</t>
        </is>
      </c>
    </row>
    <row r="616">
      <c r="A616" t="inlineStr">
        <is>
          <t>RNFT1</t>
        </is>
      </c>
      <c r="B616" t="inlineStr">
        <is>
          <t>0.011205655064819</t>
        </is>
      </c>
      <c r="C616" t="inlineStr">
        <is>
          <t>ring finger protein, transmembrane 1</t>
        </is>
      </c>
      <c r="D616" t="inlineStr">
        <is>
          <t>.</t>
        </is>
      </c>
      <c r="E616" t="inlineStr">
        <is>
          <t>.</t>
        </is>
      </c>
      <c r="F616" t="inlineStr">
        <is>
          <t xml:space="preserve">TISSUE SPECIFICITY: Expressed at highest levels in testis, lower levels in heart, liver, lung, and kidney. Not detected in brain, ovary, and uterus. Down-regulated in testis from patients with maturation arrest (MA) or Sertoli cell-only syndrome (SCOS). {ECO:0000269|PubMed:17074343}.; </t>
        </is>
      </c>
      <c r="G616" t="inlineStr">
        <is>
          <t>medulla oblongata;smooth muscle;ovary;salivary gland;sympathetic chain;intestine;colon;skin;bone marrow;prostate;atrium;whole body;cochlea;endometrium;bone;thyroid;pituitary gland;testis;germinal center;brain;bladder;unclassifiable (Anatomical System);lymph node;cartilage;tongue;pharynx;blood;skeletal muscle;breast;pancreas;lung;cornea;adrenal gland;placenta;visual apparatus;hippocampus;liver;spleen;head and neck;kidney;mammary gland;stomach;cerebellum;</t>
        </is>
      </c>
      <c r="H616" t="inlineStr">
        <is>
          <t>dorsal root ganglion;superior cervical ganglion;testis - interstitial;subthalamic nucleus;testis - seminiferous tubule;globus pallidus;testis;ciliary ganglion;trigeminal ganglion;</t>
        </is>
      </c>
      <c r="I616" t="inlineStr">
        <is>
          <t>.</t>
        </is>
      </c>
      <c r="J616" t="inlineStr">
        <is>
          <t>.</t>
        </is>
      </c>
      <c r="K616" t="inlineStr">
        <is>
          <t>.</t>
        </is>
      </c>
      <c r="L616" t="inlineStr">
        <is>
          <t>.</t>
        </is>
      </c>
      <c r="M616" t="inlineStr">
        <is>
          <t>.</t>
        </is>
      </c>
      <c r="N616" t="inlineStr">
        <is>
          <t>.</t>
        </is>
      </c>
      <c r="O616" t="inlineStr">
        <is>
          <t>.</t>
        </is>
      </c>
    </row>
    <row r="617">
      <c r="A617" t="inlineStr">
        <is>
          <t>RNU5F-1</t>
        </is>
      </c>
      <c r="B617" t="inlineStr">
        <is>
          <t>.</t>
        </is>
      </c>
      <c r="C617" t="inlineStr">
        <is>
          <t>RNA, U5F small nuclear 1</t>
        </is>
      </c>
      <c r="D617" t="inlineStr">
        <is>
          <t>.</t>
        </is>
      </c>
      <c r="E617" t="inlineStr">
        <is>
          <t>.</t>
        </is>
      </c>
      <c r="F617" t="inlineStr">
        <is>
          <t>.</t>
        </is>
      </c>
      <c r="G617" t="inlineStr">
        <is>
          <t>.</t>
        </is>
      </c>
      <c r="H617" t="inlineStr">
        <is>
          <t>.</t>
        </is>
      </c>
      <c r="I617" t="inlineStr">
        <is>
          <t>.</t>
        </is>
      </c>
      <c r="J617" t="inlineStr">
        <is>
          <t>.</t>
        </is>
      </c>
      <c r="K617" t="inlineStr">
        <is>
          <t>.</t>
        </is>
      </c>
      <c r="L617" t="inlineStr">
        <is>
          <t>.</t>
        </is>
      </c>
      <c r="M617" t="inlineStr">
        <is>
          <t>.</t>
        </is>
      </c>
      <c r="N617" t="inlineStr">
        <is>
          <t>.</t>
        </is>
      </c>
      <c r="O617" t="inlineStr">
        <is>
          <t>.</t>
        </is>
      </c>
    </row>
    <row r="618">
      <c r="A618" t="inlineStr">
        <is>
          <t>ROBO2</t>
        </is>
      </c>
      <c r="B618" t="inlineStr">
        <is>
          <t>0.99999613022592</t>
        </is>
      </c>
      <c r="C618" t="inlineStr">
        <is>
          <t>roundabout guidance receptor 2</t>
        </is>
      </c>
      <c r="D618" t="inlineStr">
        <is>
          <t xml:space="preserve">FUNCTION: Receptor for SLIT2, and probably SLIT1, which are thought to act as molecular guidance cue in cellular migration, including axonal navigation at the ventral midline of the neural tube and projection of axons to different regions during neuronal development.; </t>
        </is>
      </c>
      <c r="E618" t="inlineStr">
        <is>
          <t xml:space="preserve">DISEASE: Vesicoureteral reflux 2 (VUR2) [MIM:610878]: A disease belonging to the group of congenital anomalies of the kidney and urinary tract. It is characterized by the reflux of urine from the bladder into the ureters and sometimes into the kidneys, and is a risk factor for urinary tract infections. Primary disease results from a developmental defect of the ureterovesical junction. In combination with intrarenal reflux, the resulting inflammatory reaction may result in renal injury or scarring, also called reflux nephropathy. Extensive renal scarring impairs renal function and may predispose patients to hypertension, proteinuria, renal insufficiency and end-stage renal disease. {ECO:0000269|PubMed:17357069}. Note=The disease is caused by mutations affecting the gene represented in this entry.; DISEASE: Note=A chromosomal aberration involving ROBO2 is a cause of multiple congenital abnormalities, including severe bilateral VUR with ureterovesical junction defects. Translocation t(Y;3)(p11;p12) with PCDH11Y. This translocation disrupts ROBO2 and produces dominant-negative ROBO2 proteins that abrogate SLIT- ROBO signaling in vitro.; </t>
        </is>
      </c>
      <c r="F618" t="inlineStr">
        <is>
          <t>.</t>
        </is>
      </c>
      <c r="G618" t="inlineStr">
        <is>
          <t>ovary;skin;retina;prostate;optic nerve;frontal lobe;endometrium;thyroid;brain;heart;cartilage;tongue;pharynx;blood;lens;skeletal muscle;breast;visual apparatus;macula lutea;liver;alveolus;spleen;cervix;mammary gland;salivary gland;intestine;colon;parathyroid;fovea centralis;choroid;uterus;whole body;larynx;testis;dura mater;pineal gland;unclassifiable (Anatomical System);meninges;islets of Langerhans;hypothalamus;pancreas;lung;pia mater;cornea;placenta;hippocampus;duodenum;head and neck;kidney;stomach;</t>
        </is>
      </c>
      <c r="H618" t="inlineStr">
        <is>
          <t>fetal brain;trigeminal ganglion;cingulate cortex;</t>
        </is>
      </c>
      <c r="I618">
        <f>HYPERLINK("https://omim.org/entry/610878", "610878")</f>
        <v/>
      </c>
      <c r="J618" t="inlineStr">
        <is>
          <t>.</t>
        </is>
      </c>
      <c r="K618" t="inlineStr">
        <is>
          <t>.</t>
        </is>
      </c>
      <c r="L618" t="inlineStr">
        <is>
          <t>.</t>
        </is>
      </c>
      <c r="M618" t="inlineStr">
        <is>
          <t>.</t>
        </is>
      </c>
      <c r="N618" t="inlineStr">
        <is>
          <t>.</t>
        </is>
      </c>
      <c r="O618" t="inlineStr">
        <is>
          <t>.</t>
        </is>
      </c>
    </row>
    <row r="619">
      <c r="A619" t="inlineStr">
        <is>
          <t>ROR1</t>
        </is>
      </c>
      <c r="B619" t="inlineStr">
        <is>
          <t>0.906688532334116</t>
        </is>
      </c>
      <c r="C619" t="inlineStr">
        <is>
          <t>receptor tyrosine kinase-like orphan receptor 1</t>
        </is>
      </c>
      <c r="D619" t="inlineStr">
        <is>
          <t xml:space="preserve">FUNCTION: Has very low kinase activity in vitro and is unlikely to function as a tyrosine kinase in vivo. May act as a receptor for wnt ligand WNT5A which may result in the inhibition of WNT3A- mediated signaling. {ECO:0000269|PubMed:25029443}.; </t>
        </is>
      </c>
      <c r="E619" t="inlineStr">
        <is>
          <t>.</t>
        </is>
      </c>
      <c r="F619" t="inlineStr">
        <is>
          <t xml:space="preserve">TISSUE SPECIFICITY: Expressed strongly in human heart, lung and kidney, but weakly in the CNS. Isoform Short is strongly expressed in fetal and adult CNS and in a variety of human cancers, including those originating from CNS or PNS neuroectoderm.; </t>
        </is>
      </c>
      <c r="G619" t="inlineStr">
        <is>
          <t>.</t>
        </is>
      </c>
      <c r="H619" t="inlineStr">
        <is>
          <t>.</t>
        </is>
      </c>
      <c r="I619" t="inlineStr">
        <is>
          <t>.</t>
        </is>
      </c>
      <c r="J619" t="inlineStr">
        <is>
          <t>.</t>
        </is>
      </c>
      <c r="K619" t="inlineStr">
        <is>
          <t>.</t>
        </is>
      </c>
      <c r="L619" t="inlineStr">
        <is>
          <t>.</t>
        </is>
      </c>
      <c r="M619" t="inlineStr">
        <is>
          <t>.</t>
        </is>
      </c>
      <c r="N619" t="inlineStr">
        <is>
          <t>.</t>
        </is>
      </c>
      <c r="O619" t="inlineStr">
        <is>
          <t>.</t>
        </is>
      </c>
    </row>
    <row r="620">
      <c r="A620" t="inlineStr">
        <is>
          <t>ROS1</t>
        </is>
      </c>
      <c r="B620" t="inlineStr">
        <is>
          <t>1.78016845315113e-44</t>
        </is>
      </c>
      <c r="C620" t="inlineStr">
        <is>
          <t>ROS proto-oncogene 1 , receptor tyrosine kinase</t>
        </is>
      </c>
      <c r="D620" t="inlineStr">
        <is>
          <t xml:space="preserve">FUNCTION: Orphan receptor tyrosine kinase (RTK) that plays a role in epithelial cell differentiation and regionalization of the proximal epididymal epithelium. May activate several downstream signaling pathways related to cell differentiation, proliferation, growth and survival including the PI3 kinase-mTOR signaling pathway. Mediates the phosphorylation of PTPN11, an activator of this pathway. May also phosphorylate and activate the transcription factor STAT3 to control anchorage-independent cell growth. Mediates the phosphorylation and the activation of VAV3, a guanine nucleotide exchange factor regulating cell morphology. May activate other downstream signaling proteins including AKT1, MAPK1, MAPK3, IRS1 and PLCG2. {ECO:0000269|PubMed:11094073, ECO:0000269|PubMed:16885344}.; </t>
        </is>
      </c>
      <c r="E620" t="inlineStr">
        <is>
          <t xml:space="preserve">DISEASE: Note=A chromosomal aberration involving ROS1 is found in a glioblastoma multiforme sample. An intra-chromosomal deletion del(6)(q21q21) is responsible for the formation of GOPC-ROS1 chimeric protein which is localized to the Golgi and has a constitutive receptor tyrosine kinase activity. A SLC34A2-ROS1 chimeric protein produced in non-small cell lung cancer cells also retains a constitutive kinase activity. A third type of chimeric protein CD74-ROS1 was also identified in those cells. {ECO:0000269|PubMed:12661006}.; </t>
        </is>
      </c>
      <c r="F620" t="inlineStr">
        <is>
          <t xml:space="preserve">TISSUE SPECIFICITY: Expressed in brain. Expression is increased in primary gliomas. {ECO:0000269|PubMed:8143271}.; </t>
        </is>
      </c>
      <c r="G620" t="inlineStr">
        <is>
          <t>.</t>
        </is>
      </c>
      <c r="H620" t="inlineStr">
        <is>
          <t>.</t>
        </is>
      </c>
      <c r="I620" t="inlineStr">
        <is>
          <t>.</t>
        </is>
      </c>
      <c r="J620" t="inlineStr">
        <is>
          <t>.</t>
        </is>
      </c>
      <c r="K620" t="inlineStr">
        <is>
          <t>.</t>
        </is>
      </c>
      <c r="L620" t="inlineStr">
        <is>
          <t>.</t>
        </is>
      </c>
      <c r="M620" t="inlineStr">
        <is>
          <t>.</t>
        </is>
      </c>
      <c r="N620" t="inlineStr">
        <is>
          <t>.</t>
        </is>
      </c>
      <c r="O620" t="inlineStr">
        <is>
          <t>.</t>
        </is>
      </c>
    </row>
    <row r="621">
      <c r="A621" t="inlineStr">
        <is>
          <t>RPL26</t>
        </is>
      </c>
      <c r="B621" t="inlineStr">
        <is>
          <t>0.915888681432076</t>
        </is>
      </c>
      <c r="C621" t="inlineStr">
        <is>
          <t>ribosomal protein L26</t>
        </is>
      </c>
      <c r="D621" t="inlineStr">
        <is>
          <t>.</t>
        </is>
      </c>
      <c r="E621" t="inlineStr">
        <is>
          <t xml:space="preserve">DISEASE: Diamond-Blackfan anemia 11 (DBA11) [MIM:614900]: A form of Diamond-Blackfan anemia, a congenital non-regenerative hypoplastic anemia that usually presents early in infancy. Diamond-Blackfan anemia is characterized by a moderate to severe macrocytic anemia, erythroblastopenia, and an increased risk of malignancy. 30 to 40% of Diamond-Blackfan anemia patients present with short stature and congenital anomalies, the most frequent being craniofacial (Pierre-Robin syndrome and cleft palate), thumb and urogenital anomalies. {ECO:0000269|PubMed:22431104}. Note=The disease is caused by mutations affecting the gene represented in this entry.; </t>
        </is>
      </c>
      <c r="F621" t="inlineStr">
        <is>
          <t>.</t>
        </is>
      </c>
      <c r="G621" t="inlineStr">
        <is>
          <t>myocardium;lymphoreticular;ovary;skin;retina;bone marrow;prostate;frontal lobe;endometrium;thyroid;bladder;brain;tonsil;heart;adrenal cortex;pharynx;blood;skeletal muscle;breast;trabecular meshwork;visual apparatus;liver;alveolus;spleen;cervix;mammary gland;salivary gland;intestine;colon;parathyroid;vein;uterus;whole body;larynx;bone;testis;dura mater;artery;pineal gland;unclassifiable (Anatomical System);meninges;lymph node;islets of Langerhans;hypothalamus;muscle;bile duct;pancreas;pia mater;lung;cornea;adrenal gland;placenta;kidney;stomach;aorta;</t>
        </is>
      </c>
      <c r="H621" t="inlineStr">
        <is>
          <t>.</t>
        </is>
      </c>
      <c r="I621">
        <f>HYPERLINK("https://omim.org/entry/614900", "614900")</f>
        <v/>
      </c>
      <c r="J621" t="inlineStr">
        <is>
          <t>.</t>
        </is>
      </c>
      <c r="K621" t="inlineStr">
        <is>
          <t>.</t>
        </is>
      </c>
      <c r="L621" t="inlineStr">
        <is>
          <t>.</t>
        </is>
      </c>
      <c r="M621" t="inlineStr">
        <is>
          <t>.</t>
        </is>
      </c>
      <c r="N621" t="inlineStr">
        <is>
          <t>.</t>
        </is>
      </c>
      <c r="O621" t="inlineStr">
        <is>
          <t>.</t>
        </is>
      </c>
    </row>
    <row r="622">
      <c r="A622" t="inlineStr">
        <is>
          <t>RPS6KA4</t>
        </is>
      </c>
      <c r="B622" t="inlineStr">
        <is>
          <t>0.99947453973056</t>
        </is>
      </c>
      <c r="C622" t="inlineStr">
        <is>
          <t>ribosomal protein S6 kinase A4</t>
        </is>
      </c>
      <c r="D622" t="inlineStr">
        <is>
          <t xml:space="preserve">FUNCTION: Serine/threonine-protein kinase that is required for the mitogen or stress-induced phosphorylation of the transcription factors CREB1 and ATF1 and for the regulation of the transcription factor RELA, and that contributes to gene activation by histone phosphorylation and functions in the regulation of inflammatory genes. Phosphorylates CREB1 and ATF1 in response to mitogenic or stress stimuli such as UV-C irradiation, epidermal growth factor (EGF) and anisomycin. Plays an essential role in the control of RELA transcriptional activity in response to TNF. Phosphorylates 'Ser-10' of histone H3 in response to mitogenics, stress stimuli and EGF, which results in the transcriptional activation of several immediate early genes, including proto-oncogenes c-fos/FOS and c-jun/JUN. May also phosphorylate 'Ser-28' of histone H3. Mediates the mitogen- and stress-induced phosphorylation of high mobility group protein 1 (HMGN1/HMG14). In lipopolysaccharide- stimulated primary macrophages, acts downstream of the Toll-like receptor TLR4 to limit the production of pro-inflammatory cytokines. Functions probably by inducing transcription of the MAP kinase phosphatase DUSP1 and the anti-inflammatory cytokine interleukin 10 (IL10), via CREB1 and ATF1 transcription factors. {ECO:0000269|PubMed:11035004, ECO:0000269|PubMed:12773393, ECO:0000269|PubMed:9792677}.; </t>
        </is>
      </c>
      <c r="E622" t="inlineStr">
        <is>
          <t>.</t>
        </is>
      </c>
      <c r="F622" t="inlineStr">
        <is>
          <t>.</t>
        </is>
      </c>
      <c r="G622" t="inlineStr">
        <is>
          <t>unclassifiable (Anatomical System);ovary;cartilage;heart;colon;skin;uterus;pancreas;prostate;whole body;lung;frontal lobe;endometrium;oesophagus;bone;thyroid;placenta;testis;spleen;cervix;kidney;brain;mammary gland;stomach;</t>
        </is>
      </c>
      <c r="H622" t="inlineStr">
        <is>
          <t>superior cervical ganglion;ciliary ganglion;pons;trigeminal ganglion;cingulate cortex;cerebellum;</t>
        </is>
      </c>
      <c r="I622" t="inlineStr">
        <is>
          <t>.</t>
        </is>
      </c>
      <c r="J622" t="inlineStr">
        <is>
          <t>.</t>
        </is>
      </c>
      <c r="K622" t="inlineStr">
        <is>
          <t>.</t>
        </is>
      </c>
      <c r="L622" t="inlineStr">
        <is>
          <t>.</t>
        </is>
      </c>
      <c r="M622" t="inlineStr">
        <is>
          <t>.</t>
        </is>
      </c>
      <c r="N622" t="inlineStr">
        <is>
          <t>.</t>
        </is>
      </c>
      <c r="O622" t="inlineStr">
        <is>
          <t>.</t>
        </is>
      </c>
    </row>
    <row r="623">
      <c r="A623" t="inlineStr">
        <is>
          <t>RRP1</t>
        </is>
      </c>
      <c r="B623" t="inlineStr">
        <is>
          <t>0.00185041139129439</t>
        </is>
      </c>
      <c r="C623" t="inlineStr">
        <is>
          <t>ribosomal RNA processing 1</t>
        </is>
      </c>
      <c r="D623" t="inlineStr">
        <is>
          <t xml:space="preserve">FUNCTION: Plays a critical role in the generation of 28S rRNA.; </t>
        </is>
      </c>
      <c r="E623" t="inlineStr">
        <is>
          <t>.</t>
        </is>
      </c>
      <c r="F623" t="inlineStr">
        <is>
          <t xml:space="preserve">TISSUE SPECIFICITY: Ubiquitously expressed in fetal and adult tissues. {ECO:0000269|PubMed:9192856}.; </t>
        </is>
      </c>
      <c r="G623" t="inlineStr">
        <is>
          <t>lymphoreticular;ovary;colon;parathyroid;fovea centralis;choroid;skin;retina;prostate;optic nerve;frontal lobe;cerebral cortex;endometrium;bone;thyroid;testis;germinal center;brain;bladder;unclassifiable (Anatomical System);lymph node;cartilage;islets of Langerhans;lens;skeletal muscle;bile duct;pancreas;lung;epididymis;placenta;macula lutea;visual apparatus;liver;alveolus;head and neck;cervix;kidney;mammary gland;stomach;</t>
        </is>
      </c>
      <c r="H623" t="inlineStr">
        <is>
          <t>.</t>
        </is>
      </c>
      <c r="I623" t="inlineStr">
        <is>
          <t>.</t>
        </is>
      </c>
      <c r="J623" t="inlineStr">
        <is>
          <t>.</t>
        </is>
      </c>
      <c r="K623" t="inlineStr">
        <is>
          <t>.</t>
        </is>
      </c>
      <c r="L623" t="inlineStr">
        <is>
          <t>.</t>
        </is>
      </c>
      <c r="M623" t="inlineStr">
        <is>
          <t>.</t>
        </is>
      </c>
      <c r="N623" t="inlineStr">
        <is>
          <t>.</t>
        </is>
      </c>
      <c r="O623" t="inlineStr">
        <is>
          <t>.</t>
        </is>
      </c>
    </row>
    <row r="624">
      <c r="A624" t="inlineStr">
        <is>
          <t>RSPH1</t>
        </is>
      </c>
      <c r="B624" t="inlineStr">
        <is>
          <t>0.000210570388617988</t>
        </is>
      </c>
      <c r="C624" t="inlineStr">
        <is>
          <t>radial spoke head 1 homolog (Chlamydomonas)</t>
        </is>
      </c>
      <c r="D624" t="inlineStr">
        <is>
          <t xml:space="preserve">FUNCTION: May play an important role in male meiosis (By similarity). It is necessary for proper building of the axonemal central pair and radial spokes. {ECO:0000250, ECO:0000269|PubMed:23993197}.; </t>
        </is>
      </c>
      <c r="E624" t="inlineStr">
        <is>
          <t>.</t>
        </is>
      </c>
      <c r="F624" t="inlineStr">
        <is>
          <t xml:space="preserve">TISSUE SPECIFICITY: Expressed in trachea, lungs, airway brushings, and testes. {ECO:0000269|PubMed:23993197}.; </t>
        </is>
      </c>
      <c r="G624" t="inlineStr">
        <is>
          <t>unclassifiable (Anatomical System);ovary;heart;islets of Langerhans;salivary gland;intestine;pharynx;colon;blood;skin;uterus;prostate;lung;endometrium;thyroid;placenta;visual apparatus;liver;testis;kidney;brain;bladder;stomach;</t>
        </is>
      </c>
      <c r="H624" t="inlineStr">
        <is>
          <t>dorsal root ganglion;subthalamic nucleus;superior cervical ganglion;ciliary ganglion;pons;atrioventricular node;trigeminal ganglion;skeletal muscle;</t>
        </is>
      </c>
      <c r="I624" t="inlineStr">
        <is>
          <t>.</t>
        </is>
      </c>
      <c r="J624" t="inlineStr">
        <is>
          <t>.</t>
        </is>
      </c>
      <c r="K624" t="inlineStr">
        <is>
          <t>.</t>
        </is>
      </c>
      <c r="L624" t="inlineStr">
        <is>
          <t>.</t>
        </is>
      </c>
      <c r="M624" t="inlineStr">
        <is>
          <t>.</t>
        </is>
      </c>
      <c r="N624" t="inlineStr">
        <is>
          <t>.</t>
        </is>
      </c>
      <c r="O624" t="inlineStr">
        <is>
          <t>.</t>
        </is>
      </c>
    </row>
    <row r="625">
      <c r="A625" t="inlineStr">
        <is>
          <t>RTEL1</t>
        </is>
      </c>
      <c r="B625" t="inlineStr">
        <is>
          <t>0.777758475451746</t>
        </is>
      </c>
      <c r="C625" t="inlineStr">
        <is>
          <t>regulator of telomere elongation helicase 1</t>
        </is>
      </c>
      <c r="D625" t="inlineStr">
        <is>
          <t xml:space="preserve">FUNCTION: ATP-dependent DNA helicase implicated in telomere-length regulation, DNA repair and the maintenance of genomic stability. Acts as an anti-recombinase to counteract toxic recombination and limit crossover during meiosis. Regulates meiotic recombination and crossover homeostasis by physically dissociating strand invasion events and thereby promotes noncrossover repair by meiotic synthesis dependent strand annealing (SDSA) as well as disassembly of D loop recombination intermediates. Also disassembles T loops and prevents telomere fragility by counteracting telomeric G4-DNA structures, which together ensure the dynamics and stability of the telomere. {ECO:0000255|HAMAP- Rule:MF_03065, ECO:0000269|PubMed:18957201, ECO:0000269|PubMed:23453664, ECO:0000269|PubMed:24009516}.; </t>
        </is>
      </c>
      <c r="E625" t="inlineStr">
        <is>
          <t xml:space="preserve">DISEASE: Dyskeratosis congenita, autosomal recessive, 5 (DKCB5) [MIM:615190]: A form of dyskeratosis congenita, a rare multisystem disorder caused by defective telomere maintenance. It is characterized by progressive bone marrow failure, and the clinical triad of reticulated skin hyperpigmentation, nail dystrophy, and mucosal leukoplakia. Common but variable features include premature graying, aplastic anemia, low platelets, osteoporosis, pulmonary fibrosis, and liver fibrosis among others. Early mortality is often associated with bone marrow failure, infections, fatal pulmonary complications, or malignancy. DKCB5 is characterized by onset of bone marrow failure and immunodeficiency in early childhood. Most patients also have growth and developmental delay and cerebellar hypoplasia, consistent with a clinical diagnosis of Hoyeraal-Hreidarsson syndrome. {ECO:0000269|PubMed:23329068, ECO:0000269|PubMed:23453664, ECO:0000269|PubMed:23591994, ECO:0000269|PubMed:23959892, ECO:0000269|PubMed:24009516}. Note=The disease is caused by mutations affecting the gene represented in this entry. RTEL1 mutations have also been found in patients with a dyskeratosis congenita-like phenotype consisting of one feature of dyskeratosis congenita and short telomeres, in the absence of the typical DKC diagnostic triad (PubMed:23329068). {ECO:0000269|PubMed:23329068}.; DISEASE: Dyskeratosis congenita, autosomal dominant, 4 (DKCA4) [MIM:615190]: A rare multisystem disorder caused by defective telomere maintenance. It is characterized by progressive bone marrow failure, and the clinical triad of reticulated skin hyperpigmentation, nail dystrophy, and mucosal leukoplakia. Common but variable features include premature graying, aplastic anemia, low platelets, osteoporosis, pulmonary fibrosis, and liver fibrosis among others. Early mortality is often associated with bone marrow failure, infections, fatal pulmonary complications, or malignancy. {ECO:0000269|PubMed:23329068}. Note=The disease is caused by mutations affecting the gene represented in this entry.; DISEASE: Pulmonary fibrosis, and/or bone marrow failure, telomere- related, 3 (PFBMFT3) [MIM:616373]: A disease associated with shortened telomeres. Pulmonary fibrosis is the most common manifestation. Other manifestations include aplastic anemia due to bone marrow failure, hepatic fibrosis, and increased cancer risk, particularly myelodysplastic syndrome and acute myeloid leukemia. Phenotype, age at onset, and severity are determined by telomere length. {ECO:0000269|PubMed:25848748}. Note=The disease is caused by mutations affecting the gene represented in this entry.; </t>
        </is>
      </c>
      <c r="F625" t="inlineStr">
        <is>
          <t>.</t>
        </is>
      </c>
      <c r="G625" t="inlineStr">
        <is>
          <t>.</t>
        </is>
      </c>
      <c r="H625" t="inlineStr">
        <is>
          <t>.</t>
        </is>
      </c>
      <c r="I625">
        <f>HYPERLINK("https://omim.org/entry/615190", "615190")</f>
        <v/>
      </c>
      <c r="J625">
        <f>HYPERLINK("https://omim.org/entry/615190", "615190")</f>
        <v/>
      </c>
      <c r="K625">
        <f>HYPERLINK("https://omim.org/entry/616373", "616373")</f>
        <v/>
      </c>
      <c r="L625" t="inlineStr">
        <is>
          <t>.</t>
        </is>
      </c>
      <c r="M625" t="inlineStr">
        <is>
          <t>.</t>
        </is>
      </c>
      <c r="N625" t="inlineStr">
        <is>
          <t>.</t>
        </is>
      </c>
      <c r="O625" t="inlineStr">
        <is>
          <t>.</t>
        </is>
      </c>
    </row>
    <row r="626">
      <c r="A626" t="inlineStr">
        <is>
          <t>RTEL1-TNFRSF6B</t>
        </is>
      </c>
      <c r="B626" t="inlineStr">
        <is>
          <t>.</t>
        </is>
      </c>
      <c r="C626" t="inlineStr">
        <is>
          <t>RTEL1-TNFRSF6B readthrough (NMD candidate)</t>
        </is>
      </c>
      <c r="D626" t="inlineStr">
        <is>
          <t>.</t>
        </is>
      </c>
      <c r="E626" t="inlineStr">
        <is>
          <t>.</t>
        </is>
      </c>
      <c r="F626" t="inlineStr">
        <is>
          <t>.</t>
        </is>
      </c>
      <c r="G626" t="inlineStr">
        <is>
          <t>.</t>
        </is>
      </c>
      <c r="H626" t="inlineStr">
        <is>
          <t>.</t>
        </is>
      </c>
      <c r="I626" t="inlineStr">
        <is>
          <t>.</t>
        </is>
      </c>
      <c r="J626" t="inlineStr">
        <is>
          <t>.</t>
        </is>
      </c>
      <c r="K626" t="inlineStr">
        <is>
          <t>.</t>
        </is>
      </c>
      <c r="L626" t="inlineStr">
        <is>
          <t>.</t>
        </is>
      </c>
      <c r="M626" t="inlineStr">
        <is>
          <t>.</t>
        </is>
      </c>
      <c r="N626" t="inlineStr">
        <is>
          <t>.</t>
        </is>
      </c>
      <c r="O626" t="inlineStr">
        <is>
          <t>.</t>
        </is>
      </c>
    </row>
    <row r="627">
      <c r="A627" t="inlineStr">
        <is>
          <t>RWDD4</t>
        </is>
      </c>
      <c r="B627" t="inlineStr">
        <is>
          <t>0.482983522176144</t>
        </is>
      </c>
      <c r="C627" t="inlineStr">
        <is>
          <t>RWD domain containing 4</t>
        </is>
      </c>
      <c r="D627" t="inlineStr">
        <is>
          <t>.</t>
        </is>
      </c>
      <c r="E627" t="inlineStr">
        <is>
          <t>.</t>
        </is>
      </c>
      <c r="F627" t="inlineStr">
        <is>
          <t>.</t>
        </is>
      </c>
      <c r="G627" t="inlineStr">
        <is>
          <t>sympathetic chain;colon;fovea centralis;choroid;skin;retina;uterus;prostate;optic nerve;whole body;endometrium;bone;thyroid;pituitary gland;testis;germinal center;brain;pineal gland;gall bladder;unclassifiable (Anatomical System);cartilage;heart;lacrimal gland;islets of Langerhans;blood;lens;skeletal muscle;breast;pancreas;lung;adrenal gland;placenta;macula lutea;visual apparatus;alveolus;head and neck;kidney;mammary gland;stomach;</t>
        </is>
      </c>
      <c r="H627" t="inlineStr">
        <is>
          <t>.</t>
        </is>
      </c>
      <c r="I627" t="inlineStr">
        <is>
          <t>.</t>
        </is>
      </c>
      <c r="J627" t="inlineStr">
        <is>
          <t>.</t>
        </is>
      </c>
      <c r="K627" t="inlineStr">
        <is>
          <t>.</t>
        </is>
      </c>
      <c r="L627" t="inlineStr">
        <is>
          <t>.</t>
        </is>
      </c>
      <c r="M627" t="inlineStr">
        <is>
          <t>.</t>
        </is>
      </c>
      <c r="N627" t="inlineStr">
        <is>
          <t>.</t>
        </is>
      </c>
      <c r="O627" t="inlineStr">
        <is>
          <t>.</t>
        </is>
      </c>
    </row>
    <row r="628">
      <c r="A628" t="inlineStr">
        <is>
          <t>RXFP1</t>
        </is>
      </c>
      <c r="B628" t="inlineStr">
        <is>
          <t>3.06530424439522e-07</t>
        </is>
      </c>
      <c r="C628" t="inlineStr">
        <is>
          <t>relaxin/insulin-like family peptide receptor 1</t>
        </is>
      </c>
      <c r="D628" t="inlineStr">
        <is>
          <t xml:space="preserve">FUNCTION: Receptor for relaxins. The activity of this receptor is mediated by G proteins leading to stimulation of adenylate cyclase and an increase of cAMP. Binding of the ligand may also activate a tyrosine kinase pathway that inhibits the activity of a phosphodiesterase that degrades cAMP.; </t>
        </is>
      </c>
      <c r="E628" t="inlineStr">
        <is>
          <t>.</t>
        </is>
      </c>
      <c r="F628" t="inlineStr">
        <is>
          <t xml:space="preserve">TISSUE SPECIFICITY: Expressed in the brain, kidney, testis, placenta, uterus, ovary, adrenal, prostate, skin and heart. Not detected in spleen. {ECO:0000269|PubMed:16051677}.; </t>
        </is>
      </c>
      <c r="G628" t="inlineStr">
        <is>
          <t>unclassifiable (Anatomical System);uterus;pancreas;lung;cartilage;heart;endometrium;testis;skeletal muscle;skin;tonsil;</t>
        </is>
      </c>
      <c r="H628" t="inlineStr">
        <is>
          <t>.</t>
        </is>
      </c>
      <c r="I628" t="inlineStr">
        <is>
          <t>.</t>
        </is>
      </c>
      <c r="J628" t="inlineStr">
        <is>
          <t>.</t>
        </is>
      </c>
      <c r="K628" t="inlineStr">
        <is>
          <t>.</t>
        </is>
      </c>
      <c r="L628" t="inlineStr">
        <is>
          <t>.</t>
        </is>
      </c>
      <c r="M628" t="inlineStr">
        <is>
          <t>.</t>
        </is>
      </c>
      <c r="N628" t="inlineStr">
        <is>
          <t>.</t>
        </is>
      </c>
      <c r="O628" t="inlineStr">
        <is>
          <t>.</t>
        </is>
      </c>
    </row>
    <row r="629">
      <c r="A629" t="inlineStr">
        <is>
          <t>RYR2</t>
        </is>
      </c>
      <c r="B629" t="inlineStr">
        <is>
          <t>0.999999934433848</t>
        </is>
      </c>
      <c r="C629" t="inlineStr">
        <is>
          <t>ryanodine receptor 2</t>
        </is>
      </c>
      <c r="D629" t="inlineStr">
        <is>
          <t xml:space="preserve">FUNCTION: Calcium channel that mediates the release of Ca(2+) from the sarcoplasmic reticulum into the cytoplasm and thereby plays a key role in triggering cardiac muscle contraction. Aberrant channel activation can lead to cardiac arrhythmia. In cardiac myocytes, calcium release is triggered by increased Ca(2+) levels due to activation of the L-type calcium channel CACNA1C. The calcium channel activity is modulated by formation of heterotetramers with RYR3. Required for cellular calcium ion homeostasis. Required for embryonic heart development. {ECO:0000269|PubMed:10830164, ECO:0000269|PubMed:20056922}.; </t>
        </is>
      </c>
      <c r="E629" t="inlineStr">
        <is>
          <t xml:space="preserve">DISEASE: Arrhythmogenic right ventricular dysplasia, familial, 2 (ARVD2) [MIM:600996]: A congenital heart disease characterized by infiltration of adipose and fibrous tissue into the right ventricle and loss of myocardial cells, resulting in ventricular and supraventricular arrhythmias. {ECO:0000269|PubMed:11159936}. Note=The disease is caused by mutations affecting the gene represented in this entry.; DISEASE: Ventricular tachycardia, catecholaminergic polymorphic, 1, with or without atrial dysfunction and/or dilated cardiomyopathy (CPVT1) [MIM:604772]: An arrhythmogenic disorder characterized by stress-induced, bidirectional ventricular tachycardia that may degenerate into cardiac arrest and cause sudden death. Patients present with recurrent syncope, seizures, or sudden death after physical activity or emotional stress. {ECO:0000269|PubMed:11157710, ECO:0000269|PubMed:12093772, ECO:0000269|PubMed:12106942, ECO:0000269|PubMed:15046072, ECO:0000269|PubMed:15046073, ECO:0000269|PubMed:15466642, ECO:0000269|PubMed:15544015}. Note=The disease is caused by mutations affecting the gene represented in this entry.; </t>
        </is>
      </c>
      <c r="F629" t="inlineStr">
        <is>
          <t xml:space="preserve">TISSUE SPECIFICITY: Detected in heart muscle (at protein level). Heart muscle, brain (cerebellum and hippocampus) and placenta. {ECO:0000269|PubMed:10830164, ECO:0000269|PubMed:9607712}.; </t>
        </is>
      </c>
      <c r="G629" t="inlineStr">
        <is>
          <t>unclassifiable (Anatomical System);heart;hypothalamus;colon;fovea centralis;choroid;lens;skeletal muscle;retina;prostate;optic nerve;atrium;lung;frontal lobe;placenta;bone;macula lutea;liver;head and neck;spleen;cervix;brain;</t>
        </is>
      </c>
      <c r="H629" t="inlineStr">
        <is>
          <t>amygdala;occipital lobe;subthalamic nucleus;medulla oblongata;temporal lobe;prefrontal cortex;globus pallidus;caudate nucleus;pons;cingulate cortex;</t>
        </is>
      </c>
      <c r="I629">
        <f>HYPERLINK("https://omim.org/entry/600996", "600996")</f>
        <v/>
      </c>
      <c r="J629">
        <f>HYPERLINK("https://omim.org/entry/604772", "604772")</f>
        <v/>
      </c>
      <c r="K629" t="inlineStr">
        <is>
          <t>.</t>
        </is>
      </c>
      <c r="L629" t="inlineStr">
        <is>
          <t>.</t>
        </is>
      </c>
      <c r="M629" t="inlineStr">
        <is>
          <t>.</t>
        </is>
      </c>
      <c r="N629" t="inlineStr">
        <is>
          <t>.</t>
        </is>
      </c>
      <c r="O629" t="inlineStr">
        <is>
          <t>.</t>
        </is>
      </c>
    </row>
    <row r="630">
      <c r="A630" t="inlineStr">
        <is>
          <t>RYR3</t>
        </is>
      </c>
      <c r="B630" t="inlineStr">
        <is>
          <t>0.999999945238815</t>
        </is>
      </c>
      <c r="C630" t="inlineStr">
        <is>
          <t>ryanodine receptor 3</t>
        </is>
      </c>
      <c r="D630" t="inlineStr">
        <is>
          <t xml:space="preserve">FUNCTION: Calcium channel that mediates the release of Ca(2+) from the sarcoplasmic reticulum into the cytoplasm in muscle and thereby plays a role in triggering muscle contraction. May regulate Ca(2+) release by other calcium channels. Calcium channel that mediates Ca(2+)-induced Ca(2+) release from the endoplasmic reticulum in non-muscle cells. Contributes to cellular calcium ion homeostasis (By similarity). Plays a role in cellular calcium signaling. {ECO:0000250, ECO:0000269|PubMed:12354756}.; </t>
        </is>
      </c>
      <c r="E630" t="inlineStr">
        <is>
          <t>.</t>
        </is>
      </c>
      <c r="F630" t="inlineStr">
        <is>
          <t xml:space="preserve">TISSUE SPECIFICITY: Brain, skeletal muscle, placenta and possibly liver and kidney. In brain, highest levels are found in the cerebellum, hippocampus, caudate nucleus and amygdala, with lower levels in the corpus callosum, substantia nigra and thalamus. {ECO:0000269|PubMed:9395096, ECO:0000269|PubMed:9607712}.; </t>
        </is>
      </c>
      <c r="G630" t="inlineStr">
        <is>
          <t>unclassifiable (Anatomical System);ovary;cartilage;islets of Langerhans;spinal cord;parathyroid;fovea centralis;choroid;lens;skeletal muscle;retina;prostate;optic nerve;whole body;frontal lobe;placenta;macula lutea;spleen;germinal center;brain;</t>
        </is>
      </c>
      <c r="H630" t="inlineStr">
        <is>
          <t>amygdala;superior cervical ganglion;occipital lobe;caudate nucleus;trigeminal ganglion;parietal lobe;skeletal muscle;</t>
        </is>
      </c>
      <c r="I630" t="inlineStr">
        <is>
          <t>.</t>
        </is>
      </c>
      <c r="J630" t="inlineStr">
        <is>
          <t>.</t>
        </is>
      </c>
      <c r="K630" t="inlineStr">
        <is>
          <t>.</t>
        </is>
      </c>
      <c r="L630" t="inlineStr">
        <is>
          <t>.</t>
        </is>
      </c>
      <c r="M630" t="inlineStr">
        <is>
          <t>.</t>
        </is>
      </c>
      <c r="N630" t="inlineStr">
        <is>
          <t>.</t>
        </is>
      </c>
      <c r="O630" t="inlineStr">
        <is>
          <t>.</t>
        </is>
      </c>
    </row>
    <row r="631">
      <c r="A631" t="inlineStr">
        <is>
          <t>SAA2</t>
        </is>
      </c>
      <c r="B631" t="inlineStr">
        <is>
          <t>0.0286553987840972</t>
        </is>
      </c>
      <c r="C631" t="inlineStr">
        <is>
          <t>serum amyloid A2</t>
        </is>
      </c>
      <c r="D631" t="inlineStr">
        <is>
          <t xml:space="preserve">FUNCTION: Major acute phase reactant. Apolipoprotein of the HDL complex.; </t>
        </is>
      </c>
      <c r="E631" t="inlineStr">
        <is>
          <t xml:space="preserve">DISEASE: Note=Reactive, secondary amyloidosis is characterized by the extracellular accumulation in various tissues of the SAA2 protein. These deposits are highly insoluble and resistant to proteolysis; they disrupt tissue structure and compromise function. {ECO:0000269|PubMed:1463770}.; </t>
        </is>
      </c>
      <c r="F631" t="inlineStr">
        <is>
          <t xml:space="preserve">TISSUE SPECIFICITY: Expressed by the liver; secreted in plasma.; </t>
        </is>
      </c>
      <c r="G631" t="inlineStr">
        <is>
          <t>unclassifiable (Anatomical System);skeletal muscle;uterus;pancreas;prostate;lung;larynx;nasopharynx;liver;testis;head and neck;brain;mammary gland;gall bladder;</t>
        </is>
      </c>
      <c r="H631" t="inlineStr">
        <is>
          <t>.</t>
        </is>
      </c>
      <c r="I631" t="inlineStr">
        <is>
          <t>.</t>
        </is>
      </c>
      <c r="J631" t="inlineStr">
        <is>
          <t>.</t>
        </is>
      </c>
      <c r="K631" t="inlineStr">
        <is>
          <t>.</t>
        </is>
      </c>
      <c r="L631" t="inlineStr">
        <is>
          <t>.</t>
        </is>
      </c>
      <c r="M631" t="inlineStr">
        <is>
          <t>.</t>
        </is>
      </c>
      <c r="N631" t="inlineStr">
        <is>
          <t>.</t>
        </is>
      </c>
      <c r="O631" t="inlineStr">
        <is>
          <t>.</t>
        </is>
      </c>
    </row>
    <row r="632">
      <c r="A632" t="inlineStr">
        <is>
          <t>SALL3</t>
        </is>
      </c>
      <c r="B632" t="inlineStr">
        <is>
          <t>0.0901931288456932</t>
        </is>
      </c>
      <c r="C632" t="inlineStr">
        <is>
          <t>spalt-like transcription factor 3</t>
        </is>
      </c>
      <c r="D632" t="inlineStr">
        <is>
          <t xml:space="preserve">FUNCTION: Probable transcription factor.; </t>
        </is>
      </c>
      <c r="E632" t="inlineStr">
        <is>
          <t>.</t>
        </is>
      </c>
      <c r="F632" t="inlineStr">
        <is>
          <t xml:space="preserve">TISSUE SPECIFICITY: Widely expressed in adult with highest levels in heart. Expressed in fetal brain (in neurons of hippocampus, cortex, mediodorsal and ventrolateral thalamic nuclei, putamen, cerebellum and brainstem).; </t>
        </is>
      </c>
      <c r="G632" t="inlineStr">
        <is>
          <t>.</t>
        </is>
      </c>
      <c r="H632" t="inlineStr">
        <is>
          <t>.</t>
        </is>
      </c>
      <c r="I632" t="inlineStr">
        <is>
          <t>.</t>
        </is>
      </c>
      <c r="J632" t="inlineStr">
        <is>
          <t>.</t>
        </is>
      </c>
      <c r="K632" t="inlineStr">
        <is>
          <t>.</t>
        </is>
      </c>
      <c r="L632" t="inlineStr">
        <is>
          <t>.</t>
        </is>
      </c>
      <c r="M632" t="inlineStr">
        <is>
          <t>.</t>
        </is>
      </c>
      <c r="N632" t="inlineStr">
        <is>
          <t>.</t>
        </is>
      </c>
      <c r="O632" t="inlineStr">
        <is>
          <t>.</t>
        </is>
      </c>
    </row>
    <row r="633">
      <c r="A633" t="inlineStr">
        <is>
          <t>SAMD8</t>
        </is>
      </c>
      <c r="B633" t="inlineStr">
        <is>
          <t>0.00435169659402061</t>
        </is>
      </c>
      <c r="C633" t="inlineStr">
        <is>
          <t>sterile alpha motif domain containing 8</t>
        </is>
      </c>
      <c r="D633" t="inlineStr">
        <is>
          <t xml:space="preserve">FUNCTION: Sphingomyelin synthases synthesize sphingolipids through transfer of a phosphatidyl head group on to the primary hydroxyl of ceramide. SAMD8 is an endoplasmic reticulum (ER) transferase that has no sphingomyelin synthase activity but can convert phosphatidylethanolamine (PE) and ceramide to ceramide phosphoethanolamine (CPE) albeit with low product yield. Appears to operate as a ceramide sensor to control ceramide homeostasis in the endoplasmic reticulum rather than a converter of ceramides. Seems to be critical for the integrity of the early secretory pathway. {ECO:0000269|PubMed:19506037}.; </t>
        </is>
      </c>
      <c r="E633" t="inlineStr">
        <is>
          <t>.</t>
        </is>
      </c>
      <c r="F633" t="inlineStr">
        <is>
          <t>.</t>
        </is>
      </c>
      <c r="G633" t="inlineStr">
        <is>
          <t>.</t>
        </is>
      </c>
      <c r="H633" t="inlineStr">
        <is>
          <t>.</t>
        </is>
      </c>
      <c r="I633" t="inlineStr">
        <is>
          <t>.</t>
        </is>
      </c>
      <c r="J633" t="inlineStr">
        <is>
          <t>.</t>
        </is>
      </c>
      <c r="K633" t="inlineStr">
        <is>
          <t>.</t>
        </is>
      </c>
      <c r="L633" t="inlineStr">
        <is>
          <t>.</t>
        </is>
      </c>
      <c r="M633" t="inlineStr">
        <is>
          <t>.</t>
        </is>
      </c>
      <c r="N633" t="inlineStr">
        <is>
          <t>.</t>
        </is>
      </c>
      <c r="O633" t="inlineStr">
        <is>
          <t>.</t>
        </is>
      </c>
    </row>
    <row r="634">
      <c r="A634" t="inlineStr">
        <is>
          <t>SARM1</t>
        </is>
      </c>
      <c r="B634" t="inlineStr">
        <is>
          <t>9.18622777225885e-09</t>
        </is>
      </c>
      <c r="C634" t="inlineStr">
        <is>
          <t>sterile alpha and TIR motif containing 1</t>
        </is>
      </c>
      <c r="D634" t="inlineStr">
        <is>
          <t xml:space="preserve">FUNCTION: Negative regulator of MYD88- and TRIF-dependent toll- like receptor signaling pathway which plays a pivotal role in activating axonal degeneration following injury. Promotes Wallerian degeneration an injury-induced axonal death pathway which involves degeneration of an axon distal to the injury site. Can activate neuronal death in response to stress. Regulates dendritic arborization through the MAPK4-JNK pathway. Involved in innate immune response. Inhibits both TICAM1/TRIF- and MYD88- dependent activation of JUN/AP-1, TRIF-dependent activation of NF- kappa-B and IRF3, and the phosphorylation of MAPK14/p38. {ECO:0000269|PubMed:15123841, ECO:0000269|PubMed:16964262, ECO:0000269|PubMed:16985498, ECO:0000269|PubMed:20306472}.; </t>
        </is>
      </c>
      <c r="E634" t="inlineStr">
        <is>
          <t>.</t>
        </is>
      </c>
      <c r="F634" t="inlineStr">
        <is>
          <t xml:space="preserve">TISSUE SPECIFICITY: Predominantly expressed in brain, kidney and liver. Expressed at lower level in placenta. {ECO:0000269|PubMed:11386760, ECO:0000269|PubMed:17724133}.; </t>
        </is>
      </c>
      <c r="G634" t="inlineStr">
        <is>
          <t>ovary;colon;parathyroid;fovea centralis;choroid;skin;retina;uterus;prostate;optic nerve;endometrium;bone;testis;germinal center;spinal ganglion;brain;unclassifiable (Anatomical System);heart;cartilage;islets of Langerhans;lens;skeletal muscle;pancreas;lung;placenta;macula lutea;visual apparatus;liver;duodenum;spleen;kidney;mammary gland;stomach;</t>
        </is>
      </c>
      <c r="H634" t="inlineStr">
        <is>
          <t>dorsal root ganglion;superior cervical ganglion;appendix;ciliary ganglion;cingulate cortex;skeletal muscle;</t>
        </is>
      </c>
      <c r="I634" t="inlineStr">
        <is>
          <t>.</t>
        </is>
      </c>
      <c r="J634" t="inlineStr">
        <is>
          <t>.</t>
        </is>
      </c>
      <c r="K634" t="inlineStr">
        <is>
          <t>.</t>
        </is>
      </c>
      <c r="L634" t="inlineStr">
        <is>
          <t>.</t>
        </is>
      </c>
      <c r="M634" t="inlineStr">
        <is>
          <t>.</t>
        </is>
      </c>
      <c r="N634" t="inlineStr">
        <is>
          <t>.</t>
        </is>
      </c>
      <c r="O634" t="inlineStr">
        <is>
          <t>.</t>
        </is>
      </c>
    </row>
    <row r="635">
      <c r="A635" t="inlineStr">
        <is>
          <t>SCARB2</t>
        </is>
      </c>
      <c r="B635" t="inlineStr">
        <is>
          <t>0.072442869057668</t>
        </is>
      </c>
      <c r="C635" t="inlineStr">
        <is>
          <t>scavenger receptor class B member 2</t>
        </is>
      </c>
      <c r="D635" t="inlineStr">
        <is>
          <t xml:space="preserve">FUNCTION: Acts as a lysosomal receptor for glucosylceramidase (GBA) targeting. {ECO:0000269|PubMed:18022370}.; </t>
        </is>
      </c>
      <c r="E635" t="inlineStr">
        <is>
          <t xml:space="preserve">DISEASE: Epilepsy, progressive myoclonic 4, with or without renal failure (EPM4) [MIM:254900]: An autosomal recessive progressive myoclonic epilepsy associated with renal failure in some cases. Cognitive function is preserved. Myoclonus is a brief, involuntary twitching of a muscle or a group of muscles. {ECO:0000269|PubMed:18308289, ECO:0000269|PubMed:18424452, ECO:0000269|PubMed:19454373, ECO:0000269|PubMed:21670406}. Note=The disease is caused by mutations affecting the gene represented in this entry.; DISEASE: Note=Genetic variants in SCARB2 can act as modifier of the phenotypic expression and severity of Gaucher disease. {ECO:0000269|PubMed:21796727}.; </t>
        </is>
      </c>
      <c r="F635" t="inlineStr">
        <is>
          <t>.</t>
        </is>
      </c>
      <c r="G635" t="inlineStr">
        <is>
          <t>smooth muscle;ovary;skin;retina;bone marrow;prostate;optic nerve;endometrium;brain;amygdala;heart;cartilage;tongue;urinary;adrenal cortex;pharynx;blood;lens;skeletal muscle;macula lutea;visual apparatus;liver;spleen;mammary gland;salivary gland;intestine;colon;parathyroid;fovea centralis;choroid;vein;uterus;whole body;atrium;oesophagus;cerebral cortex;larynx;bone;pituitary gland;testis;spinal ganglion;unclassifiable (Anatomical System);lymph node;cerebellum cortex;islets of Langerhans;bile duct;pancreas;lung;cornea;nasopharynx;placenta;duodenum;head and neck;kidney;stomach;</t>
        </is>
      </c>
      <c r="H635" t="inlineStr">
        <is>
          <t>dorsal root ganglion;amygdala;superior cervical ganglion;ciliary ganglion;atrioventricular node;trigeminal ganglion;skeletal muscle;</t>
        </is>
      </c>
      <c r="I635">
        <f>HYPERLINK("https://omim.org/entry/254900", "254900")</f>
        <v/>
      </c>
      <c r="J635" t="inlineStr">
        <is>
          <t>.</t>
        </is>
      </c>
      <c r="K635" t="inlineStr">
        <is>
          <t>.</t>
        </is>
      </c>
      <c r="L635" t="inlineStr">
        <is>
          <t>.</t>
        </is>
      </c>
      <c r="M635" t="inlineStr">
        <is>
          <t>.</t>
        </is>
      </c>
      <c r="N635" t="inlineStr">
        <is>
          <t>.</t>
        </is>
      </c>
      <c r="O635" t="inlineStr">
        <is>
          <t>.</t>
        </is>
      </c>
    </row>
    <row r="636">
      <c r="A636" t="inlineStr">
        <is>
          <t>SCCPDH</t>
        </is>
      </c>
      <c r="B636" t="inlineStr">
        <is>
          <t>0.0119007027684187</t>
        </is>
      </c>
      <c r="C636" t="inlineStr">
        <is>
          <t>saccharopine dehydrogenase (putative)</t>
        </is>
      </c>
      <c r="D636" t="inlineStr">
        <is>
          <t>.</t>
        </is>
      </c>
      <c r="E636" t="inlineStr">
        <is>
          <t>.</t>
        </is>
      </c>
      <c r="F636" t="inlineStr">
        <is>
          <t>.</t>
        </is>
      </c>
      <c r="G636" t="inlineStr">
        <is>
          <t>.</t>
        </is>
      </c>
      <c r="H636" t="inlineStr">
        <is>
          <t>.</t>
        </is>
      </c>
      <c r="I636" t="inlineStr">
        <is>
          <t>.</t>
        </is>
      </c>
      <c r="J636" t="inlineStr">
        <is>
          <t>.</t>
        </is>
      </c>
      <c r="K636" t="inlineStr">
        <is>
          <t>.</t>
        </is>
      </c>
      <c r="L636" t="inlineStr">
        <is>
          <t>.</t>
        </is>
      </c>
      <c r="M636" t="inlineStr">
        <is>
          <t>.</t>
        </is>
      </c>
      <c r="N636" t="inlineStr">
        <is>
          <t>.</t>
        </is>
      </c>
      <c r="O636" t="inlineStr">
        <is>
          <t>.</t>
        </is>
      </c>
    </row>
    <row r="637">
      <c r="A637" t="inlineStr">
        <is>
          <t>SCN1A</t>
        </is>
      </c>
      <c r="B637" t="inlineStr">
        <is>
          <t>0.999999999535395</t>
        </is>
      </c>
      <c r="C637" t="inlineStr">
        <is>
          <t>sodium voltage-gated channel alpha subunit 1</t>
        </is>
      </c>
      <c r="D637" t="inlineStr">
        <is>
          <t xml:space="preserve">FUNCTION: Mediates the voltage-dependent sodium ion permeability of excitable membranes. Assuming opened or closed conformations in response to the voltage difference across the membrane, the protein forms a sodium-selective channel through which Na(+) ions may pass in accordance with their electrochemical gradient.; </t>
        </is>
      </c>
      <c r="E637" t="inlineStr">
        <is>
          <t xml:space="preserve">DISEASE: Generalized epilepsy with febrile seizures plus 2 (GEFS+2) [MIM:604403]: A rare autosomal dominant, familial condition with incomplete penetrance and large intrafamilial variability. Patients display febrile seizures persisting sometimes beyond the age of 6 years and/or a variety of afebrile seizure types. This disease combines febrile seizures, generalized seizures often precipitated by fever at age 6 years or more, and partial seizures, with a variable degree of severity. {ECO:0000269|PubMed:10742094, ECO:0000269|PubMed:11254444, ECO:0000269|PubMed:11254445, ECO:0000269|PubMed:11524484, ECO:0000269|PubMed:11756608, ECO:0000269|PubMed:12535936, ECO:0000269|PubMed:12576172, ECO:0000269|PubMed:12919402, ECO:0000269|PubMed:14672992, ECO:0000269|PubMed:15525788, ECO:0000269|PubMed:15694566, ECO:0000269|PubMed:15715999, ECO:0000269|PubMed:16525050, ECO:0000269|PubMed:17347258, ECO:0000269|PubMed:17507202, ECO:0000269|PubMed:17561957, ECO:0000269|PubMed:17927801, ECO:0000269|PubMed:18251839, ECO:0000269|PubMed:18413471, ECO:0000269|PubMed:18566737, ECO:0000269|PubMed:19339291, ECO:0000269|PubMed:19464195, ECO:0000269|PubMed:19522081, ECO:0000269|PubMed:20117752, ECO:0000269|PubMed:20550552, ECO:0000269|PubMed:20600615, ECO:0000269|PubMed:20729507, ECO:0000269|PubMed:21248271, ECO:0000269|PubMed:21864321}. Note=The disease is caused by mutations affecting the gene represented in this entry.; DISEASE: Epileptic encephalopathy, early infantile, 6 (EIEE6) [MIM:607208]: A severe form of epileptic encephalopathy characterized by generalized tonic, clonic, and tonic-clonic seizures that are initially induced by fever and begin during the first year of life. Later, patients also manifest other seizure types, including absence, myoclonic, and simple and complex partial seizures. Psychomotor development delay is observed around the second year of life. Some patients manifest a borderline disease phenotype and do not necessarily fulfill all diagnostic criteria for core EIEE6. EIEE6 is considered to be the most severe phenotype within the spectrum of generalized epilepsies with febrile seizures-plus. {ECO:0000269|PubMed:11359211, ECO:0000269|PubMed:12083760, ECO:0000269|PubMed:12566275, ECO:0000269|PubMed:12754708, ECO:0000269|PubMed:12821740, ECO:0000269|PubMed:14504318, ECO:0000269|PubMed:14738421, ECO:0000269|PubMed:15087100, ECO:0000269|PubMed:15944908, ECO:0000269|PubMed:16122630, ECO:0000269|PubMed:16458823, ECO:0000269|PubMed:16713920, ECO:0000269|PubMed:17054684, ECO:0000269|PubMed:17054685, ECO:0000269|PubMed:17129991, ECO:0000269|PubMed:17347258, ECO:0000269|PubMed:17561957, ECO:0000269|PubMed:18413471, ECO:0000269|PubMed:18639757, ECO:0000269|PubMed:18930999, ECO:0000269|PubMed:19522081, ECO:0000269|PubMed:19563458, ECO:0000269|PubMed:19589774, ECO:0000269|PubMed:19783390, ECO:0000269|PubMed:20110217, ECO:0000269|PubMed:20431604, ECO:0000269|PubMed:20452746, ECO:0000269|PubMed:20522430, ECO:0000269|PubMed:20729507, ECO:0000269|PubMed:21248271, ECO:0000269|PubMed:21864321, ECO:0000269|PubMed:22092154, ECO:0000269|PubMed:22612257, ECO:0000269|PubMed:23195492}. Note=The disease is caused by mutations affecting the gene represented in this entry.; DISEASE: Intractable childhood epilepsy with generalized tonic- clonic seizures (ICEGTC) [MIM:607208]: A disorder characterized by generalized tonic-clonic seizures beginning usually in infancy and induced by fever. Seizures are associated with subsequent mental decline, as well as ataxia or hypotonia. ICEGTC is similar to SMEI, except for the absence of myoclonic seizures. {ECO:0000269|PubMed:12566275, ECO:0000269|PubMed:16210358, ECO:0000269|PubMed:17507202, ECO:0000269|PubMed:23195492}. Note=The disease is caused by mutations affecting the gene represented in this entry.; DISEASE: Migraine, familial hemiplegic, 3 (FHM3) [MIM:609634]: A subtype of migraine associated with transient blindness in some families. Migraine is a disabling symptom complex of periodic headaches, usually temporal and unilateral. Headaches are often accompanied by irritability, nausea, vomiting and photophobia, preceded by constriction of the cranial arteries. The two major subtypes are common migraine (migraine without aura) and classic migraine (migraine with aura). Classic migraine is characterized by recurrent attacks of reversible neurological symptoms (aura) that precede or accompany the headache. Aura may include a combination of sensory disturbances, such as blurred vision, hallucinations, vertigo, numbness and difficulty in concentrating and speaking. {ECO:0000269|PubMed:16054936, ECO:0000269|PubMed:17397047, ECO:0000269|PubMed:18021921, ECO:0000269|PubMed:19332696}. Note=The disease is caused by mutations affecting the gene represented in this entry.; DISEASE: Febrile seizures, familial, 3A (FEB3A) [MIM:604403]: Seizures associated with febrile episodes in childhood without any evidence of intracranial infection or defined pathologic or traumatic cause. It is a common condition, affecting 2-5% of children aged 3 months to 5 years. The majority are simple febrile seizures (generally defined as generalized onset, single seizures with a duration of less than 30 minutes). Complex febrile seizures are characterized by focal onset, duration greater than 30 minutes, and/or more than one seizure in a 24 hour period. The likelihood of developing epilepsy following simple febrile seizures is low. Complex febrile seizures are associated with a moderately increased incidence of epilepsy. {ECO:0000269|PubMed:16326807, ECO:0000269|PubMed:19522081}. Note=The disease is caused by mutations affecting the gene represented in this entry.; DISEASE: Note=SCN1A mutations may be involved in Panayiotopoulos syndrome, a benign age-related focal seizure disorder occurring in early and mid-childhood. It is characterized by seizures, often prolonged, with predominantly autonomic symptoms, and by an electroencephalogram that shows shifting and/or multiple foci, often with occipital predominance. Autonomic seizures in Panayiotopoulos syndrome consist of episodes of disturbed autonomic function with emesis as the predominant symptom. Cardiorespiratory arrest is exceptional. {ECO:0000269|PubMed:17679682, ECO:0000269|PubMed:19339291, ECO:0000269|PubMed:19522081}.; </t>
        </is>
      </c>
      <c r="F637" t="inlineStr">
        <is>
          <t>.</t>
        </is>
      </c>
      <c r="G637" t="inlineStr">
        <is>
          <t>unclassifiable (Anatomical System);optic nerve;frontal lobe;hypothalamus;macula lutea;fovea centralis;choroid;lens;brain;skeletal muscle;retina;</t>
        </is>
      </c>
      <c r="H637" t="inlineStr">
        <is>
          <t>amygdala;occipital lobe;medulla oblongata;thalamus;subthalamic nucleus;temporal lobe;prefrontal cortex;globus pallidus;pons;cingulate cortex;parietal lobe;</t>
        </is>
      </c>
      <c r="I637">
        <f>HYPERLINK("https://omim.org/entry/604403", "604403")</f>
        <v/>
      </c>
      <c r="J637">
        <f>HYPERLINK("https://omim.org/entry/607208", "607208")</f>
        <v/>
      </c>
      <c r="K637">
        <f>HYPERLINK("https://omim.org/entry/607208", "607208")</f>
        <v/>
      </c>
      <c r="L637">
        <f>HYPERLINK("https://omim.org/entry/609634", "609634")</f>
        <v/>
      </c>
      <c r="M637">
        <f>HYPERLINK("https://omim.org/entry/604403", "604403")</f>
        <v/>
      </c>
      <c r="N637" t="inlineStr">
        <is>
          <t>.</t>
        </is>
      </c>
      <c r="O637" t="inlineStr">
        <is>
          <t>.</t>
        </is>
      </c>
    </row>
    <row r="638">
      <c r="A638" t="inlineStr">
        <is>
          <t>SCN2A</t>
        </is>
      </c>
      <c r="B638" t="inlineStr">
        <is>
          <t>0.999999992314383</t>
        </is>
      </c>
      <c r="C638" t="inlineStr">
        <is>
          <t>sodium voltage-gated channel alpha subunit 2</t>
        </is>
      </c>
      <c r="D638" t="inlineStr">
        <is>
          <t xml:space="preserve">FUNCTION: Mediates the voltage-dependent sodium ion permeability of excitable membranes. Assuming opened or closed conformations in response to the voltage difference across the membrane, the protein forms a sodium-selective channel through which Na(+) ions may pass in accordance with their electrochemical gradient. {ECO:0000269|PubMed:1325650}.; </t>
        </is>
      </c>
      <c r="E638" t="inlineStr">
        <is>
          <t xml:space="preserve">DISEASE: Seizures, benign familial infantile 3 (BFIS3) [MIM:607745]: An autosomal dominant disorder in which afebrile seizures occur in clusters during the first year of life, without neurologic sequelae. {ECO:0000269|PubMed:11371648, ECO:0000269|PubMed:12243921, ECO:0000269|PubMed:15048894, ECO:0000269|PubMed:20371507, ECO:0000269|PubMed:22612257}. Note=The disease is caused by mutations affecting the gene represented in this entry.; DISEASE: Epileptic encephalopathy, early infantile, 11 (EIEE11) [MIM:613721]: An autosomal dominant seizure disorder characterized by neonatal or infantile onset of refractory seizures with resultant delayed neurologic development and persistent neurologic abnormalities. Patients may progress to West syndrome, which is characterized by tonic spasms with clustering, arrest of psychomotor development, and hypsarrhythmia on EEG. {ECO:0000269|PubMed:19783390, ECO:0000269|PubMed:19786696, ECO:0000269|PubMed:20956790, ECO:0000269|PubMed:23550958, ECO:0000269|PubMed:23935176}. Note=The disease is caused by mutations affecting the gene represented in this entry.; </t>
        </is>
      </c>
      <c r="F638" t="inlineStr">
        <is>
          <t>.</t>
        </is>
      </c>
      <c r="G638" t="inlineStr">
        <is>
          <t>unclassifiable (Anatomical System);amygdala;cerebellum cortex;colon;fovea centralis;choroid;lens;skeletal muscle;retina;optic nerve;lung;frontal lobe;bone;macula lutea;kidney;brain;</t>
        </is>
      </c>
      <c r="H638" t="inlineStr">
        <is>
          <t>amygdala;medulla oblongata;occipital lobe;cerebellum peduncles;temporal lobe;pons;subthalamic nucleus;fetal brain;prefrontal cortex;globus pallidus;ciliary ganglion;parietal lobe;cingulate cortex;cerebellum;</t>
        </is>
      </c>
      <c r="I638">
        <f>HYPERLINK("https://omim.org/entry/607745", "607745")</f>
        <v/>
      </c>
      <c r="J638">
        <f>HYPERLINK("https://omim.org/entry/613721", "613721")</f>
        <v/>
      </c>
      <c r="K638" t="inlineStr">
        <is>
          <t>.</t>
        </is>
      </c>
      <c r="L638" t="inlineStr">
        <is>
          <t>.</t>
        </is>
      </c>
      <c r="M638" t="inlineStr">
        <is>
          <t>.</t>
        </is>
      </c>
      <c r="N638" t="inlineStr">
        <is>
          <t>.</t>
        </is>
      </c>
      <c r="O638" t="inlineStr">
        <is>
          <t>.</t>
        </is>
      </c>
    </row>
    <row r="639">
      <c r="A639" t="inlineStr">
        <is>
          <t>SCRN1</t>
        </is>
      </c>
      <c r="B639" t="inlineStr">
        <is>
          <t>0.065188552320723</t>
        </is>
      </c>
      <c r="C639" t="inlineStr">
        <is>
          <t>secernin 1</t>
        </is>
      </c>
      <c r="D639" t="inlineStr">
        <is>
          <t xml:space="preserve">FUNCTION: Regulates exocytosis in mast cells. Increases both the extent of secretion and the sensitivity of mast cells to stimulation with calcium (By similarity). {ECO:0000250}.; </t>
        </is>
      </c>
      <c r="E639" t="inlineStr">
        <is>
          <t>.</t>
        </is>
      </c>
      <c r="F639" t="inlineStr">
        <is>
          <t>.</t>
        </is>
      </c>
      <c r="G639" t="inlineStr">
        <is>
          <t>smooth muscle;ovary;sympathetic chain;skin;retina;bone marrow;prostate;optic nerve;frontal lobe;endometrium;gum;amniotic fluid;germinal center;bladder;brain;amygdala;heart;cartilage;pineal body;spinal cord;urinary;adrenal cortex;pharynx;blood;lens;skeletal muscle;breast;macula lutea;visual apparatus;liver;spleen;cervix;mammary gland;peripheral nerve;salivary gland;intestine;colon;parathyroid;fovea centralis;choroid;uterus;whole body;cerebral cortex;larynx;synovium;bone;pituitary gland;testis;spinal ganglion;pineal gland;unclassifiable (Anatomical System);islets of Langerhans;oral cavity;muscle;bile duct;pancreas;lung;cornea;mesenchyma;placenta;hippocampus;head and neck;kidney;stomach;cerebellum;</t>
        </is>
      </c>
      <c r="H639" t="inlineStr">
        <is>
          <t>whole brain;amygdala;occipital lobe;medulla oblongata;thalamus;olfactory bulb;cerebellum peduncles;hypothalamus;temporal lobe;caudate nucleus;pons;subthalamic nucleus;prefrontal cortex;globus pallidus;parietal lobe;cingulate cortex;cerebellum;</t>
        </is>
      </c>
      <c r="I639" t="inlineStr">
        <is>
          <t>.</t>
        </is>
      </c>
      <c r="J639" t="inlineStr">
        <is>
          <t>.</t>
        </is>
      </c>
      <c r="K639" t="inlineStr">
        <is>
          <t>.</t>
        </is>
      </c>
      <c r="L639" t="inlineStr">
        <is>
          <t>.</t>
        </is>
      </c>
      <c r="M639" t="inlineStr">
        <is>
          <t>.</t>
        </is>
      </c>
      <c r="N639" t="inlineStr">
        <is>
          <t>.</t>
        </is>
      </c>
      <c r="O639" t="inlineStr">
        <is>
          <t>.</t>
        </is>
      </c>
    </row>
    <row r="640">
      <c r="A640" t="inlineStr">
        <is>
          <t>SDR16C5</t>
        </is>
      </c>
      <c r="B640" t="inlineStr">
        <is>
          <t>0.00291744009323263</t>
        </is>
      </c>
      <c r="C640" t="inlineStr">
        <is>
          <t>short chain dehydrogenase/reductase family 16C, member 5</t>
        </is>
      </c>
      <c r="D640" t="inlineStr">
        <is>
          <t xml:space="preserve">FUNCTION: Oxidoreductase with strong preference for NAD. Active in both the oxidative and reductive directions. Oxidizes all-trans- retinol in all-trans-retinaldehyde. No activity was detected with 11-cis-retinol or 11-cis-retinaldehyde as substrates with either NAD(+)/NADH or NADP(+)/NADPH. {ECO:0000269|PubMed:18926804}.; </t>
        </is>
      </c>
      <c r="E640" t="inlineStr">
        <is>
          <t>.</t>
        </is>
      </c>
      <c r="F640" t="inlineStr">
        <is>
          <t xml:space="preserve">TISSUE SPECIFICITY: Detected in adult lung. Detected at low levels in adult brain, heart, testis, placenta, cervix, pancreas, uterus, stomach, rectum, small intestine, colon, esophagus, thymus, skin, and skin keratinocyte. Expression is higher in psoriasis lesions relative to unaffected skin from psoriasis patients. Detected in fetal kidney, skin and lung. {ECO:0000269|PubMed:12372410}.; </t>
        </is>
      </c>
      <c r="G640" t="inlineStr">
        <is>
          <t>unclassifiable (Anatomical System);pancreas;lung;heart;oesophagus;islets of Langerhans;larynx;nasopharynx;hypopharynx;testis;colon;head and neck;brain;stomach;</t>
        </is>
      </c>
      <c r="H640" t="inlineStr">
        <is>
          <t>.</t>
        </is>
      </c>
      <c r="I640" t="inlineStr">
        <is>
          <t>.</t>
        </is>
      </c>
      <c r="J640" t="inlineStr">
        <is>
          <t>.</t>
        </is>
      </c>
      <c r="K640" t="inlineStr">
        <is>
          <t>.</t>
        </is>
      </c>
      <c r="L640" t="inlineStr">
        <is>
          <t>.</t>
        </is>
      </c>
      <c r="M640" t="inlineStr">
        <is>
          <t>.</t>
        </is>
      </c>
      <c r="N640" t="inlineStr">
        <is>
          <t>.</t>
        </is>
      </c>
      <c r="O640" t="inlineStr">
        <is>
          <t>.</t>
        </is>
      </c>
    </row>
    <row r="641">
      <c r="A641" t="inlineStr">
        <is>
          <t>SEC1P</t>
        </is>
      </c>
      <c r="B641" t="inlineStr">
        <is>
          <t>.</t>
        </is>
      </c>
      <c r="C641" t="inlineStr">
        <is>
          <t>secretory blood group 1, pseudogene</t>
        </is>
      </c>
      <c r="D641" t="inlineStr">
        <is>
          <t>.</t>
        </is>
      </c>
      <c r="E641" t="inlineStr">
        <is>
          <t>.</t>
        </is>
      </c>
      <c r="F641" t="inlineStr">
        <is>
          <t>.</t>
        </is>
      </c>
      <c r="G641" t="inlineStr">
        <is>
          <t>.</t>
        </is>
      </c>
      <c r="H641" t="inlineStr">
        <is>
          <t>.</t>
        </is>
      </c>
      <c r="I641" t="inlineStr">
        <is>
          <t>.</t>
        </is>
      </c>
      <c r="J641" t="inlineStr">
        <is>
          <t>.</t>
        </is>
      </c>
      <c r="K641" t="inlineStr">
        <is>
          <t>.</t>
        </is>
      </c>
      <c r="L641" t="inlineStr">
        <is>
          <t>.</t>
        </is>
      </c>
      <c r="M641" t="inlineStr">
        <is>
          <t>.</t>
        </is>
      </c>
      <c r="N641" t="inlineStr">
        <is>
          <t>.</t>
        </is>
      </c>
      <c r="O641" t="inlineStr">
        <is>
          <t>.</t>
        </is>
      </c>
    </row>
    <row r="642">
      <c r="A642" t="inlineStr">
        <is>
          <t>SEMA3C</t>
        </is>
      </c>
      <c r="B642" t="inlineStr">
        <is>
          <t>0.296856253558956</t>
        </is>
      </c>
      <c r="C642" t="inlineStr">
        <is>
          <t>semaphorin 3C</t>
        </is>
      </c>
      <c r="D642" t="inlineStr">
        <is>
          <t xml:space="preserve">FUNCTION: Binds to plexin family members and plays an important role in the regulation of developmental processes. Required for normal cardiovascular development during embryogenesis. Functions as attractant for growing axons, and thereby plays an important role in axon growth and axon guidance (By similarity). {ECO:0000250}.; </t>
        </is>
      </c>
      <c r="E642" t="inlineStr">
        <is>
          <t>.</t>
        </is>
      </c>
      <c r="F642" t="inlineStr">
        <is>
          <t xml:space="preserve">TISSUE SPECIFICITY: Expressed intensely in the heart, skeletal muscle, colon, small intestine, ovary, testis, and prostate. Faint expression ubiquitously among other organs, including brain.; </t>
        </is>
      </c>
      <c r="G642" t="inlineStr">
        <is>
          <t>medulla oblongata;smooth muscle;sympathetic chain;skin;retina;bone marrow;uterus;prostate;whole body;cochlea;endometrium;bone;testis;dura mater;brain;bladder;unclassifiable (Anatomical System);amygdala;meninges;heart;cartilage;hypothalamus;blood;skeletal muscle;bile duct;breast;pancreas;pia mater;lung;adrenal gland;visual apparatus;liver;duodenum;spleen;head and neck;kidney;mammary gland;stomach;</t>
        </is>
      </c>
      <c r="H642" t="inlineStr">
        <is>
          <t>dorsal root ganglion;subthalamic nucleus;superior cervical ganglion;fetal brain;appendix;ciliary ganglion;atrioventricular node;pons;trigeminal ganglion;skeletal muscle;</t>
        </is>
      </c>
      <c r="I642" t="inlineStr">
        <is>
          <t>.</t>
        </is>
      </c>
      <c r="J642" t="inlineStr">
        <is>
          <t>.</t>
        </is>
      </c>
      <c r="K642" t="inlineStr">
        <is>
          <t>.</t>
        </is>
      </c>
      <c r="L642" t="inlineStr">
        <is>
          <t>.</t>
        </is>
      </c>
      <c r="M642" t="inlineStr">
        <is>
          <t>.</t>
        </is>
      </c>
      <c r="N642" t="inlineStr">
        <is>
          <t>.</t>
        </is>
      </c>
      <c r="O642" t="inlineStr">
        <is>
          <t>.</t>
        </is>
      </c>
    </row>
    <row r="643">
      <c r="A643" t="inlineStr">
        <is>
          <t>SEPT10</t>
        </is>
      </c>
      <c r="B643" t="inlineStr">
        <is>
          <t>0.00288328636526247</t>
        </is>
      </c>
      <c r="C643" t="inlineStr">
        <is>
          <t>septin 10</t>
        </is>
      </c>
      <c r="D643" t="inlineStr">
        <is>
          <t xml:space="preserve">FUNCTION: Filament-forming cytoskeletal GTPase. May play a role in cytokinesis (Potential). {ECO:0000305}.; </t>
        </is>
      </c>
      <c r="E643" t="inlineStr">
        <is>
          <t>.</t>
        </is>
      </c>
      <c r="F643" t="inlineStr">
        <is>
          <t xml:space="preserve">TISSUE SPECIFICITY: Widely expressed. Abundantly expressed in heart and kidney, placenta, skeletal muscles, liver and lung, as well as various tumor cell lines. {ECO:0000269|PubMed:12711328, ECO:0000269|PubMed:15915442}.; </t>
        </is>
      </c>
      <c r="G643" t="inlineStr">
        <is>
          <t>myocardium;medulla oblongata;ovary;salivary gland;intestine;colon;skin;uterus;prostate;whole body;frontal lobe;cochlea;endometrium;bone;testis;brain;artery;bladder;unclassifiable (Anatomical System);lymph node;cartilage;heart;islets of Langerhans;adrenal cortex;pharynx;blood;breast;pancreas;lung;nasopharynx;trabecular meshwork;placenta;visual apparatus;liver;cervix;spleen;head and neck;kidney;mammary gland;aorta;stomach;</t>
        </is>
      </c>
      <c r="H643" t="inlineStr">
        <is>
          <t>testis - interstitial;superior cervical ganglion;testis;skeletal muscle;</t>
        </is>
      </c>
      <c r="I643" t="inlineStr">
        <is>
          <t>.</t>
        </is>
      </c>
      <c r="J643" t="inlineStr">
        <is>
          <t>.</t>
        </is>
      </c>
      <c r="K643" t="inlineStr">
        <is>
          <t>.</t>
        </is>
      </c>
      <c r="L643" t="inlineStr">
        <is>
          <t>.</t>
        </is>
      </c>
      <c r="M643" t="inlineStr">
        <is>
          <t>.</t>
        </is>
      </c>
      <c r="N643" t="inlineStr">
        <is>
          <t>.</t>
        </is>
      </c>
      <c r="O643" t="inlineStr">
        <is>
          <t>.</t>
        </is>
      </c>
    </row>
    <row r="644">
      <c r="A644" t="inlineStr">
        <is>
          <t>SEPT14</t>
        </is>
      </c>
      <c r="B644" t="inlineStr">
        <is>
          <t>4.96607463060426e-05</t>
        </is>
      </c>
      <c r="C644" t="inlineStr">
        <is>
          <t>septin 14</t>
        </is>
      </c>
      <c r="D644" t="inlineStr">
        <is>
          <t xml:space="preserve">FUNCTION: Filament-forming cytoskeletal GTPase (By similarity). May play a role in cytokinesis (Potential). {ECO:0000250, ECO:0000305}.; </t>
        </is>
      </c>
      <c r="E644" t="inlineStr">
        <is>
          <t>.</t>
        </is>
      </c>
      <c r="F644" t="inlineStr">
        <is>
          <t xml:space="preserve">TISSUE SPECIFICITY: Testis-specific. {ECO:0000269|PubMed:17922164}.; </t>
        </is>
      </c>
      <c r="G644" t="inlineStr">
        <is>
          <t>.</t>
        </is>
      </c>
      <c r="H644" t="inlineStr">
        <is>
          <t>.</t>
        </is>
      </c>
      <c r="I644" t="inlineStr">
        <is>
          <t>.</t>
        </is>
      </c>
      <c r="J644" t="inlineStr">
        <is>
          <t>.</t>
        </is>
      </c>
      <c r="K644" t="inlineStr">
        <is>
          <t>.</t>
        </is>
      </c>
      <c r="L644" t="inlineStr">
        <is>
          <t>.</t>
        </is>
      </c>
      <c r="M644" t="inlineStr">
        <is>
          <t>.</t>
        </is>
      </c>
      <c r="N644" t="inlineStr">
        <is>
          <t>.</t>
        </is>
      </c>
      <c r="O644" t="inlineStr">
        <is>
          <t>.</t>
        </is>
      </c>
    </row>
    <row r="645">
      <c r="A645" t="inlineStr">
        <is>
          <t>SETD1B</t>
        </is>
      </c>
      <c r="B645" t="inlineStr">
        <is>
          <t>0.0224563158915498</t>
        </is>
      </c>
      <c r="C645" t="inlineStr">
        <is>
          <t>SET domain containing 1B</t>
        </is>
      </c>
      <c r="D645" t="inlineStr">
        <is>
          <t xml:space="preserve">FUNCTION: Histone methyltransferase that specifically methylates 'Lys-4' of histone H3, when part of the SET1 histone methyltransferase (HMT) complex, but not if the neighboring 'Lys- 9' residue is already methylated. H3 'Lys-4' methylation represents a specific tag for epigenetic transcriptional activation. The non-overalpping localization with SETD1A suggests that SETD1A and SETD1B make non-redundant contributions to the epigenetic control of chromatin structure and gene expression. Specifically tri-methylates 'Lys-4' of histone H3 in vitro.; </t>
        </is>
      </c>
      <c r="E645" t="inlineStr">
        <is>
          <t>.</t>
        </is>
      </c>
      <c r="F645" t="inlineStr">
        <is>
          <t>.</t>
        </is>
      </c>
      <c r="G645" t="inlineStr">
        <is>
          <t>smooth muscle;ovary;colon;parathyroid;fovea centralis;choroid;skin;retina;bone marrow;uterus;prostate;optic nerve;frontal lobe;endometrium;thyroid;bone;testis;germinal center;brain;bladder;unclassifiable (Anatomical System);lymph node;heart;islets of Langerhans;pineal body;blood;lens;skeletal muscle;pancreas;lung;placenta;macula lutea;visual apparatus;hippocampus;duodenum;spleen;kidney;stomach;</t>
        </is>
      </c>
      <c r="H645" t="inlineStr">
        <is>
          <t>dorsal root ganglion;subthalamic nucleus;superior cervical ganglion;testis - seminiferous tubule;globus pallidus;ciliary ganglion;atrioventricular node;pons;trigeminal ganglion;parietal lobe;skeletal muscle;</t>
        </is>
      </c>
      <c r="I645" t="inlineStr">
        <is>
          <t>.</t>
        </is>
      </c>
      <c r="J645" t="inlineStr">
        <is>
          <t>.</t>
        </is>
      </c>
      <c r="K645" t="inlineStr">
        <is>
          <t>.</t>
        </is>
      </c>
      <c r="L645" t="inlineStr">
        <is>
          <t>.</t>
        </is>
      </c>
      <c r="M645" t="inlineStr">
        <is>
          <t>.</t>
        </is>
      </c>
      <c r="N645" t="inlineStr">
        <is>
          <t>.</t>
        </is>
      </c>
      <c r="O645" t="inlineStr">
        <is>
          <t>.</t>
        </is>
      </c>
    </row>
    <row r="646">
      <c r="A646" t="inlineStr">
        <is>
          <t>SF3A2</t>
        </is>
      </c>
      <c r="B646" t="inlineStr">
        <is>
          <t>0.774375362030151</t>
        </is>
      </c>
      <c r="C646" t="inlineStr">
        <is>
          <t>splicing factor 3a subunit 2</t>
        </is>
      </c>
      <c r="D646" t="inlineStr">
        <is>
          <t xml:space="preserve">FUNCTION: Subunit of the splicing factor SF3A required for 'A' complex assembly formed by the stable binding of U2 snRNP to the branchpoint sequence (BPS) in pre-mRNA. Sequence independent binding of SF3A/SF3B complex upstream of the branch site is essential, it may anchor U2 snRNP to the pre-mRNA. May also be involved in the assembly of the 'E' complex.; </t>
        </is>
      </c>
      <c r="E646" t="inlineStr">
        <is>
          <t>.</t>
        </is>
      </c>
      <c r="F646" t="inlineStr">
        <is>
          <t>.</t>
        </is>
      </c>
      <c r="G646" t="inlineStr">
        <is>
          <t>ovary;colon;skin;retina;bone marrow;uterus;prostate;optic nerve;endometrium;thyroid;bone;testis;germinal center;spinal ganglion;brain;unclassifiable (Anatomical System);lymph node;cartilage;islets of Langerhans;muscle;breast;pancreas;lung;placenta;visual apparatus;liver;duodenum;spleen;cervix;kidney;mammary gland;stomach;</t>
        </is>
      </c>
      <c r="H646" t="inlineStr">
        <is>
          <t>superior cervical ganglion;testis - interstitial;testis - seminiferous tubule;placenta;testis;ciliary ganglion;trigeminal ganglion;</t>
        </is>
      </c>
      <c r="I646" t="inlineStr">
        <is>
          <t>.</t>
        </is>
      </c>
      <c r="J646" t="inlineStr">
        <is>
          <t>.</t>
        </is>
      </c>
      <c r="K646" t="inlineStr">
        <is>
          <t>.</t>
        </is>
      </c>
      <c r="L646" t="inlineStr">
        <is>
          <t>.</t>
        </is>
      </c>
      <c r="M646" t="inlineStr">
        <is>
          <t>.</t>
        </is>
      </c>
      <c r="N646" t="inlineStr">
        <is>
          <t>.</t>
        </is>
      </c>
      <c r="O646" t="inlineStr">
        <is>
          <t>.</t>
        </is>
      </c>
    </row>
    <row r="647">
      <c r="A647" t="inlineStr">
        <is>
          <t>SFRP5</t>
        </is>
      </c>
      <c r="B647" t="inlineStr">
        <is>
          <t>1.17131762074183e-05</t>
        </is>
      </c>
      <c r="C647" t="inlineStr">
        <is>
          <t>secreted frizzled-related protein 5</t>
        </is>
      </c>
      <c r="D647" t="inlineStr">
        <is>
          <t xml:space="preserve">FUNCTION: Soluble frizzled-related proteins (sFRPS) function as modulators of Wnt signaling through direct interaction with Wnts. They have a role in regulating cell growth and differentiation in specific cell types. SFRP5 may be involved in determining the polarity of photoreceptor, and perhaps, other cells in the retina.; </t>
        </is>
      </c>
      <c r="E647" t="inlineStr">
        <is>
          <t>.</t>
        </is>
      </c>
      <c r="F647" t="inlineStr">
        <is>
          <t xml:space="preserve">TISSUE SPECIFICITY: Highly expressed in the retinal pigment epithelium (RPE) and pancreas. Weak expression in heart, liver and muscle. {ECO:0000269|PubMed:10072424, ECO:0000269|PubMed:9391078, ECO:0000269|PubMed:9642118}.; </t>
        </is>
      </c>
      <c r="G647" t="inlineStr">
        <is>
          <t>optic nerve;islets of Langerhans;sympathetic chain;macula lutea;iris;fovea centralis;choroid;lens;retina;</t>
        </is>
      </c>
      <c r="H647" t="inlineStr">
        <is>
          <t>dorsal root ganglion;testis - interstitial;superior cervical ganglion;olfactory bulb;spinal cord;ciliary ganglion;atrioventricular node;trigeminal ganglion;</t>
        </is>
      </c>
      <c r="I647" t="inlineStr">
        <is>
          <t>.</t>
        </is>
      </c>
      <c r="J647" t="inlineStr">
        <is>
          <t>.</t>
        </is>
      </c>
      <c r="K647" t="inlineStr">
        <is>
          <t>.</t>
        </is>
      </c>
      <c r="L647" t="inlineStr">
        <is>
          <t>.</t>
        </is>
      </c>
      <c r="M647" t="inlineStr">
        <is>
          <t>.</t>
        </is>
      </c>
      <c r="N647" t="inlineStr">
        <is>
          <t>.</t>
        </is>
      </c>
      <c r="O647" t="inlineStr">
        <is>
          <t>.</t>
        </is>
      </c>
    </row>
    <row r="648">
      <c r="A648" t="inlineStr">
        <is>
          <t>SFSWAP</t>
        </is>
      </c>
      <c r="B648" t="inlineStr">
        <is>
          <t>0.999425434016638</t>
        </is>
      </c>
      <c r="C648" t="inlineStr">
        <is>
          <t>splicing factor, suppressor of white-apricot homolog</t>
        </is>
      </c>
      <c r="D648" t="inlineStr">
        <is>
          <t xml:space="preserve">FUNCTION: Plays a role as an alternative splicing regulator. Regulate its own expression at the level of RNA processing. Also regulates the splicing of fibronectin and CD45 genes. May act, at least in part, by interaction with other R/S-containing splicing factors. Represses the splicing of MAPT/Tau exon 10. {ECO:0000269|PubMed:8940107}.; </t>
        </is>
      </c>
      <c r="E648" t="inlineStr">
        <is>
          <t>.</t>
        </is>
      </c>
      <c r="F648" t="inlineStr">
        <is>
          <t>.</t>
        </is>
      </c>
      <c r="G648" t="inlineStr">
        <is>
          <t>smooth muscle;ovary;salivary gland;intestine;colon;parathyroid;fovea centralis;choroid;vein;skin;retina;bone marrow;uterus;prostate;optic nerve;whole body;frontal lobe;bone;thyroid;testis;germinal center;spinal ganglion;brain;unclassifiable (Anatomical System);lymph node;cartilage;heart;islets of Langerhans;muscle;pharynx;blood;lens;pancreas;lung;cornea;placenta;macula lutea;visual apparatus;hypopharynx;liver;spleen;head and neck;cervix;kidney;mammary gland;stomach;</t>
        </is>
      </c>
      <c r="H648" t="inlineStr">
        <is>
          <t>dorsal root ganglion;amygdala;superior cervical ganglion;subthalamic nucleus;medulla oblongata;testis - seminiferous tubule;prefrontal cortex;globus pallidus;ciliary ganglion;pons;trigeminal ganglion;parietal lobe;cingulate cortex;</t>
        </is>
      </c>
      <c r="I648" t="inlineStr">
        <is>
          <t>.</t>
        </is>
      </c>
      <c r="J648" t="inlineStr">
        <is>
          <t>.</t>
        </is>
      </c>
      <c r="K648" t="inlineStr">
        <is>
          <t>.</t>
        </is>
      </c>
      <c r="L648" t="inlineStr">
        <is>
          <t>.</t>
        </is>
      </c>
      <c r="M648" t="inlineStr">
        <is>
          <t>.</t>
        </is>
      </c>
      <c r="N648" t="inlineStr">
        <is>
          <t>.</t>
        </is>
      </c>
      <c r="O648" t="inlineStr">
        <is>
          <t>.</t>
        </is>
      </c>
    </row>
    <row r="649">
      <c r="A649" t="inlineStr">
        <is>
          <t>SH2D4B</t>
        </is>
      </c>
      <c r="B649" t="inlineStr">
        <is>
          <t>3.12418681330873e-07</t>
        </is>
      </c>
      <c r="C649" t="inlineStr">
        <is>
          <t>SH2 domain containing 4B</t>
        </is>
      </c>
      <c r="D649" t="inlineStr">
        <is>
          <t>.</t>
        </is>
      </c>
      <c r="E649" t="inlineStr">
        <is>
          <t>.</t>
        </is>
      </c>
      <c r="F649" t="inlineStr">
        <is>
          <t>.</t>
        </is>
      </c>
      <c r="G649" t="inlineStr">
        <is>
          <t>lung;testis;</t>
        </is>
      </c>
      <c r="H649" t="inlineStr">
        <is>
          <t>.</t>
        </is>
      </c>
      <c r="I649" t="inlineStr">
        <is>
          <t>.</t>
        </is>
      </c>
      <c r="J649" t="inlineStr">
        <is>
          <t>.</t>
        </is>
      </c>
      <c r="K649" t="inlineStr">
        <is>
          <t>.</t>
        </is>
      </c>
      <c r="L649" t="inlineStr">
        <is>
          <t>.</t>
        </is>
      </c>
      <c r="M649" t="inlineStr">
        <is>
          <t>.</t>
        </is>
      </c>
      <c r="N649" t="inlineStr">
        <is>
          <t>.</t>
        </is>
      </c>
      <c r="O649" t="inlineStr">
        <is>
          <t>.</t>
        </is>
      </c>
    </row>
    <row r="650">
      <c r="A650" t="inlineStr">
        <is>
          <t>SH3BP2</t>
        </is>
      </c>
      <c r="B650" t="inlineStr">
        <is>
          <t>0.00310189992242549</t>
        </is>
      </c>
      <c r="C650" t="inlineStr">
        <is>
          <t>SH3-domain binding protein 2</t>
        </is>
      </c>
      <c r="D650" t="inlineStr">
        <is>
          <t xml:space="preserve">FUNCTION: Binds differentially to the SH3 domains of certain proteins of signal transduction pathways. Binds to phosphatidylinositols; linking the hemopoietic tyrosine kinase fes to the cytoplasmic membrane in a phosphorylation dependent mechanism.; </t>
        </is>
      </c>
      <c r="E650" t="inlineStr">
        <is>
          <t xml:space="preserve">DISEASE: Cherubism (CRBM) [MIM:118400]: An autosomal dominant syndrome characterized by excessive bone degradation of the upper and lower jaws, which often begins around three years of age. It is followed by development of fibrous tissue masses, which causes a characteristic facial swelling. {ECO:0000269|PubMed:11381256, ECO:0000269|PubMed:12900899, ECO:0000269|PubMed:14577811}. Note=The disease is caused by mutations affecting the gene represented in this entry.; </t>
        </is>
      </c>
      <c r="F650" t="inlineStr">
        <is>
          <t xml:space="preserve">TISSUE SPECIFICITY: Expressed in a variety of tissues including lung, liver, skeletal muscle, kidney and pancreas. {ECO:0000269|PubMed:9734812}.; </t>
        </is>
      </c>
      <c r="G650" t="inlineStr">
        <is>
          <t>ovary;colon;fovea centralis;choroid;skin;retina;bone marrow;uterus;prostate;optic nerve;larynx;bone;testis;corpus striatum;germinal center;brain;tonsil;unclassifiable (Anatomical System);heart;blood;lens;skeletal muscle;breast;lung;placenta;macula lutea;liver;spleen;head and neck;cervix;kidney;</t>
        </is>
      </c>
      <c r="H650" t="inlineStr">
        <is>
          <t>dorsal root ganglion;superior cervical ganglion;ciliary ganglion;atrioventricular node;trigeminal ganglion;</t>
        </is>
      </c>
      <c r="I650">
        <f>HYPERLINK("https://omim.org/entry/118400", "118400")</f>
        <v/>
      </c>
      <c r="J650" t="inlineStr">
        <is>
          <t>.</t>
        </is>
      </c>
      <c r="K650" t="inlineStr">
        <is>
          <t>.</t>
        </is>
      </c>
      <c r="L650" t="inlineStr">
        <is>
          <t>.</t>
        </is>
      </c>
      <c r="M650" t="inlineStr">
        <is>
          <t>.</t>
        </is>
      </c>
      <c r="N650" t="inlineStr">
        <is>
          <t>.</t>
        </is>
      </c>
      <c r="O650" t="inlineStr">
        <is>
          <t>.</t>
        </is>
      </c>
    </row>
    <row r="651">
      <c r="A651" t="inlineStr">
        <is>
          <t>SH3TC1</t>
        </is>
      </c>
      <c r="B651" t="inlineStr">
        <is>
          <t>1.08196254711814e-27</t>
        </is>
      </c>
      <c r="C651" t="inlineStr">
        <is>
          <t>SH3 domain and tetratricopeptide repeats 1</t>
        </is>
      </c>
      <c r="D651" t="inlineStr">
        <is>
          <t>.</t>
        </is>
      </c>
      <c r="E651" t="inlineStr">
        <is>
          <t>.</t>
        </is>
      </c>
      <c r="F651" t="inlineStr">
        <is>
          <t>.</t>
        </is>
      </c>
      <c r="G651" t="inlineStr">
        <is>
          <t>ovary;colon;parathyroid;substantia nigra;fovea centralis;choroid;skin;retina;uterus;optic nerve;endometrium;thyroid;testis;germinal center;brain;unclassifiable (Anatomical System);lymph node;heart;cartilage;islets of Langerhans;blood;lens;skeletal muscle;pancreas;lung;placenta;macula lutea;spleen;kidney;stomach;aorta;</t>
        </is>
      </c>
      <c r="H651" t="inlineStr">
        <is>
          <t>.</t>
        </is>
      </c>
      <c r="I651" t="inlineStr">
        <is>
          <t>.</t>
        </is>
      </c>
      <c r="J651" t="inlineStr">
        <is>
          <t>.</t>
        </is>
      </c>
      <c r="K651" t="inlineStr">
        <is>
          <t>.</t>
        </is>
      </c>
      <c r="L651" t="inlineStr">
        <is>
          <t>.</t>
        </is>
      </c>
      <c r="M651" t="inlineStr">
        <is>
          <t>.</t>
        </is>
      </c>
      <c r="N651" t="inlineStr">
        <is>
          <t>.</t>
        </is>
      </c>
      <c r="O651" t="inlineStr">
        <is>
          <t>.</t>
        </is>
      </c>
    </row>
    <row r="652">
      <c r="A652" t="inlineStr">
        <is>
          <t>SHISA6</t>
        </is>
      </c>
      <c r="B652" t="inlineStr">
        <is>
          <t>.</t>
        </is>
      </c>
      <c r="C652" t="inlineStr">
        <is>
          <t>shisa family member 6</t>
        </is>
      </c>
      <c r="D652" t="inlineStr">
        <is>
          <t>.</t>
        </is>
      </c>
      <c r="E652" t="inlineStr">
        <is>
          <t>.</t>
        </is>
      </c>
      <c r="F652" t="inlineStr">
        <is>
          <t xml:space="preserve">TISSUE SPECIFICITY: Expressed in the developing ventral mesencephalon. {ECO:0000269|PubMed:16473350}.; </t>
        </is>
      </c>
      <c r="G652" t="inlineStr">
        <is>
          <t>.</t>
        </is>
      </c>
      <c r="H652" t="inlineStr">
        <is>
          <t>.</t>
        </is>
      </c>
      <c r="I652" t="inlineStr">
        <is>
          <t>.</t>
        </is>
      </c>
      <c r="J652" t="inlineStr">
        <is>
          <t>.</t>
        </is>
      </c>
      <c r="K652" t="inlineStr">
        <is>
          <t>.</t>
        </is>
      </c>
      <c r="L652" t="inlineStr">
        <is>
          <t>.</t>
        </is>
      </c>
      <c r="M652" t="inlineStr">
        <is>
          <t>.</t>
        </is>
      </c>
      <c r="N652" t="inlineStr">
        <is>
          <t>.</t>
        </is>
      </c>
      <c r="O652" t="inlineStr">
        <is>
          <t>.</t>
        </is>
      </c>
    </row>
    <row r="653">
      <c r="A653" t="inlineStr">
        <is>
          <t>SIGLEC6</t>
        </is>
      </c>
      <c r="B653" t="inlineStr">
        <is>
          <t>0.024724478649233</t>
        </is>
      </c>
      <c r="C653" t="inlineStr">
        <is>
          <t>sialic acid binding Ig like lectin 6</t>
        </is>
      </c>
      <c r="D653" t="inlineStr">
        <is>
          <t xml:space="preserve">FUNCTION: Putative adhesion molecule that mediates sialic-acid dependent binding to cells. Binds to alpha-2,6-linked sialic acid. The sialic acid recognition site may be masked by cis interactions with sialic acids on the same cell surface.; </t>
        </is>
      </c>
      <c r="E653" t="inlineStr">
        <is>
          <t>.</t>
        </is>
      </c>
      <c r="F653" t="inlineStr">
        <is>
          <t xml:space="preserve">TISSUE SPECIFICITY: Expressed at high levels in placenta (cyto- and syncytiotrophoblastic cells) and at lower levels in spleen, peripheral blood leukocytes (predominantly B-cells) and small intestine.; </t>
        </is>
      </c>
      <c r="G653" t="inlineStr">
        <is>
          <t>unclassifiable (Anatomical System);ovary;placenta;parathyroid;aorta;</t>
        </is>
      </c>
      <c r="H653" t="inlineStr">
        <is>
          <t>dorsal root ganglion;superior cervical ganglion;placenta;globus pallidus;ciliary ganglion;atrioventricular node;pons;trigeminal ganglion;skin;skeletal muscle;cerebellum;</t>
        </is>
      </c>
      <c r="I653" t="inlineStr">
        <is>
          <t>.</t>
        </is>
      </c>
      <c r="J653" t="inlineStr">
        <is>
          <t>.</t>
        </is>
      </c>
      <c r="K653" t="inlineStr">
        <is>
          <t>.</t>
        </is>
      </c>
      <c r="L653" t="inlineStr">
        <is>
          <t>.</t>
        </is>
      </c>
      <c r="M653" t="inlineStr">
        <is>
          <t>.</t>
        </is>
      </c>
      <c r="N653" t="inlineStr">
        <is>
          <t>.</t>
        </is>
      </c>
      <c r="O653" t="inlineStr">
        <is>
          <t>.</t>
        </is>
      </c>
    </row>
    <row r="654">
      <c r="A654" t="inlineStr">
        <is>
          <t>SIK1</t>
        </is>
      </c>
      <c r="B654" t="inlineStr">
        <is>
          <t>0.993830465042737</t>
        </is>
      </c>
      <c r="C654" t="inlineStr">
        <is>
          <t>salt inducible kinase 1</t>
        </is>
      </c>
      <c r="D654" t="inlineStr">
        <is>
          <t xml:space="preserve">FUNCTION: Serine/threonine-protein kinase involved in various processes such as cell cycle regulation, gluconeogenesis and lipogenesis regulation, muscle growth and differentiation and tumor suppression. Phosphorylates HDAC4, HDAC5, PPME1, SREBF1, CRTC1/TORC1 and CRTC2/TORC2. Acts as a tumor suppressor and plays a key role in p53/TP53-dependent anoikis, a type of apoptosis triggered by cell detachment: required for phosphorylation of p53/TP53 in response to loss of adhesion and is able to suppress metastasis. Part of a sodium-sensing signaling network, probably by mediating phosphorylation of PPME1: following increases in intracellular sodium, SIK1 is activated by CaMK1 and phosphorylates PPME1 subunit of protein phosphatase 2A (PP2A), leading to dephosphorylation of sodium/potassium-transporting ATPase ATP1A1 and subsequent increase activity of ATP1A1. Acts as a regulator of muscle cells by phosphorylating and inhibiting class II histone deacetylases HDAC4 and HDAC5, leading to promote expression of MEF2 target genes in myocytes. Also required during cardiomyogenesis by regulating the exit of cardiomyoblasts from the cell cycle via down-regulation of CDKN1C/p57Kip2. Acts as a regulator of hepatic gluconeogenesis by phosphorylating and repressing the CREB-specific coactivators CRTC1/TORC1 and CRTC2/TORC2, leading to inhibit CREB activity. Also regulates hepatic lipogenesis by phosphorylating and inhibiting SREBF1. In concert with CRTC1/TORC1, regulates the light-induced entrainment of the circadian clock by attenuating PER1 induction; represses CREB-mediated transcription of PER1 by phosphorylating and deactivating CRTC1/TORC1 (By similarity). {ECO:0000250|UniProtKB:Q60670, ECO:0000269|PubMed:14976552, ECO:0000269|PubMed:16306228, ECO:0000269|PubMed:18348280, ECO:0000269|PubMed:19622832}.; </t>
        </is>
      </c>
      <c r="E654" t="inlineStr">
        <is>
          <t xml:space="preserve">DISEASE: Epileptic encephalopathy, early infantile, 30 (EIEE30) [MIM:616341]: A form of epileptic encephalopathy, a heterogeneous group of severe childhood onset epilepsies characterized by refractory seizures, neurodevelopmental impairment, and poor prognosis. Development is normal prior to seizure onset, after which cognitive and motor delays become apparent. {ECO:0000269|PubMed:25839329}. Note=The disease is caused by mutations affecting the gene represented in this entry.; DISEASE: Note=Defects in SIK1 may be associated with some cancers, such as breast cancers. Loss of SIK1 correlates with poor patient outcome in breast cancers (PubMed:19622832). {ECO:0000269|PubMed:19622832}.; </t>
        </is>
      </c>
      <c r="F654" t="inlineStr">
        <is>
          <t>.</t>
        </is>
      </c>
      <c r="G654" t="inlineStr">
        <is>
          <t>colon;parathyroid;fovea centralis;choroid;skin;retina;bone marrow;uterus;prostate;optic nerve;gum;bone;thyroid;testis;germinal center;brain;unclassifiable (Anatomical System);lymph node;cartilage;heart;lacrimal gland;islets of Langerhans;blood;lens;breast;pancreas;lung;adrenal gland;placenta;macula lutea;duodenum;hypopharynx;liver;head and neck;kidney;mammary gland;stomach;</t>
        </is>
      </c>
      <c r="H654" t="inlineStr">
        <is>
          <t>superior cervical ganglion;adrenal cortex;skin;</t>
        </is>
      </c>
      <c r="I654">
        <f>HYPERLINK("https://omim.org/entry/616341", "616341")</f>
        <v/>
      </c>
      <c r="J654" t="inlineStr">
        <is>
          <t>.</t>
        </is>
      </c>
      <c r="K654" t="inlineStr">
        <is>
          <t>.</t>
        </is>
      </c>
      <c r="L654" t="inlineStr">
        <is>
          <t>.</t>
        </is>
      </c>
      <c r="M654" t="inlineStr">
        <is>
          <t>.</t>
        </is>
      </c>
      <c r="N654" t="inlineStr">
        <is>
          <t>.</t>
        </is>
      </c>
      <c r="O654" t="inlineStr">
        <is>
          <t>.</t>
        </is>
      </c>
    </row>
    <row r="655">
      <c r="A655" t="inlineStr">
        <is>
          <t>SIX5</t>
        </is>
      </c>
      <c r="B655" t="inlineStr">
        <is>
          <t>0.310828642912358</t>
        </is>
      </c>
      <c r="C655" t="inlineStr">
        <is>
          <t>SIX homeobox 5</t>
        </is>
      </c>
      <c r="D655" t="inlineStr">
        <is>
          <t xml:space="preserve">FUNCTION: Transcription factor that is thought to be involved in regulation of organogenesis. May be involved in determination and maintenance of retina formation. Binds a 5'-GGTGTCAG-3' motif present in the ARE regulatory element of ATP1A1. Binds a 5'- TCA[AG][AG]TTNC-3' motif present in the MEF3 element in the myogenin promoter, and in the IGFBP5 promoter (By similarity). Thought to be regulated by association with Dach and Eya proteins, and seems to be coactivated by EYA1, EYA2 and EYA3 (By similarity). {ECO:0000250}.; </t>
        </is>
      </c>
      <c r="E655" t="inlineStr">
        <is>
          <t xml:space="preserve">DISEASE: Branchiootorenal syndrome 2 (BOR2) [MIM:610896]: A syndrome characterized by branchial cleft fistulas or cysts, sensorineural and/or conductive hearing loss, pre-auricular pits, structural defects of the outer, middle or inner ear, and renal malformations. {ECO:0000269|PubMed:17357085}. Note=The disease is caused by mutations affecting the gene represented in this entry.; </t>
        </is>
      </c>
      <c r="F655" t="inlineStr">
        <is>
          <t xml:space="preserve">TISSUE SPECIFICITY: Expressed in adult but not in fetal eyes. Found in corneal epithelium and endothelium, lens epithelium, ciliary body epithelia, cellular layers of the retina and the sclera. {ECO:0000269|PubMed:9949207}.; </t>
        </is>
      </c>
      <c r="G655" t="inlineStr">
        <is>
          <t>ovary;colon;parathyroid;fovea centralis;choroid;skin;retina;uterus;prostate;optic nerve;endometrium;bone;testis;brain;unclassifiable (Anatomical System);islets of Langerhans;muscle;lens;pancreas;lung;placenta;visual apparatus;macula lutea;spleen;kidney;mammary gland;stomach;</t>
        </is>
      </c>
      <c r="H655" t="inlineStr">
        <is>
          <t>superior cervical ganglion;globus pallidus;ciliary ganglion;pons;atrioventricular node;trigeminal ganglion;skeletal muscle;</t>
        </is>
      </c>
      <c r="I655">
        <f>HYPERLINK("https://omim.org/entry/610896", "610896")</f>
        <v/>
      </c>
      <c r="J655" t="inlineStr">
        <is>
          <t>.</t>
        </is>
      </c>
      <c r="K655" t="inlineStr">
        <is>
          <t>.</t>
        </is>
      </c>
      <c r="L655" t="inlineStr">
        <is>
          <t>.</t>
        </is>
      </c>
      <c r="M655" t="inlineStr">
        <is>
          <t>.</t>
        </is>
      </c>
      <c r="N655" t="inlineStr">
        <is>
          <t>.</t>
        </is>
      </c>
      <c r="O655" t="inlineStr">
        <is>
          <t>.</t>
        </is>
      </c>
    </row>
    <row r="656">
      <c r="A656" t="inlineStr">
        <is>
          <t>SLC13A4</t>
        </is>
      </c>
      <c r="B656" t="inlineStr">
        <is>
          <t>0.915550850591339</t>
        </is>
      </c>
      <c r="C656" t="inlineStr">
        <is>
          <t>solute carrier family 13 member 4</t>
        </is>
      </c>
      <c r="D656" t="inlineStr">
        <is>
          <t xml:space="preserve">FUNCTION: Sodium/sulfate cotransporter that mediates sulfate reabsorption in the high endothelial venules (HEV). {ECO:0000269|PubMed:10535998, ECO:0000269|PubMed:15607730}.; </t>
        </is>
      </c>
      <c r="E656" t="inlineStr">
        <is>
          <t>.</t>
        </is>
      </c>
      <c r="F656" t="inlineStr">
        <is>
          <t xml:space="preserve">TISSUE SPECIFICITY: Highly expressed in placenta and testis with intermediate levels in brain and lower levels in heart, thymus and liver. {ECO:0000269|PubMed:10535998, ECO:0000269|PubMed:15607730}.; </t>
        </is>
      </c>
      <c r="G656" t="inlineStr">
        <is>
          <t>ovary;parathyroid;fovea centralis;choroid;skin;retina;optic nerve;testis;germinal center;dura mater;bladder;brain;unclassifiable (Anatomical System);meninges;islets of Langerhans;lens;lung;pia mater;placenta;hippocampus;visual apparatus;macula lutea;liver;cervix;spleen;kidney;stomach;</t>
        </is>
      </c>
      <c r="H656" t="inlineStr">
        <is>
          <t>dorsal root ganglion;superior cervical ganglion;thalamus;ciliary ganglion;atrioventricular node;pons;trigeminal ganglion;skeletal muscle;</t>
        </is>
      </c>
      <c r="I656" t="inlineStr">
        <is>
          <t>.</t>
        </is>
      </c>
      <c r="J656" t="inlineStr">
        <is>
          <t>.</t>
        </is>
      </c>
      <c r="K656" t="inlineStr">
        <is>
          <t>.</t>
        </is>
      </c>
      <c r="L656" t="inlineStr">
        <is>
          <t>.</t>
        </is>
      </c>
      <c r="M656" t="inlineStr">
        <is>
          <t>.</t>
        </is>
      </c>
      <c r="N656" t="inlineStr">
        <is>
          <t>.</t>
        </is>
      </c>
      <c r="O656" t="inlineStr">
        <is>
          <t>.</t>
        </is>
      </c>
    </row>
    <row r="657">
      <c r="A657" t="inlineStr">
        <is>
          <t>SLC19A1</t>
        </is>
      </c>
      <c r="B657" t="inlineStr">
        <is>
          <t>0.0123881003346845</t>
        </is>
      </c>
      <c r="C657" t="inlineStr">
        <is>
          <t>solute carrier family 19 member 1</t>
        </is>
      </c>
      <c r="D657" t="inlineStr">
        <is>
          <t xml:space="preserve">FUNCTION: Transporter for the intake of folate. Uptake of folate in human placental choriocarcinoma cells occurs by a novel mechanism called potocytosis which functionally couples three components, namely the folate receptor, the folate transporter, and a V-type H(+)-pump.; </t>
        </is>
      </c>
      <c r="E657" t="inlineStr">
        <is>
          <t>.</t>
        </is>
      </c>
      <c r="F657" t="inlineStr">
        <is>
          <t xml:space="preserve">TISSUE SPECIFICITY: Placenta, liver, and to a much smaller extent, in lung.; </t>
        </is>
      </c>
      <c r="G657" t="inlineStr">
        <is>
          <t>ovary;adrenal medulla;colon;parathyroid;fovea centralis;choroid;skin;retina;bone marrow;uterus;prostate;optic nerve;endometrium;bone;testis;germinal center;pineal gland;brain;unclassifiable (Anatomical System);lymph node;heart;lens;lung;placenta;macula lutea;visual apparatus;cervix;kidney;mammary gland;stomach;thymus;</t>
        </is>
      </c>
      <c r="H657" t="inlineStr">
        <is>
          <t>dorsal root ganglion;testis - interstitial;superior cervical ganglion;testis - seminiferous tubule;spinal cord;liver;globus pallidus;testis;atrioventricular node;trigeminal ganglion;</t>
        </is>
      </c>
      <c r="I657" t="inlineStr">
        <is>
          <t>.</t>
        </is>
      </c>
      <c r="J657" t="inlineStr">
        <is>
          <t>.</t>
        </is>
      </c>
      <c r="K657" t="inlineStr">
        <is>
          <t>.</t>
        </is>
      </c>
      <c r="L657" t="inlineStr">
        <is>
          <t>.</t>
        </is>
      </c>
      <c r="M657" t="inlineStr">
        <is>
          <t>.</t>
        </is>
      </c>
      <c r="N657" t="inlineStr">
        <is>
          <t>.</t>
        </is>
      </c>
      <c r="O657" t="inlineStr">
        <is>
          <t>.</t>
        </is>
      </c>
    </row>
    <row r="658">
      <c r="A658" t="inlineStr">
        <is>
          <t>SLC22A2</t>
        </is>
      </c>
      <c r="B658" t="inlineStr">
        <is>
          <t>1.4191712191388e-09</t>
        </is>
      </c>
      <c r="C658" t="inlineStr">
        <is>
          <t>solute carrier family 22 member 2</t>
        </is>
      </c>
      <c r="D658" t="inlineStr">
        <is>
          <t xml:space="preserve">FUNCTION: Mediates tubular uptake of organic compounds from circulation. Mediates the influx of agmatine, dopamine, noradrenaline (norepinephrine), serotonin, choline, famotidine, ranitidine, histamin, creatinine, amantadine, memantine, acriflavine, 4-[4-(dimethylamino)-styryl]-N-methylpyridinium ASP, amiloride, metformin, N-1-methylnicotinamide (NMN), tetraethylammonium (TEA), 1-methyl-4-phenylpyridinium (MPP), cimetidine, cisplatin and oxaliplatin. Cisplatin may develop a nephrotoxic action. Transport of creatinine is inhibited by fluoroquinolones such as DX-619 and LVFX. This transporter is a major determinant of the anticancer activity of oxaliplatin and may contribute to antitumor specificity. {ECO:0000269|PubMed:12089365, ECO:0000269|PubMed:12538837, ECO:0000269|PubMed:15496291, ECO:0000269|PubMed:15783073, ECO:0000269|PubMed:16006492, ECO:0000269|PubMed:16272756, ECO:0000269|PubMed:16314463, ECO:0000269|PubMed:16394027, ECO:0000269|PubMed:16914559, ECO:0000269|PubMed:16951202, ECO:0000269|PubMed:17072098, ECO:0000269|PubMed:17582384, ECO:0000269|PubMed:9260930, ECO:0000269|PubMed:9687576}.; </t>
        </is>
      </c>
      <c r="E658" t="inlineStr">
        <is>
          <t>.</t>
        </is>
      </c>
      <c r="F658" t="inlineStr">
        <is>
          <t xml:space="preserve">TISSUE SPECIFICITY: Mainly expressed in kidney. Localized at the luminal membrane and basolateral membrane of kidney distal tubule and proximal tubules. To a lower extent, expressed in neurons of the cerebral cortex and in various subcortical nuclei (at protein levels). Also detected in secretory phase endometrium; in scattered cells in the stroma. {ECO:0000269|PubMed:11912245, ECO:0000269|PubMed:17393420, ECO:0000269|PubMed:9260930, ECO:0000269|PubMed:9687576}.; </t>
        </is>
      </c>
      <c r="G658" t="inlineStr">
        <is>
          <t>.</t>
        </is>
      </c>
      <c r="H658" t="inlineStr">
        <is>
          <t>.</t>
        </is>
      </c>
      <c r="I658" t="inlineStr">
        <is>
          <t>.</t>
        </is>
      </c>
      <c r="J658" t="inlineStr">
        <is>
          <t>.</t>
        </is>
      </c>
      <c r="K658" t="inlineStr">
        <is>
          <t>.</t>
        </is>
      </c>
      <c r="L658" t="inlineStr">
        <is>
          <t>.</t>
        </is>
      </c>
      <c r="M658" t="inlineStr">
        <is>
          <t>.</t>
        </is>
      </c>
      <c r="N658" t="inlineStr">
        <is>
          <t>.</t>
        </is>
      </c>
      <c r="O658" t="inlineStr">
        <is>
          <t>.</t>
        </is>
      </c>
    </row>
    <row r="659">
      <c r="A659" t="inlineStr">
        <is>
          <t>SLC23A2</t>
        </is>
      </c>
      <c r="B659" t="inlineStr">
        <is>
          <t>0.511221636863337</t>
        </is>
      </c>
      <c r="C659" t="inlineStr">
        <is>
          <t>solute carrier family 23 member 2</t>
        </is>
      </c>
      <c r="D659" t="inlineStr">
        <is>
          <t xml:space="preserve">FUNCTION: Sodium/ascorbate cotransporter. Mediates electrogenic uptake of vitamin C, with a stoichiometry of 2 Na(+) for each ascorbate.; </t>
        </is>
      </c>
      <c r="E659" t="inlineStr">
        <is>
          <t>.</t>
        </is>
      </c>
      <c r="F659" t="inlineStr">
        <is>
          <t xml:space="preserve">TISSUE SPECIFICITY: Ubiquitous.; </t>
        </is>
      </c>
      <c r="G659" t="inlineStr">
        <is>
          <t>ovary;sympathetic chain;colon;parathyroid;fovea centralis;choroid;skin;retina;bone marrow;uterus;prostate;optic nerve;whole body;frontal lobe;endometrium;thyroid;iris;pituitary gland;testis;germinal center;brain;artery;unclassifiable (Anatomical System);cartilage;heart;islets of Langerhans;pineal body;adrenal cortex;blood;lens;skeletal muscle;breast;pancreas;lung;adrenal gland;placenta;macula lutea;visual apparatus;hippocampus;liver;spleen;head and neck;kidney;stomach;aorta;cerebellum;</t>
        </is>
      </c>
      <c r="H659" t="inlineStr">
        <is>
          <t>dorsal root ganglion;amygdala;superior cervical ganglion;thalamus;adrenal cortex;atrioventricular node;skeletal muscle;subthalamic nucleus;adrenal gland;globus pallidus;ciliary ganglion;trigeminal ganglion;cingulate cortex;parietal lobe;cerebellum;</t>
        </is>
      </c>
      <c r="I659" t="inlineStr">
        <is>
          <t>.</t>
        </is>
      </c>
      <c r="J659" t="inlineStr">
        <is>
          <t>.</t>
        </is>
      </c>
      <c r="K659" t="inlineStr">
        <is>
          <t>.</t>
        </is>
      </c>
      <c r="L659" t="inlineStr">
        <is>
          <t>.</t>
        </is>
      </c>
      <c r="M659" t="inlineStr">
        <is>
          <t>.</t>
        </is>
      </c>
      <c r="N659" t="inlineStr">
        <is>
          <t>.</t>
        </is>
      </c>
      <c r="O659" t="inlineStr">
        <is>
          <t>.</t>
        </is>
      </c>
    </row>
    <row r="660">
      <c r="A660" t="inlineStr">
        <is>
          <t>SLC26A10</t>
        </is>
      </c>
      <c r="B660" t="inlineStr">
        <is>
          <t>1.16500286588742e-09</t>
        </is>
      </c>
      <c r="C660" t="inlineStr">
        <is>
          <t>solute carrier family 26 member 10</t>
        </is>
      </c>
      <c r="D660" t="inlineStr">
        <is>
          <t xml:space="preserve">FUNCTION: Chloride/bicarbonate exchanger. {ECO:0000250}.; </t>
        </is>
      </c>
      <c r="E660" t="inlineStr">
        <is>
          <t>.</t>
        </is>
      </c>
      <c r="F660" t="inlineStr">
        <is>
          <t>.</t>
        </is>
      </c>
      <c r="G660" t="inlineStr">
        <is>
          <t>unclassifiable (Anatomical System);whole body;liver;brain;mammary gland;</t>
        </is>
      </c>
      <c r="H660" t="inlineStr">
        <is>
          <t>subthalamic nucleus;superior cervical ganglion;cerebellum peduncles;globus pallidus;ciliary ganglion;atrioventricular node;pons;trigeminal ganglion;skeletal muscle;cerebellum;</t>
        </is>
      </c>
      <c r="I660" t="inlineStr">
        <is>
          <t>.</t>
        </is>
      </c>
      <c r="J660" t="inlineStr">
        <is>
          <t>.</t>
        </is>
      </c>
      <c r="K660" t="inlineStr">
        <is>
          <t>.</t>
        </is>
      </c>
      <c r="L660" t="inlineStr">
        <is>
          <t>.</t>
        </is>
      </c>
      <c r="M660" t="inlineStr">
        <is>
          <t>.</t>
        </is>
      </c>
      <c r="N660" t="inlineStr">
        <is>
          <t>.</t>
        </is>
      </c>
      <c r="O660" t="inlineStr">
        <is>
          <t>.</t>
        </is>
      </c>
    </row>
    <row r="661">
      <c r="A661" t="inlineStr">
        <is>
          <t>SLC35A5</t>
        </is>
      </c>
      <c r="B661" t="inlineStr">
        <is>
          <t>0.00141225113499444</t>
        </is>
      </c>
      <c r="C661" t="inlineStr">
        <is>
          <t>solute carrier family 35 member A5</t>
        </is>
      </c>
      <c r="D661" t="inlineStr">
        <is>
          <t>.</t>
        </is>
      </c>
      <c r="E661" t="inlineStr">
        <is>
          <t>.</t>
        </is>
      </c>
      <c r="F661" t="inlineStr">
        <is>
          <t>.</t>
        </is>
      </c>
      <c r="G661" t="inlineStr">
        <is>
          <t>ovary;colon;parathyroid;fovea centralis;skin;retina;uterus;prostate;whole body;cochlea;endometrium;bone;thyroid;pituitary gland;testis;germinal center;brain;pineal gland;unclassifiable (Anatomical System);lymph node;cartilage;heart;tongue;islets of Langerhans;hypothalamus;adrenal cortex;skeletal muscle;bile duct;breast;pancreas;lung;adrenal gland;placenta;macula lutea;visual apparatus;hippocampus;cervix;kidney;thymus;</t>
        </is>
      </c>
      <c r="H661" t="inlineStr">
        <is>
          <t>amygdala;medulla oblongata;occipital lobe;caudate nucleus;</t>
        </is>
      </c>
      <c r="I661" t="inlineStr">
        <is>
          <t>.</t>
        </is>
      </c>
      <c r="J661" t="inlineStr">
        <is>
          <t>.</t>
        </is>
      </c>
      <c r="K661" t="inlineStr">
        <is>
          <t>.</t>
        </is>
      </c>
      <c r="L661" t="inlineStr">
        <is>
          <t>.</t>
        </is>
      </c>
      <c r="M661" t="inlineStr">
        <is>
          <t>.</t>
        </is>
      </c>
      <c r="N661" t="inlineStr">
        <is>
          <t>.</t>
        </is>
      </c>
      <c r="O661" t="inlineStr">
        <is>
          <t>.</t>
        </is>
      </c>
    </row>
    <row r="662">
      <c r="A662" t="inlineStr">
        <is>
          <t>SLC36A1</t>
        </is>
      </c>
      <c r="B662" t="inlineStr">
        <is>
          <t>0.0234724316059047</t>
        </is>
      </c>
      <c r="C662" t="inlineStr">
        <is>
          <t>solute carrier family 36 member 1</t>
        </is>
      </c>
      <c r="D662" t="inlineStr">
        <is>
          <t xml:space="preserve">FUNCTION: Neutral amino acid/proton symporter. Has a pH-dependent electrogenic transport activity for small amino acids such as glycine, alanine and proline. Besides small apolar L-amino acids, it also recognize their D-enantiomers and selected amino acid derivatives such as gamma-aminobutyric acid (By similarity). {ECO:0000250, ECO:0000269|PubMed:12809675}.; </t>
        </is>
      </c>
      <c r="E662" t="inlineStr">
        <is>
          <t>.</t>
        </is>
      </c>
      <c r="F662" t="inlineStr">
        <is>
          <t>.</t>
        </is>
      </c>
      <c r="G662" t="inlineStr">
        <is>
          <t>lymphoreticular;ovary;salivary gland;colon;parathyroid;skin;retina;bone marrow;uterus;prostate;frontal lobe;larynx;bone;thyroid;testis;germinal center;spinal ganglion;brain;unclassifiable (Anatomical System);heart;blood;lens;skeletal muscle;pancreas;lung;placenta;liver;spleen;head and neck;cervix;kidney;stomach;peripheral nerve;thymus;</t>
        </is>
      </c>
      <c r="H662" t="inlineStr">
        <is>
          <t>dorsal root ganglion;superior cervical ganglion;globus pallidus;ciliary ganglion;atrioventricular node;trigeminal ganglion;cerebellum;</t>
        </is>
      </c>
      <c r="I662" t="inlineStr">
        <is>
          <t>.</t>
        </is>
      </c>
      <c r="J662" t="inlineStr">
        <is>
          <t>.</t>
        </is>
      </c>
      <c r="K662" t="inlineStr">
        <is>
          <t>.</t>
        </is>
      </c>
      <c r="L662" t="inlineStr">
        <is>
          <t>.</t>
        </is>
      </c>
      <c r="M662" t="inlineStr">
        <is>
          <t>.</t>
        </is>
      </c>
      <c r="N662" t="inlineStr">
        <is>
          <t>.</t>
        </is>
      </c>
      <c r="O662" t="inlineStr">
        <is>
          <t>.</t>
        </is>
      </c>
    </row>
    <row r="663">
      <c r="A663" t="inlineStr">
        <is>
          <t>SLC36A4</t>
        </is>
      </c>
      <c r="B663" t="inlineStr">
        <is>
          <t>2.69891717644805e-09</t>
        </is>
      </c>
      <c r="C663" t="inlineStr">
        <is>
          <t>solute carrier family 36 member 4</t>
        </is>
      </c>
      <c r="D663" t="inlineStr">
        <is>
          <t xml:space="preserve">FUNCTION: Functions as a sodium-independent electroneutral transporter for tryptophan, proline and alanine. Inhibited by sarcosine. {ECO:0000269|PubMed:21097500}.; </t>
        </is>
      </c>
      <c r="E663" t="inlineStr">
        <is>
          <t>.</t>
        </is>
      </c>
      <c r="F663" t="inlineStr">
        <is>
          <t>.</t>
        </is>
      </c>
      <c r="G663" t="inlineStr">
        <is>
          <t>unclassifiable (Anatomical System);heart;hypothalamus;colon;blood;skin;skeletal muscle;bone marrow;uterus;pancreas;prostate;whole body;lung;trabecular meshwork;placenta;visual apparatus;testis;cervix;kidney;brain;</t>
        </is>
      </c>
      <c r="H663" t="inlineStr">
        <is>
          <t>dorsal root ganglion;superior cervical ganglion;ciliary ganglion;trigeminal ganglion;</t>
        </is>
      </c>
      <c r="I663" t="inlineStr">
        <is>
          <t>.</t>
        </is>
      </c>
      <c r="J663" t="inlineStr">
        <is>
          <t>.</t>
        </is>
      </c>
      <c r="K663" t="inlineStr">
        <is>
          <t>.</t>
        </is>
      </c>
      <c r="L663" t="inlineStr">
        <is>
          <t>.</t>
        </is>
      </c>
      <c r="M663" t="inlineStr">
        <is>
          <t>.</t>
        </is>
      </c>
      <c r="N663" t="inlineStr">
        <is>
          <t>.</t>
        </is>
      </c>
      <c r="O663" t="inlineStr">
        <is>
          <t>.</t>
        </is>
      </c>
    </row>
    <row r="664">
      <c r="A664" t="inlineStr">
        <is>
          <t>SLC4A9</t>
        </is>
      </c>
      <c r="B664" t="inlineStr">
        <is>
          <t>5.6907011258673e-18</t>
        </is>
      </c>
      <c r="C664" t="inlineStr">
        <is>
          <t>solute carrier family 4 member 9</t>
        </is>
      </c>
      <c r="D664" t="inlineStr">
        <is>
          <t xml:space="preserve">FUNCTION: Probable apical anion exchanger of the kidney cortex. {ECO:0000250}.; </t>
        </is>
      </c>
      <c r="E664" t="inlineStr">
        <is>
          <t>.</t>
        </is>
      </c>
      <c r="F664" t="inlineStr">
        <is>
          <t xml:space="preserve">TISSUE SPECIFICITY: Kidney specific. {ECO:0000269|PubMed:11305939, ECO:0000269|Ref.7}.; </t>
        </is>
      </c>
      <c r="G664" t="inlineStr">
        <is>
          <t>testis;kidney;</t>
        </is>
      </c>
      <c r="H664" t="inlineStr">
        <is>
          <t>superior cervical ganglion;ciliary ganglion;atrioventricular node;</t>
        </is>
      </c>
      <c r="I664" t="inlineStr">
        <is>
          <t>.</t>
        </is>
      </c>
      <c r="J664" t="inlineStr">
        <is>
          <t>.</t>
        </is>
      </c>
      <c r="K664" t="inlineStr">
        <is>
          <t>.</t>
        </is>
      </c>
      <c r="L664" t="inlineStr">
        <is>
          <t>.</t>
        </is>
      </c>
      <c r="M664" t="inlineStr">
        <is>
          <t>.</t>
        </is>
      </c>
      <c r="N664" t="inlineStr">
        <is>
          <t>.</t>
        </is>
      </c>
      <c r="O664" t="inlineStr">
        <is>
          <t>.</t>
        </is>
      </c>
    </row>
    <row r="665">
      <c r="A665" t="inlineStr">
        <is>
          <t>SLC6A2</t>
        </is>
      </c>
      <c r="B665" t="inlineStr">
        <is>
          <t>0.277118300003759</t>
        </is>
      </c>
      <c r="C665" t="inlineStr">
        <is>
          <t>solute carrier family 6 member 2</t>
        </is>
      </c>
      <c r="D665" t="inlineStr">
        <is>
          <t xml:space="preserve">FUNCTION: Amine transporter. Terminates the action of noradrenaline by its high affinity sodium-dependent reuptake into presynaptic terminals. {ECO:0000269|PubMed:2008212}.; </t>
        </is>
      </c>
      <c r="E665" t="inlineStr">
        <is>
          <t xml:space="preserve">DISEASE: Orthostatic intolerance (OI) [MIM:604715]: Syndrome characterized by lightheadedness, fatigue, altered mentation and syncope. It is associated with postural tachycardia. Plasma norepinephrine concentration is abnormally high. {ECO:0000269|PubMed:10684912}. Note=The disease is caused by mutations affecting the gene represented in this entry.; </t>
        </is>
      </c>
      <c r="F665" t="inlineStr">
        <is>
          <t>.</t>
        </is>
      </c>
      <c r="G665" t="inlineStr">
        <is>
          <t>unclassifiable (Anatomical System);larynx;placenta;liver;spleen;head and neck;brain;skeletal muscle;</t>
        </is>
      </c>
      <c r="H665" t="inlineStr">
        <is>
          <t>dorsal root ganglion;thalamus;superior cervical ganglion;atrioventricular node;pons;skeletal muscle;subthalamic nucleus;adrenal gland;placenta;globus pallidus;appendix;ciliary ganglion;trigeminal ganglion;parietal lobe;</t>
        </is>
      </c>
      <c r="I665">
        <f>HYPERLINK("https://omim.org/entry/604715", "604715")</f>
        <v/>
      </c>
      <c r="J665" t="inlineStr">
        <is>
          <t>.</t>
        </is>
      </c>
      <c r="K665" t="inlineStr">
        <is>
          <t>.</t>
        </is>
      </c>
      <c r="L665" t="inlineStr">
        <is>
          <t>.</t>
        </is>
      </c>
      <c r="M665" t="inlineStr">
        <is>
          <t>.</t>
        </is>
      </c>
      <c r="N665" t="inlineStr">
        <is>
          <t>.</t>
        </is>
      </c>
      <c r="O665" t="inlineStr">
        <is>
          <t>.</t>
        </is>
      </c>
    </row>
    <row r="666">
      <c r="A666" t="inlineStr">
        <is>
          <t>SLC8B1</t>
        </is>
      </c>
      <c r="B666" t="inlineStr">
        <is>
          <t>5.47604607149263e-10</t>
        </is>
      </c>
      <c r="C666" t="inlineStr">
        <is>
          <t>solute carrier family 8 member B1</t>
        </is>
      </c>
      <c r="D666" t="inlineStr">
        <is>
          <t xml:space="preserve">FUNCTION: Mitochondrial sodium/calcium antiporter that mediates sodium-dependent calcium efflux from mitochondrion, thereby acting as a key regulator of mitochondrion calcium homeostasis. Regulates rates of glucose-dependent insulin secretion in pancreatic beta- cells during the first phase of insulin secretion: acts by mediating efflux of calcium from mitochondrion, thereby affecting cytoplasmic calcium responses. Able to transport Ca(2+) in exchange of either Li(+) or Na(+), explaining how Li(+) catalyzes Ca(2+) exchange. In contrast to other members of the family its function is independent of K(+). {ECO:0000269|PubMed:15060069, ECO:0000269|PubMed:20018762, ECO:0000269|PubMed:22829870, ECO:0000269|PubMed:23056385}.; </t>
        </is>
      </c>
      <c r="E666" t="inlineStr">
        <is>
          <t>.</t>
        </is>
      </c>
      <c r="F666" t="inlineStr">
        <is>
          <t xml:space="preserve">TISSUE SPECIFICITY: Present in pancreatic beta-cells (at protein level). {ECO:0000269|PubMed:23056385}.; </t>
        </is>
      </c>
      <c r="G666" t="inlineStr">
        <is>
          <t>.</t>
        </is>
      </c>
      <c r="H666" t="inlineStr">
        <is>
          <t>.</t>
        </is>
      </c>
      <c r="I666" t="inlineStr">
        <is>
          <t>.</t>
        </is>
      </c>
      <c r="J666" t="inlineStr">
        <is>
          <t>.</t>
        </is>
      </c>
      <c r="K666" t="inlineStr">
        <is>
          <t>.</t>
        </is>
      </c>
      <c r="L666" t="inlineStr">
        <is>
          <t>.</t>
        </is>
      </c>
      <c r="M666" t="inlineStr">
        <is>
          <t>.</t>
        </is>
      </c>
      <c r="N666" t="inlineStr">
        <is>
          <t>.</t>
        </is>
      </c>
      <c r="O666" t="inlineStr">
        <is>
          <t>.</t>
        </is>
      </c>
    </row>
    <row r="667">
      <c r="A667" t="inlineStr">
        <is>
          <t>SLC9A2</t>
        </is>
      </c>
      <c r="B667" t="inlineStr">
        <is>
          <t>0.481161337483386</t>
        </is>
      </c>
      <c r="C667" t="inlineStr">
        <is>
          <t>solute carrier family 9 member A2</t>
        </is>
      </c>
      <c r="D667" t="inlineStr">
        <is>
          <t xml:space="preserve">FUNCTION: Involved in pH regulation to eliminate acids generated by active metabolism or to counter adverse environmental conditions. Major proton extruding system driven by the inward sodium ion chemical gradient. Seems to play an important role in colonic sodium absorption.; </t>
        </is>
      </c>
      <c r="E667" t="inlineStr">
        <is>
          <t>.</t>
        </is>
      </c>
      <c r="F667" t="inlineStr">
        <is>
          <t xml:space="preserve">TISSUE SPECIFICITY: Expressed in skeletal muscle, colon and kidney. Lower levels in the testis, prostate, ovary, and small intestine.; </t>
        </is>
      </c>
      <c r="G667" t="inlineStr">
        <is>
          <t>ovary;placenta;testis;colon;parathyroid;brain;skeletal muscle;stomach;</t>
        </is>
      </c>
      <c r="H667" t="inlineStr">
        <is>
          <t>testis - seminiferous tubule;liver;testis;trigeminal ganglion;cingulate cortex;</t>
        </is>
      </c>
      <c r="I667" t="inlineStr">
        <is>
          <t>.</t>
        </is>
      </c>
      <c r="J667" t="inlineStr">
        <is>
          <t>.</t>
        </is>
      </c>
      <c r="K667" t="inlineStr">
        <is>
          <t>.</t>
        </is>
      </c>
      <c r="L667" t="inlineStr">
        <is>
          <t>.</t>
        </is>
      </c>
      <c r="M667" t="inlineStr">
        <is>
          <t>.</t>
        </is>
      </c>
      <c r="N667" t="inlineStr">
        <is>
          <t>.</t>
        </is>
      </c>
      <c r="O667" t="inlineStr">
        <is>
          <t>.</t>
        </is>
      </c>
    </row>
    <row r="668">
      <c r="A668" t="inlineStr">
        <is>
          <t>SLCO3A1</t>
        </is>
      </c>
      <c r="B668" t="inlineStr">
        <is>
          <t>0.732171682691697</t>
        </is>
      </c>
      <c r="C668" t="inlineStr">
        <is>
          <t>solute carrier organic anion transporter family member 3A1</t>
        </is>
      </c>
      <c r="D668" t="inlineStr">
        <is>
          <t xml:space="preserve">FUNCTION: Mediates the Na(+)-independent transport of organic anions such as estrone-3-sulfate (PubMed:10873595). Mediates transport of prostaglandins (PG) E1 and E2, thyroxine (T4), deltorphin II, BQ-123 and vasopressin, but not DPDPE (a derivative of enkephalin lacking an N-terminal tyrosine residue), estrone-3- sulfate, taurocholate, digoxin nor DHEAS (PubMed:16971491). {ECO:0000269|PubMed:10873595, ECO:0000269|PubMed:16971491}.; </t>
        </is>
      </c>
      <c r="E668" t="inlineStr">
        <is>
          <t>.</t>
        </is>
      </c>
      <c r="F668" t="inlineStr">
        <is>
          <t xml:space="preserve">TISSUE SPECIFICITY: Ubiquitous. Highly expressed in spleen and leukocytes. Generally the expression of isoform 1 is higher than that of isoform 2. Isoform 2 is particularly abundant in testis and brain. In testis, isoform 1 is detected in spermatogonia at different stages and absent from Sertoli cells, while isoform 2 is present in both (at protein level). Expressed in the choroid plexus epithelium, isoform 1 being localized at the basolateral membrane and isoform 2 at the apical one, as well as in the subapical intracellular vesicular compartments. Differential expression of both isoforms is also observed in other brain region: isoform 1 is very abundant in the gray matter of the frontal cortex, but is not associated with neuronal cell bodies. Not detected in the white matter. In contrast, isoform 2 is associated with neuronal bodies and axons in both the gray and the white matters of the frontal cortex. {ECO:0000269|PubMed:16971491}.; </t>
        </is>
      </c>
      <c r="G668" t="inlineStr">
        <is>
          <t>lymphoreticular;ovary;sympathetic chain;colon;parathyroid;fovea centralis;choroid;skin;retina;uterus;optic nerve;testis;germinal center;pineal gland;brain;unclassifiable (Anatomical System);lymph node;heart;lens;breast;pancreas;lung;nasopharynx;placenta;visual apparatus;macula lutea;cervix;stomach;</t>
        </is>
      </c>
      <c r="H668" t="inlineStr">
        <is>
          <t>amygdala;medulla oblongata;superior cervical ganglion;testis - interstitial;occipital lobe;testis - seminiferous tubule;testis;cingulate cortex;parietal lobe;</t>
        </is>
      </c>
      <c r="I668" t="inlineStr">
        <is>
          <t>.</t>
        </is>
      </c>
      <c r="J668" t="inlineStr">
        <is>
          <t>.</t>
        </is>
      </c>
      <c r="K668" t="inlineStr">
        <is>
          <t>.</t>
        </is>
      </c>
      <c r="L668" t="inlineStr">
        <is>
          <t>.</t>
        </is>
      </c>
      <c r="M668" t="inlineStr">
        <is>
          <t>.</t>
        </is>
      </c>
      <c r="N668" t="inlineStr">
        <is>
          <t>.</t>
        </is>
      </c>
      <c r="O668" t="inlineStr">
        <is>
          <t>.</t>
        </is>
      </c>
    </row>
    <row r="669">
      <c r="A669" t="inlineStr">
        <is>
          <t>SLCO4A1</t>
        </is>
      </c>
      <c r="B669" t="inlineStr">
        <is>
          <t>5.34100932440508e-07</t>
        </is>
      </c>
      <c r="C669" t="inlineStr">
        <is>
          <t>solute carrier organic anion transporter family member 4A1</t>
        </is>
      </c>
      <c r="D669" t="inlineStr">
        <is>
          <t xml:space="preserve">FUNCTION: Mediates the Na(+)-independent transport of organic anions such as the thyroid hormones T3 (triiodo-L-thyronine), T4 (thyroxine) and rT3, and of estrone-3-sulfate and taurocholate.; </t>
        </is>
      </c>
      <c r="E669" t="inlineStr">
        <is>
          <t>.</t>
        </is>
      </c>
      <c r="F669" t="inlineStr">
        <is>
          <t xml:space="preserve">TISSUE SPECIFICITY: Ubiquitous, with the exception of spleen and leukocytes.; </t>
        </is>
      </c>
      <c r="G669" t="inlineStr">
        <is>
          <t>myocardium;ovary;colon;fovea centralis;choroid;skin;bone marrow;retina;uterus;prostate;optic nerve;whole body;frontal lobe;testis;germinal center;brain;unclassifiable (Anatomical System);lymph node;heart;blood;lens;skeletal muscle;lung;placenta;macula lutea;cervix;kidney;mammary gland;stomach;thymus;</t>
        </is>
      </c>
      <c r="H669" t="inlineStr">
        <is>
          <t>.</t>
        </is>
      </c>
      <c r="I669" t="inlineStr">
        <is>
          <t>.</t>
        </is>
      </c>
      <c r="J669" t="inlineStr">
        <is>
          <t>.</t>
        </is>
      </c>
      <c r="K669" t="inlineStr">
        <is>
          <t>.</t>
        </is>
      </c>
      <c r="L669" t="inlineStr">
        <is>
          <t>.</t>
        </is>
      </c>
      <c r="M669" t="inlineStr">
        <is>
          <t>.</t>
        </is>
      </c>
      <c r="N669" t="inlineStr">
        <is>
          <t>.</t>
        </is>
      </c>
      <c r="O669" t="inlineStr">
        <is>
          <t>.</t>
        </is>
      </c>
    </row>
    <row r="670">
      <c r="A670" t="inlineStr">
        <is>
          <t>SLIT2</t>
        </is>
      </c>
      <c r="B670" t="inlineStr">
        <is>
          <t>0.999999067396252</t>
        </is>
      </c>
      <c r="C670" t="inlineStr">
        <is>
          <t>slit guidance ligand 2</t>
        </is>
      </c>
      <c r="D670" t="inlineStr">
        <is>
          <t xml:space="preserve">FUNCTION: Thought to act as molecular guidance cue in cellular migration, and function appears to be mediated by interaction with roundabout homolog receptors. During neural development involved in axonal navigation at the ventral midline of the neural tube and projection of axons to different regions. SLIT1 and SLIT2 seem to be essential for midline guidance in the forebrain by acting as repulsive signal preventing inappropriate midline crossing by axons projecting from the olfactory bulb. In spinal chord development may play a role in guiding commissural axons once they reached the floor plate by modulating the response to netrin. In vitro, silences the attractive effect of NTN1 but not its growth- stimulatory effect and silencing requires the formation of a ROBO1-DCC complex. May be implicated in spinal chord midline post- crossing axon repulsion. In vitro, only commissural axons that crossed the midline responded to SLIT2. In the developing visual system appears to function as repellent for retinal ganglion axons by providing a repulsion that directs these axons along their appropriate paths prior to, and after passage through, the optic chiasm. In vitro, collapses and repels retinal ganglion cell growth cones. Seems to play a role in branching and arborization of CNS sensory axons, and in neuronal cell migration. In vitro, Slit homolog 2 protein N-product, but not Slit homolog 2 protein C-product, repels olfactory bulb (OB) but not dorsal root ganglia (DRG) axons, induces OB growth cones collapse and induces branching of DRG axons. Seems to be involved in regulating leukocyte migration. {ECO:0000269|PubMed:10102268, ECO:0000269|PubMed:10864954, ECO:0000269|PubMed:10975526, ECO:0000269|PubMed:11239147, ECO:0000269|PubMed:11309622, ECO:0000269|PubMed:11404413}.; </t>
        </is>
      </c>
      <c r="E670" t="inlineStr">
        <is>
          <t>.</t>
        </is>
      </c>
      <c r="F670" t="inlineStr">
        <is>
          <t xml:space="preserve">TISSUE SPECIFICITY: Fetal lung and kidney, and adult spinal cord. Weak expression in adult adrenal gland, thyroid, trachea and other tissues examined. {ECO:0000269|PubMed:10349621, ECO:0000269|PubMed:9813312}.; </t>
        </is>
      </c>
      <c r="G670" t="inlineStr">
        <is>
          <t>unclassifiable (Anatomical System);cartilage;heart;hypothalamus;parathyroid;skin;skeletal muscle;uterus;pancreas;whole body;lung;frontal lobe;nasopharynx;iris;duodenum;testis;spleen;kidney;spinal ganglion;brain;stomach;</t>
        </is>
      </c>
      <c r="H670" t="inlineStr">
        <is>
          <t>dorsal root ganglion;subthalamic nucleus;superior cervical ganglion;olfactory bulb;globus pallidus;trigeminal ganglion;parietal lobe;</t>
        </is>
      </c>
      <c r="I670" t="inlineStr">
        <is>
          <t>.</t>
        </is>
      </c>
      <c r="J670" t="inlineStr">
        <is>
          <t>.</t>
        </is>
      </c>
      <c r="K670" t="inlineStr">
        <is>
          <t>.</t>
        </is>
      </c>
      <c r="L670" t="inlineStr">
        <is>
          <t>.</t>
        </is>
      </c>
      <c r="M670" t="inlineStr">
        <is>
          <t>.</t>
        </is>
      </c>
      <c r="N670" t="inlineStr">
        <is>
          <t>.</t>
        </is>
      </c>
      <c r="O670" t="inlineStr">
        <is>
          <t>.</t>
        </is>
      </c>
    </row>
    <row r="671">
      <c r="A671" t="inlineStr">
        <is>
          <t>SMCHD1</t>
        </is>
      </c>
      <c r="B671" t="inlineStr">
        <is>
          <t>0.999999998790609</t>
        </is>
      </c>
      <c r="C671" t="inlineStr">
        <is>
          <t>structural maintenance of chromosomes flexible hinge domain containing 1</t>
        </is>
      </c>
      <c r="D671" t="inlineStr">
        <is>
          <t xml:space="preserve">FUNCTION: Required for maintenance of X inactivation in females and hypermethylation of CpG islands associated with inactive X. Involved in a pathway that mediates the methylation of a subset of CpG islands slowly and requires the de novo methyltransferase DNMT3B (By similarity). Required for DUX4 silencing in somatic cells. {ECO:0000250, ECO:0000269|PubMed:23143600}.; </t>
        </is>
      </c>
      <c r="E671" t="inlineStr">
        <is>
          <t xml:space="preserve">DISEASE: Facioscapulohumeral muscular dystrophy 2 (FSHD2) [MIM:158901]: A degenerative muscle disease characterized by slowly progressive weakness of the muscles of the face, upper-arm, and shoulder girdle. The onset of symptoms usually occurs in the first or second decade of life. Affected individuals usually present with impairment of upper extremity elevation. This tends to be followed by facial weakness, primarily involving the orbicularis oris and orbicularis oculi muscles. {ECO:0000269|PubMed:23143600}. Note=The disease is caused by mutations affecting the gene represented in this entry. SMCHD1 mutations lead to DUX4 expression in somatic tissues, including muscle cells, when an haplotype on chromosome 4 is permissive for DUX4 expression. Ectopic expression of DUX4 in skeletal muscle activates the expression of stem cell and germline genes, and, when overexpressed in somatic cells, DUX4 can ultimately lead to cell death.; </t>
        </is>
      </c>
      <c r="F671" t="inlineStr">
        <is>
          <t>.</t>
        </is>
      </c>
      <c r="G671" t="inlineStr">
        <is>
          <t>smooth muscle;ovary;skin;bone marrow;retina;prostate;optic nerve;frontal lobe;cochlea;endometrium;germinal center;brain;heart;cartilage;blood;lens;skeletal muscle;breast;visual apparatus;macula lutea;liver;spleen;cervix;mammary gland;peripheral nerve;colon;parathyroid;choroid;fovea centralis;uterus;whole body;cerebral cortex;larynx;bone;testis;spinal ganglion;unclassifiable (Anatomical System);lymph node;lacrimal gland;islets of Langerhans;oral cavity;bile duct;pancreas;lung;adrenal gland;nasopharynx;placenta;head and neck;kidney;stomach;aorta;thymus;</t>
        </is>
      </c>
      <c r="H671" t="inlineStr">
        <is>
          <t>dorsal root ganglion;testis - interstitial;superior cervical ganglion;testis - seminiferous tubule;testis;ciliary ganglion;whole blood;trigeminal ganglion;skeletal muscle;</t>
        </is>
      </c>
      <c r="I671">
        <f>HYPERLINK("https://omim.org/entry/158901", "158901")</f>
        <v/>
      </c>
      <c r="J671" t="inlineStr">
        <is>
          <t>.</t>
        </is>
      </c>
      <c r="K671" t="inlineStr">
        <is>
          <t>.</t>
        </is>
      </c>
      <c r="L671" t="inlineStr">
        <is>
          <t>.</t>
        </is>
      </c>
      <c r="M671" t="inlineStr">
        <is>
          <t>.</t>
        </is>
      </c>
      <c r="N671" t="inlineStr">
        <is>
          <t>.</t>
        </is>
      </c>
      <c r="O671" t="inlineStr">
        <is>
          <t>.</t>
        </is>
      </c>
    </row>
    <row r="672">
      <c r="A672" t="inlineStr">
        <is>
          <t>SNAI2</t>
        </is>
      </c>
      <c r="B672" t="inlineStr">
        <is>
          <t>0.871690015207373</t>
        </is>
      </c>
      <c r="C672" t="inlineStr">
        <is>
          <t>snail family zinc finger 2</t>
        </is>
      </c>
      <c r="D672" t="inlineStr">
        <is>
          <t xml:space="preserve">FUNCTION: Transcriptional repressor that modulates both activator- dependent and basal transcription. Involved in the generation and migration of neural crest cells. Plays a role in mediating RAF1- induced transcriptional repression of the TJ protein, occludin (OCLN) and subsequent oncogenic transformation of epithelial cells (By similarity). Represses BRCA2 expression by binding to its E2- box-containing silencer and recruiting CTBP1 and HDAC1 in breast cells. In epidermal keratinocytes, binds to the E-box in ITGA3 promoter and represses its transcription. Involved in the regulation of ITGB1 and ITGB4 expression and cell adhesion and proliferation in epidermal keratinocytes. Binds to E-box2 domain of BSG and activates its expression during TGFB1-induced epithelial-mesenchymal transition (EMT) in hepatocytes. Represses E-Cadherin/CDH1 transcription via E-box elements. Involved in osteoblast maturation. Binds to RUNX2 and SOC9 promoters and may act as a positive and negative transcription regulator, respectively, in osteoblasts. Binds to CXCL12 promoter via E-box regions in mesenchymal stem cells and osteoblasts. Plays an essential role in TWIST1-induced EMT and its ability to promote invasion and metastasis. {ECO:0000250, ECO:0000269|PubMed:10866665, ECO:0000269|PubMed:11912130, ECO:0000269|PubMed:15734731, ECO:0000269|PubMed:16707493, ECO:0000269|PubMed:19756381, ECO:0000269|PubMed:21182836}.; </t>
        </is>
      </c>
      <c r="E672" t="inlineStr">
        <is>
          <t xml:space="preserve">DISEASE: Waardenburg syndrome 2D (WS2D) [MIM:608890]: WS2 is a genetically heterogeneous, autosomal dominant disorder characterized by sensorineural deafness, pigmentary disturbances, and absence of dystopia canthorum. The frequency of deafness is higher in WS2 than in WS1. {ECO:0000269|PubMed:12444107}. Note=The disease is caused by mutations affecting the gene represented in this entry.; DISEASE: Piebald trait (PBT) [MIM:172800]: Autosomal dominant genetic developmental abnormality of pigmentation characterized by congenital patches of white skin and hair that lack melanocytes. {ECO:0000269|PubMed:12955764}. Note=The disease is caused by mutations affecting the gene represented in this entry.; </t>
        </is>
      </c>
      <c r="F672" t="inlineStr">
        <is>
          <t xml:space="preserve">TISSUE SPECIFICITY: Expressed in most adult human tissues, including spleen, thymus, prostate, testis, ovary, small intestine, colon, heart, brain, placenta, lung, liver, skeletal muscle, kidney and pancreas. Not detected in peripheral blood leukocyte. Expressed in the dermis and in all layers of the epidermis, with high levels of expression in the basal layers (at protein level). Expressed in osteoblasts (at protein level). Expressed in mesenchymal stem cells (at protein level). Expressed in breast tumor cells (at protein level). {ECO:0000269|PubMed:10866665, ECO:0000269|PubMed:16707493, ECO:0000269|PubMed:19756381, ECO:0000269|PubMed:21182836}.; </t>
        </is>
      </c>
      <c r="G672" t="inlineStr">
        <is>
          <t>myocardium;ovary;salivary gland;intestine;colon;skin;bone marrow;uterus;prostate;whole body;endometrium;larynx;bone;thyroid;brain;bladder;unclassifiable (Anatomical System);cartilage;heart;hypothalamus;urinary;pharynx;blood;skeletal muscle;breast;pancreas;lung;mesenchyma;placenta;visual apparatus;liver;spleen;head and neck;cervix;kidney;mammary gland;</t>
        </is>
      </c>
      <c r="H672" t="inlineStr">
        <is>
          <t>uterus;lung;adipose tissue;</t>
        </is>
      </c>
      <c r="I672">
        <f>HYPERLINK("https://omim.org/entry/608890", "608890")</f>
        <v/>
      </c>
      <c r="J672">
        <f>HYPERLINK("https://omim.org/entry/172800", "172800")</f>
        <v/>
      </c>
      <c r="K672" t="inlineStr">
        <is>
          <t>.</t>
        </is>
      </c>
      <c r="L672" t="inlineStr">
        <is>
          <t>.</t>
        </is>
      </c>
      <c r="M672" t="inlineStr">
        <is>
          <t>.</t>
        </is>
      </c>
      <c r="N672" t="inlineStr">
        <is>
          <t>.</t>
        </is>
      </c>
      <c r="O672" t="inlineStr">
        <is>
          <t>.</t>
        </is>
      </c>
    </row>
    <row r="673">
      <c r="A673" t="inlineStr">
        <is>
          <t>SNCA</t>
        </is>
      </c>
      <c r="B673" t="inlineStr">
        <is>
          <t>0.841962359247494</t>
        </is>
      </c>
      <c r="C673" t="inlineStr">
        <is>
          <t>synuclein alpha</t>
        </is>
      </c>
      <c r="D673" t="inlineStr">
        <is>
          <t xml:space="preserve">FUNCTION: May be involved in the regulation of dopamine release and transport. Induces fibrillization of microtubule-associated protein tau. Reduces neuronal responsiveness to various apoptotic stimuli, leading to a decreased caspase-3 activation.; </t>
        </is>
      </c>
      <c r="E673" t="inlineStr">
        <is>
          <t xml:space="preserve">DISEASE: Note=Genetic alterations of SNCA resulting in aberrant polymerization into fibrils, are associated with several neurodegenerative diseases (synucleinopathies). SNCA fibrillar aggregates represent the major non A-beta component of Alzheimer disease amyloid plaque, and a major component of Lewy body inclusions. They are also found within Lewy body (LB)-like intraneuronal inclusions, glial inclusions and axonal spheroids in neurodegeneration with brain iron accumulation type 1.; DISEASE: Parkinson disease 1 (PARK1) [MIM:168601]: A complex neurodegenerative disorder characterized by bradykinesia, resting tremor, muscular rigidity and postural instability. Additional features are characteristic postural abnormalities, dysautonomia, dystonic cramps, and dementia. The pathology of Parkinson disease involves the loss of dopaminergic neurons in the substantia nigra and the presence of Lewy bodies (intraneuronal accumulations of aggregated proteins), in surviving neurons in various areas of the brain. The disease is progressive and usually manifests after the age of 50 years, although early-onset cases (before 50 years) are known. The majority of the cases are sporadic suggesting a multifactorial etiology based on environmental and genetic factors. However, some patients present with a positive family history for the disease. Familial forms of the disease usually begin at earlier ages and are associated with atypical clinical features. {ECO:0000269|PubMed:23427326, ECO:0000269|PubMed:23457019, ECO:0000269|PubMed:24936070, ECO:0000269|PubMed:25561023, ECO:0000269|PubMed:9197268, ECO:0000269|PubMed:9462735}. Note=The disease is caused by mutations affecting the gene represented in this entry.; DISEASE: Parkinson disease 4 (PARK4) [MIM:605543]: A complex neurodegenerative disorder with manifestations ranging from typical Parkinson disease to dementia with Lewy bodies. Clinical features include parkinsonian symptoms (resting tremor, rigidity, postural instability and bradykinesia), dementia, diffuse Lewy body pathology, autonomic dysfunction, hallucinations and paranoia. Note=The disease is caused by mutations affecting the gene represented in this entry.; DISEASE: Dementia Lewy body (DLB) [MIM:127750]: A neurodegenerative disorder characterized by mental impairment leading to dementia, parkinsonism, fluctuating cognitive function, visual hallucinations, falls, syncopal episodes, and sensitivity to neuroleptic medication. Brainstem or cortical intraneuronal accumulations of aggregated proteins (Lewy bodies) are the only essential pathologic features. Patients may also have hippocampal and neocortical senile plaques, sometimes in sufficient number to fulfill the diagnostic criteria for Alzheimer disease. {ECO:0000269|PubMed:14755719}. Note=The disease is caused by mutations affecting the gene represented in this entry.; </t>
        </is>
      </c>
      <c r="F673" t="inlineStr">
        <is>
          <t xml:space="preserve">TISSUE SPECIFICITY: Expressed principally in brain but is also expressed in low concentrations in all tissues examined except in liver. Concentrated in presynaptic nerve terminals.; </t>
        </is>
      </c>
      <c r="G673" t="inlineStr">
        <is>
          <t>myocardium;ovary;salivary gland;colon;skin;uterus;prostate;whole body;frontal lobe;endometrium;bone;iris;testis;brain;bladder;amygdala;unclassifiable (Anatomical System);heart;islets of Langerhans;hypothalamus;pharynx;blood;breast;lung;adrenal gland;placenta;visual apparatus;liver;duodenum;spleen;kidney;mammary gland;</t>
        </is>
      </c>
      <c r="H673" t="inlineStr">
        <is>
          <t>amygdala;whole brain;dorsal root ganglion;superior cervical ganglion;medulla oblongata;occipital lobe;olfactory bulb;temporal lobe;atrioventricular node;pons;skin;bone marrow;subthalamic nucleus;fetal liver;prefrontal cortex;globus pallidus;appendix;ciliary ganglion;trigeminal ganglion;parietal lobe;cingulate cortex;</t>
        </is>
      </c>
      <c r="I673">
        <f>HYPERLINK("https://omim.org/entry/168601", "168601")</f>
        <v/>
      </c>
      <c r="J673">
        <f>HYPERLINK("https://omim.org/entry/605543", "605543")</f>
        <v/>
      </c>
      <c r="K673">
        <f>HYPERLINK("https://omim.org/entry/127750", "127750")</f>
        <v/>
      </c>
      <c r="L673" t="inlineStr">
        <is>
          <t>.</t>
        </is>
      </c>
      <c r="M673" t="inlineStr">
        <is>
          <t>.</t>
        </is>
      </c>
      <c r="N673" t="inlineStr">
        <is>
          <t>.</t>
        </is>
      </c>
      <c r="O673" t="inlineStr">
        <is>
          <t>.</t>
        </is>
      </c>
    </row>
    <row r="674">
      <c r="A674" t="inlineStr">
        <is>
          <t>SNHG22</t>
        </is>
      </c>
      <c r="B674" t="inlineStr">
        <is>
          <t>.</t>
        </is>
      </c>
      <c r="C674" t="inlineStr">
        <is>
          <t>small nucleolar RNA host gene 22</t>
        </is>
      </c>
      <c r="D674" t="inlineStr">
        <is>
          <t>.</t>
        </is>
      </c>
      <c r="E674" t="inlineStr">
        <is>
          <t>.</t>
        </is>
      </c>
      <c r="F674" t="inlineStr">
        <is>
          <t>.</t>
        </is>
      </c>
      <c r="G674" t="inlineStr">
        <is>
          <t>.</t>
        </is>
      </c>
      <c r="H674" t="inlineStr">
        <is>
          <t>.</t>
        </is>
      </c>
      <c r="I674" t="inlineStr">
        <is>
          <t>.</t>
        </is>
      </c>
      <c r="J674" t="inlineStr">
        <is>
          <t>.</t>
        </is>
      </c>
      <c r="K674" t="inlineStr">
        <is>
          <t>.</t>
        </is>
      </c>
      <c r="L674" t="inlineStr">
        <is>
          <t>.</t>
        </is>
      </c>
      <c r="M674" t="inlineStr">
        <is>
          <t>.</t>
        </is>
      </c>
      <c r="N674" t="inlineStr">
        <is>
          <t>.</t>
        </is>
      </c>
      <c r="O674" t="inlineStr">
        <is>
          <t>.</t>
        </is>
      </c>
    </row>
    <row r="675">
      <c r="A675" t="inlineStr">
        <is>
          <t>SNX19</t>
        </is>
      </c>
      <c r="B675" t="inlineStr">
        <is>
          <t>9.83338246488835e-07</t>
        </is>
      </c>
      <c r="C675" t="inlineStr">
        <is>
          <t>sorting nexin 19</t>
        </is>
      </c>
      <c r="D675" t="inlineStr">
        <is>
          <t xml:space="preserve">FUNCTION: Plays a role in intracellular vesicle trafficking and exocytosis (PubMed:24843546). May play a role in maintaining insulin-containing dense core vesicles in pancreatic beta-cells and in preventing their degradation. May play a role in insulin secretion (PubMed:24843546). Interacts with membranes containing phosphatidylinositol 3-phosphate (PtdIns(3P)) (By similarity). {ECO:0000250|UniProtKB:Q6P4T1, ECO:0000269|PubMed:24843546}.; </t>
        </is>
      </c>
      <c r="E675" t="inlineStr">
        <is>
          <t>.</t>
        </is>
      </c>
      <c r="F675" t="inlineStr">
        <is>
          <t>.</t>
        </is>
      </c>
      <c r="G675" t="inlineStr">
        <is>
          <t>medulla oblongata;ovary;colon;parathyroid;fovea centralis;choroid;skin;retina;bone marrow;uterus;prostate;whole body;frontal lobe;cerebral cortex;endometrium;bone;thyroid;iris;pituitary gland;testis;amniotic fluid;germinal center;brain;unclassifiable (Anatomical System);lymph node;cartilage;heart;lacrimal gland;islets of Langerhans;blood;lens;skeletal muscle;bile duct;breast;pancreas;lung;trabecular meshwork;placenta;macula lutea;visual apparatus;hippocampus;duodenum;liver;spleen;head and neck;kidney;mammary gland;stomach;</t>
        </is>
      </c>
      <c r="H675" t="inlineStr">
        <is>
          <t>testis - interstitial;testis;trigeminal ganglion;</t>
        </is>
      </c>
      <c r="I675" t="inlineStr">
        <is>
          <t>.</t>
        </is>
      </c>
      <c r="J675" t="inlineStr">
        <is>
          <t>.</t>
        </is>
      </c>
      <c r="K675" t="inlineStr">
        <is>
          <t>.</t>
        </is>
      </c>
      <c r="L675" t="inlineStr">
        <is>
          <t>.</t>
        </is>
      </c>
      <c r="M675" t="inlineStr">
        <is>
          <t>.</t>
        </is>
      </c>
      <c r="N675" t="inlineStr">
        <is>
          <t>.</t>
        </is>
      </c>
      <c r="O675" t="inlineStr">
        <is>
          <t>.</t>
        </is>
      </c>
    </row>
    <row r="676">
      <c r="A676" t="inlineStr">
        <is>
          <t>SNX5</t>
        </is>
      </c>
      <c r="B676" t="inlineStr">
        <is>
          <t>0.449845570451869</t>
        </is>
      </c>
      <c r="C676" t="inlineStr">
        <is>
          <t>sorting nexin 5</t>
        </is>
      </c>
      <c r="D676" t="inlineStr">
        <is>
          <t xml:space="preserve">FUNCTION: Involved in several stages of intracellular trafficking. Interacts with membranes containing phosphatidylinositol 3- phosphate (PtdIns(3P)) or phosphatidylinositol 3,4-bisphosphate (PtdIns(3,4)P2) (PubMed:15561769). Acts in part as component of the retromer membrane-deforming SNX-BAR subcomplex. The SNX-BAR retromer mediates retrograde transport of cargo proteins from endosomes to the trans-Golgi network (TGN) and is involved in endosome-to-plasma membrane transport for cargo protein recycling. The SNX-BAR subcomplex functions to deform the donor membrane into a tubular profile called endosome-to-TGN transport carrier (ETC) (Probable). Does not have in vitro vesicle-to-membrane remodeling activity (PubMed:23085988). Involved in retrograde transport of lysosomal enzyme receptor IGF2R (PubMed:17148574, PubMed:18596235). May function as link between endosomal transport vesicles and dynactin (Probable). Plays a role in the internalization of EGFR after EGF stimulation (Probable). Involved in EGFR endosomal sorting and degradation; the function involves PIP5K1C isoform 3 and is retromer-independent (PubMed:23602387). Together with PIP5K1C isoform 3 facilitates HGS interaction with ubiquitinated EGFR, which initiates EGFR sorting to intraluminal vesicles (ILVs) of the multivesicular body for subsequent lysosomal degradation (Probable). Involved in E-cadherin sorting and degradation; inhibits PIP5K1C isoform 3-mediated E-cadherin degradation (PubMed:24610942). Plays a role in macropinocytosis (PubMed:18854019, PubMed:21048941). {ECO:0000269|PubMed:18854019, ECO:0000269|PubMed:21048941, ECO:0000269|PubMed:24610942, ECO:0000303|PubMed:15561769, ECO:0000303|PubMed:19619496, ECO:0000303|PubMed:23085988}.; </t>
        </is>
      </c>
      <c r="E676" t="inlineStr">
        <is>
          <t>.</t>
        </is>
      </c>
      <c r="F676" t="inlineStr">
        <is>
          <t>.</t>
        </is>
      </c>
      <c r="G676" t="inlineStr">
        <is>
          <t>.</t>
        </is>
      </c>
      <c r="H676" t="inlineStr">
        <is>
          <t>.</t>
        </is>
      </c>
      <c r="I676" t="inlineStr">
        <is>
          <t>.</t>
        </is>
      </c>
      <c r="J676" t="inlineStr">
        <is>
          <t>.</t>
        </is>
      </c>
      <c r="K676" t="inlineStr">
        <is>
          <t>.</t>
        </is>
      </c>
      <c r="L676" t="inlineStr">
        <is>
          <t>.</t>
        </is>
      </c>
      <c r="M676" t="inlineStr">
        <is>
          <t>.</t>
        </is>
      </c>
      <c r="N676" t="inlineStr">
        <is>
          <t>.</t>
        </is>
      </c>
      <c r="O676" t="inlineStr">
        <is>
          <t>.</t>
        </is>
      </c>
    </row>
    <row r="677">
      <c r="A677" t="inlineStr">
        <is>
          <t>SORBS2</t>
        </is>
      </c>
      <c r="B677" t="inlineStr">
        <is>
          <t>0.0888062839921232</t>
        </is>
      </c>
      <c r="C677" t="inlineStr">
        <is>
          <t>sorbin and SH3 domain containing 2</t>
        </is>
      </c>
      <c r="D677" t="inlineStr">
        <is>
          <t xml:space="preserve">FUNCTION: Adapter protein that plays a role in the assembling of signaling complexes, being a link between ABL kinases and actin cytoskeleton. Can form complex with ABL1 and CBL, thus promoting ubiquitination and degradation of ABL1 or with AKT1 and PAK1, thus mediating AKT1-mediated activation of PAK1. May play a role in the regulation of pancreatic cell adhesion, possibly by acting on WASF1 phosphorylation, enhancing phosphorylation by ABL1, as well as dephosphorylation by PTPN12 (PubMed:18559503). Isoform 6 increases water and sodium absorption in the intestine and gall- bladder. {ECO:0000269|PubMed:12475393, ECO:0000269|PubMed:18559503, ECO:0000269|PubMed:9211900}.; </t>
        </is>
      </c>
      <c r="E677" t="inlineStr">
        <is>
          <t>.</t>
        </is>
      </c>
      <c r="F677" t="inlineStr">
        <is>
          <t xml:space="preserve">TISSUE SPECIFICITY: Abundantly expressed in heart. In cardiac muscle cells, located in the Z-disks of sarcomere. Also found, but to a lower extent, in small and large intestine, pancreas, thymus, colon, spleen, prostate, testis, brain, ovary and epithelial cells. In the pancreas, mainly expressed in acinar cells, duct cells and all cell types in islets (at protein level). Tends to be down-regulated in pancreatic adenocarcinomas ans metastases. {ECO:0000269|PubMed:11786189, ECO:0000269|PubMed:18559503, ECO:0000269|PubMed:9211900}.; </t>
        </is>
      </c>
      <c r="G677" t="inlineStr">
        <is>
          <t>myocardium;ovary;sympathetic chain;colon;parathyroid;fovea centralis;choroid;retina;bone marrow;uterus;prostate;optic nerve;whole body;frontal lobe;endometrium;thyroid;testis;brain;pineal gland;unclassifiable (Anatomical System);amygdala;heart;cartilage;islets of Langerhans;adrenal cortex;lens;skeletal muscle;breast;pancreas;lung;nasopharynx;trabecular meshwork;placenta;macula lutea;visual apparatus;liver;spleen;kidney;mammary gland;stomach;cerebellum;</t>
        </is>
      </c>
      <c r="H677" t="inlineStr">
        <is>
          <t>dorsal root ganglion;superior cervical ganglion;heart;adrenal gland;thyroid;prefrontal cortex;liver;adrenal cortex;atrioventricular node;fetal thyroid;skin;</t>
        </is>
      </c>
      <c r="I677" t="inlineStr">
        <is>
          <t>.</t>
        </is>
      </c>
      <c r="J677" t="inlineStr">
        <is>
          <t>.</t>
        </is>
      </c>
      <c r="K677" t="inlineStr">
        <is>
          <t>.</t>
        </is>
      </c>
      <c r="L677" t="inlineStr">
        <is>
          <t>.</t>
        </is>
      </c>
      <c r="M677" t="inlineStr">
        <is>
          <t>.</t>
        </is>
      </c>
      <c r="N677" t="inlineStr">
        <is>
          <t>.</t>
        </is>
      </c>
      <c r="O677" t="inlineStr">
        <is>
          <t>.</t>
        </is>
      </c>
    </row>
    <row r="678">
      <c r="A678" t="inlineStr">
        <is>
          <t>SOWAHC</t>
        </is>
      </c>
      <c r="B678" t="inlineStr">
        <is>
          <t>.</t>
        </is>
      </c>
      <c r="C678" t="inlineStr">
        <is>
          <t>sosondowah ankyrin repeat domain family member C</t>
        </is>
      </c>
      <c r="D678" t="inlineStr">
        <is>
          <t>.</t>
        </is>
      </c>
      <c r="E678" t="inlineStr">
        <is>
          <t>.</t>
        </is>
      </c>
      <c r="F678" t="inlineStr">
        <is>
          <t>.</t>
        </is>
      </c>
      <c r="G678" t="inlineStr">
        <is>
          <t>.</t>
        </is>
      </c>
      <c r="H678" t="inlineStr">
        <is>
          <t>.</t>
        </is>
      </c>
      <c r="I678" t="inlineStr">
        <is>
          <t>.</t>
        </is>
      </c>
      <c r="J678" t="inlineStr">
        <is>
          <t>.</t>
        </is>
      </c>
      <c r="K678" t="inlineStr">
        <is>
          <t>.</t>
        </is>
      </c>
      <c r="L678" t="inlineStr">
        <is>
          <t>.</t>
        </is>
      </c>
      <c r="M678" t="inlineStr">
        <is>
          <t>.</t>
        </is>
      </c>
      <c r="N678" t="inlineStr">
        <is>
          <t>.</t>
        </is>
      </c>
      <c r="O678" t="inlineStr">
        <is>
          <t>.</t>
        </is>
      </c>
    </row>
    <row r="679">
      <c r="A679" t="inlineStr">
        <is>
          <t>SOX10</t>
        </is>
      </c>
      <c r="B679" t="inlineStr">
        <is>
          <t>0.91309785132116</t>
        </is>
      </c>
      <c r="C679" t="inlineStr">
        <is>
          <t>SRY-box 10</t>
        </is>
      </c>
      <c r="D679" t="inlineStr">
        <is>
          <t xml:space="preserve">FUNCTION: Transcription factor that seems to function synergistically with the POU domain protein TST-1/OCT6/SCIP. Could confer cell specificity to the function of other transcription factors in developing and mature glia (By similarity). {ECO:0000250}.; </t>
        </is>
      </c>
      <c r="E679" t="inlineStr">
        <is>
          <t xml:space="preserve">DISEASE: Waardenburg syndrome 4C (WS4C) [MIM:613266]: A disorder characterized by the association of Waardenburg features (depigmentation and deafness) with the absence of enteric ganglia in the distal part of the intestine (Hirschsprung disease). {ECO:0000269|PubMed:18348274, ECO:0000269|PubMed:21898658, ECO:0000269|PubMed:9462749}. Note=The disease is caused by mutations affecting the gene represented in this entry.; DISEASE: Peripheral demyelinating neuropathy, central dysmyelinating leukodystrophy, Waardenburg syndrome and Hirschsprung disease (PCWH) [MIM:609136]: A complex neurocristopathy that includes features of 4 distinct syndromes: peripheral demyelinating neuropathy, central dysmyelinating leukodystrophy, Waardenburg syndrome and Hirschsprung disease. {ECO:0000269|PubMed:10762540, ECO:0000269|PubMed:15004559, ECO:0000269|PubMed:19208381, ECO:0000269|PubMed:21898658}. Note=The disease is caused by mutations affecting the gene represented in this entry.; </t>
        </is>
      </c>
      <c r="F679" t="inlineStr">
        <is>
          <t xml:space="preserve">TISSUE SPECIFICITY: Expressed in fetal brain and in adult brain, heart, small intestine and colon.; </t>
        </is>
      </c>
      <c r="G679" t="inlineStr">
        <is>
          <t>sympathetic chain;choroid;fovea centralis;skin;retina;uterus;optic nerve;frontal lobe;cochlea;brain;spinal ganglion;unclassifiable (Anatomical System);amygdala;heart;lacrimal gland;adrenal cortex;lens;breast;lung;adrenal gland;placenta;visual apparatus;macula lutea;mammary gland;cerebellum;</t>
        </is>
      </c>
      <c r="H679" t="inlineStr">
        <is>
          <t>amygdala;dorsal root ganglion;whole brain;superior cervical ganglion;medulla oblongata;thalamus;occipital lobe;olfactory bulb;cerebellum peduncles;hypothalamus;spinal cord;pons;atrioventricular node;caudate nucleus;skeletal muscle;subthalamic nucleus;prefrontal cortex;globus pallidus;trigeminal ganglion;parietal lobe;cingulate cortex;cerebellum;</t>
        </is>
      </c>
      <c r="I679">
        <f>HYPERLINK("https://omim.org/entry/613266", "613266")</f>
        <v/>
      </c>
      <c r="J679">
        <f>HYPERLINK("https://omim.org/entry/609136", "609136")</f>
        <v/>
      </c>
      <c r="K679" t="inlineStr">
        <is>
          <t>.</t>
        </is>
      </c>
      <c r="L679" t="inlineStr">
        <is>
          <t>.</t>
        </is>
      </c>
      <c r="M679" t="inlineStr">
        <is>
          <t>.</t>
        </is>
      </c>
      <c r="N679" t="inlineStr">
        <is>
          <t>.</t>
        </is>
      </c>
      <c r="O679" t="inlineStr">
        <is>
          <t>.</t>
        </is>
      </c>
    </row>
    <row r="680">
      <c r="A680" t="inlineStr">
        <is>
          <t>SOX13</t>
        </is>
      </c>
      <c r="B680" t="inlineStr">
        <is>
          <t>0.964099530137052</t>
        </is>
      </c>
      <c r="C680" t="inlineStr">
        <is>
          <t>SRY-box 13</t>
        </is>
      </c>
      <c r="D680" t="inlineStr">
        <is>
          <t xml:space="preserve">FUNCTION: Binds to the sequence 5'-AACAAT-3'. {ECO:0000250}.; </t>
        </is>
      </c>
      <c r="E680" t="inlineStr">
        <is>
          <t>.</t>
        </is>
      </c>
      <c r="F680" t="inlineStr">
        <is>
          <t xml:space="preserve">TISSUE SPECIFICITY: Highly expressed in kidney, lung, and liver and low expression in thymus, brain, spleen, and muscle.; </t>
        </is>
      </c>
      <c r="G680" t="inlineStr">
        <is>
          <t>unclassifiable (Anatomical System);blood;fovea centralis;choroid;lens;skin;retina;bone marrow;prostate;optic nerve;frontal lobe;epididymis;macula lutea;liver;testis;kidney;brain;</t>
        </is>
      </c>
      <c r="H680" t="inlineStr">
        <is>
          <t>pons;</t>
        </is>
      </c>
      <c r="I680" t="inlineStr">
        <is>
          <t>.</t>
        </is>
      </c>
      <c r="J680" t="inlineStr">
        <is>
          <t>.</t>
        </is>
      </c>
      <c r="K680" t="inlineStr">
        <is>
          <t>.</t>
        </is>
      </c>
      <c r="L680" t="inlineStr">
        <is>
          <t>.</t>
        </is>
      </c>
      <c r="M680" t="inlineStr">
        <is>
          <t>.</t>
        </is>
      </c>
      <c r="N680" t="inlineStr">
        <is>
          <t>.</t>
        </is>
      </c>
      <c r="O680" t="inlineStr">
        <is>
          <t>.</t>
        </is>
      </c>
    </row>
    <row r="681">
      <c r="A681" t="inlineStr">
        <is>
          <t>SOX6</t>
        </is>
      </c>
      <c r="B681" t="inlineStr">
        <is>
          <t>0.999530959870119</t>
        </is>
      </c>
      <c r="C681" t="inlineStr">
        <is>
          <t>SRY-box 6</t>
        </is>
      </c>
      <c r="D681" t="inlineStr">
        <is>
          <t xml:space="preserve">FUNCTION: Transcriptional activator. Binds specifically to the DNA sequence 5'-AACAAT-3'. Plays a key role in several developmental processes, including neurogenesis and skeleton formation.; </t>
        </is>
      </c>
      <c r="E681" t="inlineStr">
        <is>
          <t>.</t>
        </is>
      </c>
      <c r="F681" t="inlineStr">
        <is>
          <t xml:space="preserve">TISSUE SPECIFICITY: Expressed in a wide variety of tissues, most abundantly in skeletal muscle. {ECO:0000269|PubMed:11255018}.; </t>
        </is>
      </c>
      <c r="G681" t="inlineStr">
        <is>
          <t>unclassifiable (Anatomical System);whole body;liver;testis;spleen;blood;kidney;brain;</t>
        </is>
      </c>
      <c r="H681" t="inlineStr">
        <is>
          <t>superior cervical ganglion;testis - interstitial;subthalamic nucleus;testis;ciliary ganglion;atrioventricular node;pons;trigeminal ganglion;skeletal muscle;</t>
        </is>
      </c>
      <c r="I681" t="inlineStr">
        <is>
          <t>.</t>
        </is>
      </c>
      <c r="J681" t="inlineStr">
        <is>
          <t>.</t>
        </is>
      </c>
      <c r="K681" t="inlineStr">
        <is>
          <t>.</t>
        </is>
      </c>
      <c r="L681" t="inlineStr">
        <is>
          <t>.</t>
        </is>
      </c>
      <c r="M681" t="inlineStr">
        <is>
          <t>.</t>
        </is>
      </c>
      <c r="N681" t="inlineStr">
        <is>
          <t>.</t>
        </is>
      </c>
      <c r="O681" t="inlineStr">
        <is>
          <t>.</t>
        </is>
      </c>
    </row>
    <row r="682">
      <c r="A682" t="inlineStr">
        <is>
          <t>SPAG16</t>
        </is>
      </c>
      <c r="B682" t="inlineStr">
        <is>
          <t>3.65639735304229e-20</t>
        </is>
      </c>
      <c r="C682" t="inlineStr">
        <is>
          <t>sperm associated antigen 16</t>
        </is>
      </c>
      <c r="D682" t="inlineStr">
        <is>
          <t xml:space="preserve">FUNCTION: Necessary for sperm flagellar function. Plays a role in motile ciliogenesis. May help to recruit STK36 to the cilium or apical surface of the cell to initiate subsequent steps of construction of the central pair apparatus of motile cilia (By similarity). {ECO:0000250}.; </t>
        </is>
      </c>
      <c r="E682" t="inlineStr">
        <is>
          <t>.</t>
        </is>
      </c>
      <c r="F682" t="inlineStr">
        <is>
          <t xml:space="preserve">TISSUE SPECIFICITY: Isoform 1 is detected in testis. Isoform 4 is detected in testis and brain, and at lower levels in kidney, heart, pancreas, thyroid, ovary, adrenal gland, spinal cord, trachea and liver. {ECO:0000269|PubMed:11867345, ECO:0000269|PubMed:12391165}.; </t>
        </is>
      </c>
      <c r="G682" t="inlineStr">
        <is>
          <t>unclassifiable (Anatomical System);medulla oblongata;cartilage;islets of Langerhans;hypothalamus;colon;uterus;pancreas;whole body;lung;nasopharynx;bone;testis;cervix;germinal center;kidney;brain;stomach;</t>
        </is>
      </c>
      <c r="H682" t="inlineStr">
        <is>
          <t>dorsal root ganglion;testis - interstitial;superior cervical ganglion;testis - seminiferous tubule;testis;ciliary ganglion;atrioventricular node;trigeminal ganglion;</t>
        </is>
      </c>
      <c r="I682" t="inlineStr">
        <is>
          <t>.</t>
        </is>
      </c>
      <c r="J682" t="inlineStr">
        <is>
          <t>.</t>
        </is>
      </c>
      <c r="K682" t="inlineStr">
        <is>
          <t>.</t>
        </is>
      </c>
      <c r="L682" t="inlineStr">
        <is>
          <t>.</t>
        </is>
      </c>
      <c r="M682" t="inlineStr">
        <is>
          <t>.</t>
        </is>
      </c>
      <c r="N682" t="inlineStr">
        <is>
          <t>.</t>
        </is>
      </c>
      <c r="O682" t="inlineStr">
        <is>
          <t>.</t>
        </is>
      </c>
    </row>
    <row r="683">
      <c r="A683" t="inlineStr">
        <is>
          <t>SPATA16</t>
        </is>
      </c>
      <c r="B683" t="inlineStr">
        <is>
          <t>1.64842747374149e-06</t>
        </is>
      </c>
      <c r="C683" t="inlineStr">
        <is>
          <t>spermatogenesis associated 16</t>
        </is>
      </c>
      <c r="D683" t="inlineStr">
        <is>
          <t xml:space="preserve">FUNCTION: Involved in the formation of sperm acrosome, which implicated its potential role in spermatogenesis and sperm-egg fusion. {ECO:0000269|PubMed:12529416}.; </t>
        </is>
      </c>
      <c r="E683" t="inlineStr">
        <is>
          <t>.</t>
        </is>
      </c>
      <c r="F683" t="inlineStr">
        <is>
          <t xml:space="preserve">TISSUE SPECIFICITY: Expressed in testis. {ECO:0000269|PubMed:12529416}.; </t>
        </is>
      </c>
      <c r="G683" t="inlineStr">
        <is>
          <t>unclassifiable (Anatomical System);medulla oblongata;lung;testis;</t>
        </is>
      </c>
      <c r="H683" t="inlineStr">
        <is>
          <t>testis - interstitial;testis - seminiferous tubule;testis;ciliary ganglion;atrioventricular node;skeletal muscle;</t>
        </is>
      </c>
      <c r="I683" t="inlineStr">
        <is>
          <t>.</t>
        </is>
      </c>
      <c r="J683" t="inlineStr">
        <is>
          <t>.</t>
        </is>
      </c>
      <c r="K683" t="inlineStr">
        <is>
          <t>.</t>
        </is>
      </c>
      <c r="L683" t="inlineStr">
        <is>
          <t>.</t>
        </is>
      </c>
      <c r="M683" t="inlineStr">
        <is>
          <t>.</t>
        </is>
      </c>
      <c r="N683" t="inlineStr">
        <is>
          <t>.</t>
        </is>
      </c>
      <c r="O683" t="inlineStr">
        <is>
          <t>.</t>
        </is>
      </c>
    </row>
    <row r="684">
      <c r="A684" t="inlineStr">
        <is>
          <t>SPATS1</t>
        </is>
      </c>
      <c r="B684" t="inlineStr">
        <is>
          <t>0.000191249661738644</t>
        </is>
      </c>
      <c r="C684" t="inlineStr">
        <is>
          <t>spermatogenesis associated serine rich 1</t>
        </is>
      </c>
      <c r="D684" t="inlineStr">
        <is>
          <t>.</t>
        </is>
      </c>
      <c r="E684" t="inlineStr">
        <is>
          <t>.</t>
        </is>
      </c>
      <c r="F684" t="inlineStr">
        <is>
          <t>.</t>
        </is>
      </c>
      <c r="G684" t="inlineStr">
        <is>
          <t>unclassifiable (Anatomical System);medulla oblongata;lung;bone;testis;brain;</t>
        </is>
      </c>
      <c r="H684" t="inlineStr">
        <is>
          <t>.</t>
        </is>
      </c>
      <c r="I684" t="inlineStr">
        <is>
          <t>.</t>
        </is>
      </c>
      <c r="J684" t="inlineStr">
        <is>
          <t>.</t>
        </is>
      </c>
      <c r="K684" t="inlineStr">
        <is>
          <t>.</t>
        </is>
      </c>
      <c r="L684" t="inlineStr">
        <is>
          <t>.</t>
        </is>
      </c>
      <c r="M684" t="inlineStr">
        <is>
          <t>.</t>
        </is>
      </c>
      <c r="N684" t="inlineStr">
        <is>
          <t>.</t>
        </is>
      </c>
      <c r="O684" t="inlineStr">
        <is>
          <t>.</t>
        </is>
      </c>
    </row>
    <row r="685">
      <c r="A685" t="inlineStr">
        <is>
          <t>SPDYC</t>
        </is>
      </c>
      <c r="B685" t="inlineStr">
        <is>
          <t>0.00185514874297755</t>
        </is>
      </c>
      <c r="C685" t="inlineStr">
        <is>
          <t>speedy/RINGO cell cycle regulator family member C</t>
        </is>
      </c>
      <c r="D685" t="inlineStr">
        <is>
          <t xml:space="preserve">FUNCTION: Promotes progression through the cell cycle via binding and activation of CDK1 and CDK2. Involved in the spindle-assembly checkpoint. Required for recruitment of MAD2L1, BUBR1 and BUB1 to kinetochores. Required for the correct localization of the active form of Aurora B in prometaphase. {ECO:0000269|PubMed:15611625, ECO:0000269|PubMed:20605920}.; </t>
        </is>
      </c>
      <c r="E685" t="inlineStr">
        <is>
          <t>.</t>
        </is>
      </c>
      <c r="F685" t="inlineStr">
        <is>
          <t xml:space="preserve">TISSUE SPECIFICITY: Expressed in a variety of tissues including bone marrow, kidney, small intestine, liver, placenta and testis. {ECO:0000269|PubMed:15611625}.; </t>
        </is>
      </c>
      <c r="G685" t="inlineStr">
        <is>
          <t>.</t>
        </is>
      </c>
      <c r="H685" t="inlineStr">
        <is>
          <t>.</t>
        </is>
      </c>
      <c r="I685" t="inlineStr">
        <is>
          <t>.</t>
        </is>
      </c>
      <c r="J685" t="inlineStr">
        <is>
          <t>.</t>
        </is>
      </c>
      <c r="K685" t="inlineStr">
        <is>
          <t>.</t>
        </is>
      </c>
      <c r="L685" t="inlineStr">
        <is>
          <t>.</t>
        </is>
      </c>
      <c r="M685" t="inlineStr">
        <is>
          <t>.</t>
        </is>
      </c>
      <c r="N685" t="inlineStr">
        <is>
          <t>.</t>
        </is>
      </c>
      <c r="O685" t="inlineStr">
        <is>
          <t>.</t>
        </is>
      </c>
    </row>
    <row r="686">
      <c r="A686" t="inlineStr">
        <is>
          <t>SPDYE16</t>
        </is>
      </c>
      <c r="B686" t="inlineStr">
        <is>
          <t>.</t>
        </is>
      </c>
      <c r="C686" t="inlineStr">
        <is>
          <t>speedy/RINGO cell cycle regulator family member E16</t>
        </is>
      </c>
      <c r="D686" t="inlineStr">
        <is>
          <t>.</t>
        </is>
      </c>
      <c r="E686" t="inlineStr">
        <is>
          <t>.</t>
        </is>
      </c>
      <c r="F686" t="inlineStr">
        <is>
          <t>.</t>
        </is>
      </c>
      <c r="G686" t="inlineStr">
        <is>
          <t>.</t>
        </is>
      </c>
      <c r="H686" t="inlineStr">
        <is>
          <t>.</t>
        </is>
      </c>
      <c r="I686" t="inlineStr">
        <is>
          <t>.</t>
        </is>
      </c>
      <c r="J686" t="inlineStr">
        <is>
          <t>.</t>
        </is>
      </c>
      <c r="K686" t="inlineStr">
        <is>
          <t>.</t>
        </is>
      </c>
      <c r="L686" t="inlineStr">
        <is>
          <t>.</t>
        </is>
      </c>
      <c r="M686" t="inlineStr">
        <is>
          <t>.</t>
        </is>
      </c>
      <c r="N686" t="inlineStr">
        <is>
          <t>.</t>
        </is>
      </c>
      <c r="O686" t="inlineStr">
        <is>
          <t>.</t>
        </is>
      </c>
    </row>
    <row r="687">
      <c r="A687" t="inlineStr">
        <is>
          <t>SPECC1L</t>
        </is>
      </c>
      <c r="B687" t="inlineStr">
        <is>
          <t>0.993395147293948</t>
        </is>
      </c>
      <c r="C687" t="inlineStr">
        <is>
          <t>sperm antigen with calponin homology and coiled-coil domains 1-like</t>
        </is>
      </c>
      <c r="D687" t="inlineStr">
        <is>
          <t xml:space="preserve">FUNCTION: Involved in cytokinesis and spindle organization. May play a role in actin cytoskeleton organization and microtubule stabilization and hence required for proper cell adhesion and migration. {ECO:0000269|PubMed:21703590}.; </t>
        </is>
      </c>
      <c r="E687" t="inlineStr">
        <is>
          <t xml:space="preserve">DISEASE: Facial clefting, oblique, 1 (OBLFC1) [MIM:600251]: A rare form of facial clefting. A facial cleft is any of the fissures between the embryonic prominences that normally unite to form the face. {ECO:0000269|PubMed:21703590}. Note=The disease is caused by mutations affecting the gene represented in this entry.; DISEASE: Opitz GBBB syndrome 2 (GBBB2) [MIM:145410]: A form of Opitz GBBB syndrome, a congenital midline malformation syndrome characterized by hypertelorism, genital-urinary defects such as hypospadias in males and splayed labia in females, cleft lip/palate, laryngotracheoesophageal abnormalities, imperforate anus, developmental delay and congenital heart defects. {ECO:0000269|PubMed:25412741}. Note=The disease is caused by mutations affecting the gene represented in this entry.; </t>
        </is>
      </c>
      <c r="F687" t="inlineStr">
        <is>
          <t>.</t>
        </is>
      </c>
      <c r="G687" t="inlineStr">
        <is>
          <t>lymphoreticular;smooth muscle;ovary;salivary gland;intestine;colon;parathyroid;fovea centralis;choroid;skin;retina;bone marrow;uterus;prostate;optic nerve;whole body;endometrium;bone;testis;germinal center;brain;tonsil;unclassifiable (Anatomical System);heart;islets of Langerhans;muscle;urinary;pharynx;blood;lens;skeletal muscle;breast;pancreas;lung;cornea;nasopharynx;placenta;macula lutea;visual apparatus;amnion;liver;spleen;kidney;mammary gland;aorta;stomach;cerebellum;</t>
        </is>
      </c>
      <c r="H687" t="inlineStr">
        <is>
          <t>superior cervical ganglion;testis - interstitial;testis - seminiferous tubule;testis;skeletal muscle;</t>
        </is>
      </c>
      <c r="I687">
        <f>HYPERLINK("https://omim.org/entry/600251", "600251")</f>
        <v/>
      </c>
      <c r="J687">
        <f>HYPERLINK("https://omim.org/entry/145410", "145410")</f>
        <v/>
      </c>
      <c r="K687" t="inlineStr">
        <is>
          <t>.</t>
        </is>
      </c>
      <c r="L687" t="inlineStr">
        <is>
          <t>.</t>
        </is>
      </c>
      <c r="M687" t="inlineStr">
        <is>
          <t>.</t>
        </is>
      </c>
      <c r="N687" t="inlineStr">
        <is>
          <t>.</t>
        </is>
      </c>
      <c r="O687" t="inlineStr">
        <is>
          <t>.</t>
        </is>
      </c>
    </row>
    <row r="688">
      <c r="A688" t="inlineStr">
        <is>
          <t>SPECC1L-ADORA2A</t>
        </is>
      </c>
      <c r="B688" t="inlineStr">
        <is>
          <t>.</t>
        </is>
      </c>
      <c r="C688" t="inlineStr">
        <is>
          <t>SPECC1L-ADORA2A readthrough (NMD candidate)</t>
        </is>
      </c>
      <c r="D688" t="inlineStr">
        <is>
          <t>.</t>
        </is>
      </c>
      <c r="E688" t="inlineStr">
        <is>
          <t>.</t>
        </is>
      </c>
      <c r="F688" t="inlineStr">
        <is>
          <t>.</t>
        </is>
      </c>
      <c r="G688" t="inlineStr">
        <is>
          <t>.</t>
        </is>
      </c>
      <c r="H688" t="inlineStr">
        <is>
          <t>.</t>
        </is>
      </c>
      <c r="I688" t="inlineStr">
        <is>
          <t>.</t>
        </is>
      </c>
      <c r="J688" t="inlineStr">
        <is>
          <t>.</t>
        </is>
      </c>
      <c r="K688" t="inlineStr">
        <is>
          <t>.</t>
        </is>
      </c>
      <c r="L688" t="inlineStr">
        <is>
          <t>.</t>
        </is>
      </c>
      <c r="M688" t="inlineStr">
        <is>
          <t>.</t>
        </is>
      </c>
      <c r="N688" t="inlineStr">
        <is>
          <t>.</t>
        </is>
      </c>
      <c r="O688" t="inlineStr">
        <is>
          <t>.</t>
        </is>
      </c>
    </row>
    <row r="689">
      <c r="A689" t="inlineStr">
        <is>
          <t>SPEG</t>
        </is>
      </c>
      <c r="B689" t="inlineStr">
        <is>
          <t>0.999790421916053</t>
        </is>
      </c>
      <c r="C689" t="inlineStr">
        <is>
          <t>SPEG complex locus</t>
        </is>
      </c>
      <c r="D689" t="inlineStr">
        <is>
          <t xml:space="preserve">FUNCTION: Isoform 3 may have a role in regulating the growth and differentiation of arterial smooth muscle cells.; </t>
        </is>
      </c>
      <c r="E689" t="inlineStr">
        <is>
          <t xml:space="preserve">DISEASE: Myopathy, centronuclear, 5 (CNM5) [MIM:615959]: A form of centronuclear myopathy, a congenital muscle disorder characterized by progressive muscular weakness and wasting involving mainly limb girdle, trunk, and neck muscles. It may also affect distal muscles. Weakness may be present during childhood or adolescence or may not become evident until the third decade of life. Ptosis is a frequent clinical feature. The most prominent histopathologic features include high frequency of centrally located nuclei in muscle fibers not secondary to regeneration, radial arrangement of sarcoplasmic strands around the central nuclei, and predominance and hypotrophy of type 1 fibers. CNM5 features include severe neonatal hypotonia with respiratory insufficiency, difficulty feeding, and delayed motor development. Some patients die in infancy, and some develop dilated cardiomyopathy. {ECO:0000269|PubMed:25087613}. Note=The disease is caused by mutations affecting the gene represented in this entry.; </t>
        </is>
      </c>
      <c r="F689" t="inlineStr">
        <is>
          <t xml:space="preserve">TISSUE SPECIFICITY: Isoform 1 is preferentially expressed in striated muscle. Non-kinase form such as isoform 3 is predominantly expressed in the aorta. Isoform 3 appears to be expressed only in highly differentiated ASMC in normal vessel walls and down-regulated in dedifferentiated ASMC in vivo. In response to vascular injuries ASMC dedifferentiate and change from a quiescent and contractile phenotype to a proliferative and synthetic phenotype. This proliferation of vascular smooth muscle cells is one of the most prominent features of atherosclerosis. {ECO:0000269|PubMed:15185077, ECO:0000269|PubMed:8663449}.; </t>
        </is>
      </c>
      <c r="G689" t="inlineStr">
        <is>
          <t>ovary;colon;parathyroid;fovea centralis;choroid;skin;retina;uterus;prostate;optic nerve;whole body;endometrium;larynx;pituitary gland;testis;brain;spinal ganglion;unclassifiable (Anatomical System);heart;cartilage;muscle;lens;skeletal muscle;pancreas;lung;placenta;macula lutea;visual apparatus;head and neck;mammary gland;stomach;</t>
        </is>
      </c>
      <c r="H689" t="inlineStr">
        <is>
          <t>dorsal root ganglion;superior cervical ganglion;testis - seminiferous tubule;globus pallidus;ciliary ganglion;atrioventricular node;cingulate cortex;skeletal muscle;cerebellum;</t>
        </is>
      </c>
      <c r="I689">
        <f>HYPERLINK("https://omim.org/entry/615959", "615959")</f>
        <v/>
      </c>
      <c r="J689" t="inlineStr">
        <is>
          <t>.</t>
        </is>
      </c>
      <c r="K689" t="inlineStr">
        <is>
          <t>.</t>
        </is>
      </c>
      <c r="L689" t="inlineStr">
        <is>
          <t>.</t>
        </is>
      </c>
      <c r="M689" t="inlineStr">
        <is>
          <t>.</t>
        </is>
      </c>
      <c r="N689" t="inlineStr">
        <is>
          <t>.</t>
        </is>
      </c>
      <c r="O689" t="inlineStr">
        <is>
          <t>.</t>
        </is>
      </c>
    </row>
    <row r="690">
      <c r="A690" t="inlineStr">
        <is>
          <t>SPG7</t>
        </is>
      </c>
      <c r="B690" t="inlineStr">
        <is>
          <t>1.38467339967464e-18</t>
        </is>
      </c>
      <c r="C690" t="inlineStr">
        <is>
          <t>SPG7, paraplegin matrix AAA peptidase subunit</t>
        </is>
      </c>
      <c r="D690" t="inlineStr">
        <is>
          <t xml:space="preserve">FUNCTION: Putative ATP-dependent zinc metalloprotease.; </t>
        </is>
      </c>
      <c r="E690" t="inlineStr">
        <is>
          <t xml:space="preserve">DISEASE: Note=Defects in SPG7 may cause autosomal recessive osteogenesis imperfecta (OI). Osteogenesis imperfecta defines a group of connective tissue disorders characterized by bone fragility and low bone mass. Clinical features of SPG7-related osteogenesis imperfecta include recurrent fractures, mild bone deformities, delayed tooth eruption, normal hearing and white sclera.; </t>
        </is>
      </c>
      <c r="F690" t="inlineStr">
        <is>
          <t xml:space="preserve">TISSUE SPECIFICITY: Ubiquitous.; </t>
        </is>
      </c>
      <c r="G690" t="inlineStr">
        <is>
          <t>myocardium;ovary;colon;parathyroid;fovea centralis;skin;retina;bone marrow;uterus;prostate;optic nerve;whole body;frontal lobe;cochlea;endometrium;larynx;bone;thyroid;pituitary gland;testis;amniotic fluid;germinal center;brain;unclassifiable (Anatomical System);lymph node;cartilage;heart;oral cavity;muscle;blood;skeletal muscle;breast;bile duct;pancreas;lung;epididymis;nasopharynx;placenta;macula lutea;visual apparatus;hippocampus;hypopharynx;duodenum;liver;spleen;head and neck;kidney;mammary gland;stomach;peripheral nerve;</t>
        </is>
      </c>
      <c r="H690" t="inlineStr">
        <is>
          <t>whole brain;amygdala;subthalamic nucleus;thyroid;prefrontal cortex;testis;cingulate cortex;</t>
        </is>
      </c>
      <c r="I690" t="inlineStr">
        <is>
          <t>.</t>
        </is>
      </c>
      <c r="J690" t="inlineStr">
        <is>
          <t>.</t>
        </is>
      </c>
      <c r="K690" t="inlineStr">
        <is>
          <t>.</t>
        </is>
      </c>
      <c r="L690" t="inlineStr">
        <is>
          <t>.</t>
        </is>
      </c>
      <c r="M690" t="inlineStr">
        <is>
          <t>.</t>
        </is>
      </c>
      <c r="N690" t="inlineStr">
        <is>
          <t>.</t>
        </is>
      </c>
      <c r="O690" t="inlineStr">
        <is>
          <t>.</t>
        </is>
      </c>
    </row>
    <row r="691">
      <c r="A691" t="inlineStr">
        <is>
          <t>SPHK1</t>
        </is>
      </c>
      <c r="B691" t="inlineStr">
        <is>
          <t>1.29152628928557e-05</t>
        </is>
      </c>
      <c r="C691" t="inlineStr">
        <is>
          <t>sphingosine kinase 1</t>
        </is>
      </c>
      <c r="D691" t="inlineStr">
        <is>
          <t xml:space="preserve">FUNCTION: Catalyzes the phosphorylation of sphingosine to form sphingosine 1-phosphate (SPP), a lipid mediator with both intra- and extracellular functions. Also acts on D-erythro-sphingosine and to a lesser extent sphinganine, but not other lipids, such as D,L-threo-dihydrosphingosine, N,N-dimethylsphingosine, diacylglycerol, ceramide, or phosphatidylinositol. {ECO:0000269|PubMed:20577214, ECO:0000269|PubMed:23602659}.; </t>
        </is>
      </c>
      <c r="E691" t="inlineStr">
        <is>
          <t>.</t>
        </is>
      </c>
      <c r="F691" t="inlineStr">
        <is>
          <t xml:space="preserve">TISSUE SPECIFICITY: Widely expressed with highest levels in adult liver, kidney, heart and skeletal muscle. {ECO:0000269|PubMed:10802064}.; </t>
        </is>
      </c>
      <c r="G691" t="inlineStr">
        <is>
          <t>ovary;colon;fovea centralis;vein;skin;retina;uterus;optic nerve;endometrium;larynx;bone;spinal ganglion;brain;unclassifiable (Anatomical System);heart;lens;pancreas;lung;placenta;macula lutea;liver;head and neck;cervix;kidney;mammary gland;stomach;</t>
        </is>
      </c>
      <c r="H691" t="inlineStr">
        <is>
          <t>dorsal root ganglion;superior cervical ganglion;trigeminal ganglion;</t>
        </is>
      </c>
      <c r="I691" t="inlineStr">
        <is>
          <t>.</t>
        </is>
      </c>
      <c r="J691" t="inlineStr">
        <is>
          <t>.</t>
        </is>
      </c>
      <c r="K691" t="inlineStr">
        <is>
          <t>.</t>
        </is>
      </c>
      <c r="L691" t="inlineStr">
        <is>
          <t>.</t>
        </is>
      </c>
      <c r="M691" t="inlineStr">
        <is>
          <t>.</t>
        </is>
      </c>
      <c r="N691" t="inlineStr">
        <is>
          <t>.</t>
        </is>
      </c>
      <c r="O691" t="inlineStr">
        <is>
          <t>.</t>
        </is>
      </c>
    </row>
    <row r="692">
      <c r="A692" t="inlineStr">
        <is>
          <t>SPINK1</t>
        </is>
      </c>
      <c r="B692" t="inlineStr">
        <is>
          <t>0.293111298714489</t>
        </is>
      </c>
      <c r="C692" t="inlineStr">
        <is>
          <t>serine peptidase inhibitor, Kazal type 1</t>
        </is>
      </c>
      <c r="D692" t="inlineStr">
        <is>
          <t xml:space="preserve">FUNCTION: Serine protease inhibitor which exhibits anti-trypsin activity (PubMed:7142173). In the pancreas, protects against trypsin-catalyzed premature activation of zymogens (By similarity). {ECO:0000250|UniProtKB:P09036, ECO:0000269|PubMed:7142173}.; </t>
        </is>
      </c>
      <c r="E692" t="inlineStr">
        <is>
          <t xml:space="preserve">DISEASE: Pancreatitis, hereditary (PCTT) [MIM:167800]: A disease characterized by pancreas inflammation, permanent destruction of the pancreatic parenchyma, maldigestion, and severe abdominal pain attacks. {ECO:0000269|PubMed:10691414, ECO:0000269|PubMed:10835640, ECO:0000269|PubMed:12974284}. Note=Disease susceptibility is associated with variations affecting the gene represented in this entry.; DISEASE: Tropical calcific pancreatitis (TCP) [MIM:608189]: Idiopathic, juvenile, nonalcoholic form of chronic pancreatitis widely prevalent in several tropical countries. It can be associated with fibrocalculous pancreatic diabetes (FCPD) depending on both environmental and genetic factors. TCP differs from alcoholic pancreatitis by a much younger age of onset, pancreatic calcification, a high incidence of insulin dependent but ketosis resistant diabetes mellitus, and an exceptionally high incidence of pancreatic cancer. {ECO:0000269|PubMed:12011155, ECO:0000269|PubMed:12187509}. Note=Disease susceptibility is associated with variations affecting the gene represented in this entry.; </t>
        </is>
      </c>
      <c r="F692" t="inlineStr">
        <is>
          <t>.</t>
        </is>
      </c>
      <c r="G692" t="inlineStr">
        <is>
          <t>breast;pancreas;endometrium;islets of Langerhans;liver;colon;kidney;stomach;</t>
        </is>
      </c>
      <c r="H692" t="inlineStr">
        <is>
          <t>fetal liver;pancreas;beta cell islets;</t>
        </is>
      </c>
      <c r="I692">
        <f>HYPERLINK("https://omim.org/entry/167800", "167800")</f>
        <v/>
      </c>
      <c r="J692">
        <f>HYPERLINK("https://omim.org/entry/608189", "608189")</f>
        <v/>
      </c>
      <c r="K692" t="inlineStr">
        <is>
          <t>.</t>
        </is>
      </c>
      <c r="L692" t="inlineStr">
        <is>
          <t>.</t>
        </is>
      </c>
      <c r="M692" t="inlineStr">
        <is>
          <t>.</t>
        </is>
      </c>
      <c r="N692" t="inlineStr">
        <is>
          <t>.</t>
        </is>
      </c>
      <c r="O692" t="inlineStr">
        <is>
          <t>.</t>
        </is>
      </c>
    </row>
    <row r="693">
      <c r="A693" t="inlineStr">
        <is>
          <t>SPTAN1</t>
        </is>
      </c>
      <c r="B693" t="inlineStr">
        <is>
          <t>0.999999999999786</t>
        </is>
      </c>
      <c r="C693" t="inlineStr">
        <is>
          <t>spectrin alpha, non-erythrocytic 1</t>
        </is>
      </c>
      <c r="D693" t="inlineStr">
        <is>
          <t xml:space="preserve">FUNCTION: Fodrin, which seems to be involved in secretion, interacts with calmodulin in a calcium-dependent manner and is thus candidate for the calcium-dependent movement of the cytoskeleton at the membrane.; </t>
        </is>
      </c>
      <c r="E693" t="inlineStr">
        <is>
          <t xml:space="preserve">DISEASE: Epileptic encephalopathy, early infantile, 5 (EIEE5) [MIM:613477]: A disorder characterized by seizures associated with hypsarrhythmia, profound mental retardation with lack of visual attention and speech development, as well as spastic quadriplegia. {ECO:0000269|PubMed:20493457}. Note=The disease is caused by mutations affecting the gene represented in this entry.; </t>
        </is>
      </c>
      <c r="F693" t="inlineStr">
        <is>
          <t>.</t>
        </is>
      </c>
      <c r="G693" t="inlineStr">
        <is>
          <t>lymphoreticular;ovary;sympathetic chain;skin;retina;bone marrow;prostate;optic nerve;frontal lobe;cochlea;endometrium;thyroid;amniotic fluid;germinal center;bladder;brain;gall bladder;tonsil;heart;cartilage;tongue;urinary;adrenal cortex;blood;lens;skeletal muscle;breast;macula lutea;visual apparatus;liver;spleen;cervix;mammary gland;colon;fovea centralis;choroid;uterus;cerebral cortex;larynx;bone;testis;spinal ganglion;unclassifiable (Anatomical System);lacrimal gland;islets of Langerhans;hypothalamus;bile duct;pancreas;lung;placenta;amnion;head and neck;kidney;stomach;thymus;cerebellum;</t>
        </is>
      </c>
      <c r="H693" t="inlineStr">
        <is>
          <t>whole brain;amygdala;dorsal root ganglion;occipital lobe;superior cervical ganglion;thalamus;medulla oblongata;cerebellum peduncles;temporal lobe;spinal cord;pons;atrioventricular node;caudate nucleus;skin;subthalamic nucleus;fetal brain;prefrontal cortex;globus pallidus;ciliary ganglion;trigeminal ganglion;parietal lobe;cingulate cortex;cerebellum;</t>
        </is>
      </c>
      <c r="I693">
        <f>HYPERLINK("https://omim.org/entry/613477", "613477")</f>
        <v/>
      </c>
      <c r="J693" t="inlineStr">
        <is>
          <t>.</t>
        </is>
      </c>
      <c r="K693" t="inlineStr">
        <is>
          <t>.</t>
        </is>
      </c>
      <c r="L693" t="inlineStr">
        <is>
          <t>.</t>
        </is>
      </c>
      <c r="M693" t="inlineStr">
        <is>
          <t>.</t>
        </is>
      </c>
      <c r="N693" t="inlineStr">
        <is>
          <t>.</t>
        </is>
      </c>
      <c r="O693" t="inlineStr">
        <is>
          <t>.</t>
        </is>
      </c>
    </row>
    <row r="694">
      <c r="A694" t="inlineStr">
        <is>
          <t>SRP72</t>
        </is>
      </c>
      <c r="B694" t="inlineStr">
        <is>
          <t>0.0141881388069381</t>
        </is>
      </c>
      <c r="C694" t="inlineStr">
        <is>
          <t>signal recognition particle 72kDa</t>
        </is>
      </c>
      <c r="D694" t="inlineStr">
        <is>
          <t xml:space="preserve">FUNCTION: Signal-recognition-particle assembly has a crucial role in targeting secretory proteins to the rough endoplasmic reticulum membrane. Binds the 7S RNA only in presence of SRP68. This ribonucleoprotein complex might interact directly with the docking protein in the ER membrane and possibly participate in the elongation arrest function.; </t>
        </is>
      </c>
      <c r="E694" t="inlineStr">
        <is>
          <t xml:space="preserve">DISEASE: Bone marrow failure syndrome 1 (BMFS1) [MIM:614675]: An autosomal dominant disease characterized by aplastic anemia and myelodysplasia resulting from bone marrow failure. Aplastic anemia is a form of anemia in which the bone marrow fails to produce adequate numbers of peripheral blood elements. Myelodysplasia is a clonal hematopoietic stem cell disorder in which immature cells in the bone marrow become malformed and dysfunctional. {ECO:0000269|PubMed:22541560}. Note=The disease is caused by mutations affecting the gene represented in this entry.; </t>
        </is>
      </c>
      <c r="F694" t="inlineStr">
        <is>
          <t>.</t>
        </is>
      </c>
      <c r="G694" t="inlineStr">
        <is>
          <t>smooth muscle;ovary;skin;bone marrow;retina;prostate;optic nerve;frontal lobe;endometrium;gum;iris;germinal center;brain;heart;cartilage;urinary;adrenal cortex;blood;lens;skeletal muscle;breast;visual apparatus;macula lutea;liver;spleen;cervix;mammary gland;colon;parathyroid;fovea centralis;choroid;uterus;whole body;oesophagus;bone;testis;spinal ganglion;unclassifiable (Anatomical System);lymph node;islets of Langerhans;hypothalamus;bile duct;pancreas;lung;mesenchyma;adrenal gland;nasopharynx;placenta;duodenum;kidney;stomach;aorta;</t>
        </is>
      </c>
      <c r="H694" t="inlineStr">
        <is>
          <t>superior cervical ganglion;white blood cells;atrioventricular node;trigeminal ganglion;</t>
        </is>
      </c>
      <c r="I694">
        <f>HYPERLINK("https://omim.org/entry/614675", "614675")</f>
        <v/>
      </c>
      <c r="J694" t="inlineStr">
        <is>
          <t>.</t>
        </is>
      </c>
      <c r="K694" t="inlineStr">
        <is>
          <t>.</t>
        </is>
      </c>
      <c r="L694" t="inlineStr">
        <is>
          <t>.</t>
        </is>
      </c>
      <c r="M694" t="inlineStr">
        <is>
          <t>.</t>
        </is>
      </c>
      <c r="N694" t="inlineStr">
        <is>
          <t>.</t>
        </is>
      </c>
      <c r="O694" t="inlineStr">
        <is>
          <t>.</t>
        </is>
      </c>
    </row>
    <row r="695">
      <c r="A695" t="inlineStr">
        <is>
          <t>SRPX</t>
        </is>
      </c>
      <c r="B695" t="inlineStr">
        <is>
          <t>0.00848262097838311</t>
        </is>
      </c>
      <c r="C695" t="inlineStr">
        <is>
          <t>sushi repeat containing protein, X-linked</t>
        </is>
      </c>
      <c r="D695" t="inlineStr">
        <is>
          <t xml:space="preserve">FUNCTION: May be involved in phagocytosis during disk shedding, cell adhesion to cells other than the pigment epithelium or signal transduction.; </t>
        </is>
      </c>
      <c r="E695" t="inlineStr">
        <is>
          <t>.</t>
        </is>
      </c>
      <c r="F695" t="inlineStr">
        <is>
          <t xml:space="preserve">TISSUE SPECIFICITY: Retina and heart; less in placenta, pancreas, lung, liver, skeletal muscle, kidney and brain.; </t>
        </is>
      </c>
      <c r="G695" t="inlineStr">
        <is>
          <t>unclassifiable (Anatomical System);cartilage;heart;ovary;parathyroid;fovea centralis;choroid;lens;skin;retina;uterus;breast;pancreas;optic nerve;whole body;lung;nasopharynx;bone;placenta;macula lutea;liver;testis;spleen;brain;</t>
        </is>
      </c>
      <c r="H695" t="inlineStr">
        <is>
          <t>dorsal root ganglion;superior cervical ganglion;smooth muscle;adipose tissue;heart;adrenal gland;appendix;atrioventricular node;skeletal muscle;</t>
        </is>
      </c>
      <c r="I695" t="inlineStr">
        <is>
          <t>.</t>
        </is>
      </c>
      <c r="J695" t="inlineStr">
        <is>
          <t>.</t>
        </is>
      </c>
      <c r="K695" t="inlineStr">
        <is>
          <t>.</t>
        </is>
      </c>
      <c r="L695" t="inlineStr">
        <is>
          <t>.</t>
        </is>
      </c>
      <c r="M695" t="inlineStr">
        <is>
          <t>.</t>
        </is>
      </c>
      <c r="N695" t="inlineStr">
        <is>
          <t>.</t>
        </is>
      </c>
      <c r="O695" t="inlineStr">
        <is>
          <t>.</t>
        </is>
      </c>
    </row>
    <row r="696">
      <c r="A696" t="inlineStr">
        <is>
          <t>SSC5D</t>
        </is>
      </c>
      <c r="B696" t="inlineStr">
        <is>
          <t>0.34696871421864</t>
        </is>
      </c>
      <c r="C696" t="inlineStr">
        <is>
          <t>scavenger receptor cysteine rich family, 5 domains</t>
        </is>
      </c>
      <c r="D696" t="inlineStr">
        <is>
          <t xml:space="preserve">FUNCTION: Binds to extracellular matrix proteins. Binds to pathogen-associated molecular patterns (PAMPs) present on the cell walls of Gram-positive and Gram-negative bacteria and fungi, behaving as a pattern recognition receptor (PRR). Induces bacterial and fungal aggregation and subsequent inhibition of PAMP-induced cytokine release. Does not possess intrinsic bactericidal activity. May play a role in the innate defense and homeostasis of certain epithelial surfaces (By similarity). {ECO:0000250}.; </t>
        </is>
      </c>
      <c r="E696" t="inlineStr">
        <is>
          <t>.</t>
        </is>
      </c>
      <c r="F696" t="inlineStr">
        <is>
          <t xml:space="preserve">TISSUE SPECIFICITY: Highly expressed in monocytes/macrophages and T-lymphocytes. Highly expressed in placenta and spleen, and also detected at lower levels in colon, and more weakly in lung, heart and kidney. {ECO:0000269|PubMed:19535143}.; </t>
        </is>
      </c>
      <c r="G696" t="inlineStr">
        <is>
          <t>.</t>
        </is>
      </c>
      <c r="H696" t="inlineStr">
        <is>
          <t>.</t>
        </is>
      </c>
      <c r="I696" t="inlineStr">
        <is>
          <t>.</t>
        </is>
      </c>
      <c r="J696" t="inlineStr">
        <is>
          <t>.</t>
        </is>
      </c>
      <c r="K696" t="inlineStr">
        <is>
          <t>.</t>
        </is>
      </c>
      <c r="L696" t="inlineStr">
        <is>
          <t>.</t>
        </is>
      </c>
      <c r="M696" t="inlineStr">
        <is>
          <t>.</t>
        </is>
      </c>
      <c r="N696" t="inlineStr">
        <is>
          <t>.</t>
        </is>
      </c>
      <c r="O696" t="inlineStr">
        <is>
          <t>.</t>
        </is>
      </c>
    </row>
    <row r="697">
      <c r="A697" t="inlineStr">
        <is>
          <t>SSFA2</t>
        </is>
      </c>
      <c r="B697" t="inlineStr">
        <is>
          <t>7.68386262291993e-05</t>
        </is>
      </c>
      <c r="C697" t="inlineStr">
        <is>
          <t>sperm specific antigen 2</t>
        </is>
      </c>
      <c r="D697" t="inlineStr">
        <is>
          <t>.</t>
        </is>
      </c>
      <c r="E697" t="inlineStr">
        <is>
          <t>.</t>
        </is>
      </c>
      <c r="F697" t="inlineStr">
        <is>
          <t xml:space="preserve">TISSUE SPECIFICITY: Strongly expressed in pancreas and testis. Present in colon cancer cells (at protein level). {ECO:0000269|PubMed:14673706}.; </t>
        </is>
      </c>
      <c r="G697" t="inlineStr">
        <is>
          <t>ovary;substantia nigra;skin;retina;prostate;optic nerve;frontal lobe;endometrium;cochlea;thyroid;iris;germinal center;bladder;brain;heart;cartilage;lens;skeletal muscle;breast;visual apparatus;macula lutea;liver;cervix;spleen;mammary gland;colon;parathyroid;choroid;fovea centralis;uterus;whole body;bone;testis;spinal ganglion;artery;pineal gland;unclassifiable (Anatomical System);lymph node;islets of Langerhans;hypothalamus;pancreas;lung;adrenal gland;nasopharynx;placenta;head and neck;kidney;aorta;stomach;cerebellum;</t>
        </is>
      </c>
      <c r="H697" t="inlineStr">
        <is>
          <t>dorsal root ganglion;superior cervical ganglion;olfactory bulb;globus pallidus;ciliary ganglion;atrioventricular node;trigeminal ganglion;skeletal muscle;cerebellum;</t>
        </is>
      </c>
      <c r="I697" t="inlineStr">
        <is>
          <t>.</t>
        </is>
      </c>
      <c r="J697" t="inlineStr">
        <is>
          <t>.</t>
        </is>
      </c>
      <c r="K697" t="inlineStr">
        <is>
          <t>.</t>
        </is>
      </c>
      <c r="L697" t="inlineStr">
        <is>
          <t>.</t>
        </is>
      </c>
      <c r="M697" t="inlineStr">
        <is>
          <t>.</t>
        </is>
      </c>
      <c r="N697" t="inlineStr">
        <is>
          <t>.</t>
        </is>
      </c>
      <c r="O697" t="inlineStr">
        <is>
          <t>.</t>
        </is>
      </c>
    </row>
    <row r="698">
      <c r="A698" t="inlineStr">
        <is>
          <t>STAB2</t>
        </is>
      </c>
      <c r="B698" t="inlineStr">
        <is>
          <t>4.17567584164662e-28</t>
        </is>
      </c>
      <c r="C698" t="inlineStr">
        <is>
          <t>stabilin 2</t>
        </is>
      </c>
      <c r="D698" t="inlineStr">
        <is>
          <t xml:space="preserve">FUNCTION: Phosphatidylserine receptor that enhances the engulfment of apoptotic cells. Hyaluronan receptor that binds to and mediates endocytosis of hyaluronic acid (HA). Acts also, in different species, as a primary systemic scavenger receptor for heparin (Hep), chondroitin sulfate (CS), dermatan sulfate (DS), nonglycosaminoglycan (GAG), acetylated low-density lipoprotein (AcLDL), pro-collagen propeptides and advanced glycation end products (AGE). May serve to maintain tissue integrity by supporting extracellular matrix turnover or it may contribute to maintaining fluidity of bodily liquids by resorption of hyaluronan. Counter receptor which plays an important role in lymphocyte recruitment in the hepatic vasculature. Binds to both Gram-positive and Gram-negative bacteria and may play a role in defense against bacterial infection. The proteolytically processed 190 kDa form also functions as an endocytosis receptor for heparin internalisation as well as HA and CS. {ECO:0000269|PubMed:12077138, ECO:0000269|PubMed:12473645, ECO:0000269|PubMed:15208308, ECO:0000269|PubMed:15572036, ECO:0000269|PubMed:17145755, ECO:0000269|PubMed:17675564, ECO:0000269|PubMed:17962816, ECO:0000269|PubMed:18230608, ECO:0000269|PubMed:18434317, ECO:0000269|PubMed:18573870, ECO:0000269|PubMed:19359419}.; </t>
        </is>
      </c>
      <c r="E698" t="inlineStr">
        <is>
          <t>.</t>
        </is>
      </c>
      <c r="F698" t="inlineStr">
        <is>
          <t xml:space="preserve">TISSUE SPECIFICITY: Highly expressed in sinusoidal endothelial cells of liver, spleen and lymph nodes. Also expressed in non SEC- cells such as HMDMs (monocyte-derivedmacrophages), HAMs (T-cell leukemia virus type 1-associated myelopathy), and several macrophage cell line. {ECO:0000269|PubMed:11829752, ECO:0000269|PubMed:12077138, ECO:0000269|PubMed:12473645, ECO:0000269|PubMed:12626425, ECO:0000269|PubMed:17675564, ECO:0000269|PubMed:17962816}.; </t>
        </is>
      </c>
      <c r="G698" t="inlineStr">
        <is>
          <t>unclassifiable (Anatomical System);heart;cartilage;skin;uterus;pancreas;prostate;lung;placenta;liver;testis;spleen;kidney;mammary gland;</t>
        </is>
      </c>
      <c r="H698" t="inlineStr">
        <is>
          <t>dorsal root ganglion;medulla oblongata;superior cervical ganglion;occipital lobe;atrioventricular node;skeletal muscle;skin;subthalamic nucleus;appendix;globus pallidus;ciliary ganglion;trigeminal ganglion;parietal lobe;</t>
        </is>
      </c>
      <c r="I698" t="inlineStr">
        <is>
          <t>.</t>
        </is>
      </c>
      <c r="J698" t="inlineStr">
        <is>
          <t>.</t>
        </is>
      </c>
      <c r="K698" t="inlineStr">
        <is>
          <t>.</t>
        </is>
      </c>
      <c r="L698" t="inlineStr">
        <is>
          <t>.</t>
        </is>
      </c>
      <c r="M698" t="inlineStr">
        <is>
          <t>.</t>
        </is>
      </c>
      <c r="N698" t="inlineStr">
        <is>
          <t>.</t>
        </is>
      </c>
      <c r="O698" t="inlineStr">
        <is>
          <t>.</t>
        </is>
      </c>
    </row>
    <row r="699">
      <c r="A699" t="inlineStr">
        <is>
          <t>STAG3</t>
        </is>
      </c>
      <c r="B699" t="inlineStr">
        <is>
          <t>1.10348940584416e-06</t>
        </is>
      </c>
      <c r="C699" t="inlineStr">
        <is>
          <t>stromal antigen 3</t>
        </is>
      </c>
      <c r="D699" t="inlineStr">
        <is>
          <t xml:space="preserve">FUNCTION: Meiosis specific component of cohesin complex. The cohesin complex is required for the cohesion of sister chromatids after DNA replication. The cohesin complex apparently forms a large proteinaceous ring within which sister chromatids can be trapped. At anaphase, the complex is cleaved and dissociates from chromatin, allowing sister chromatids to segregate. The meiosis- specific cohesin complex probably replaces mitosis specific cohesin complex when it dissociates from chromatin during prophase I. {ECO:0000250|UniProtKB:O70576}.; </t>
        </is>
      </c>
      <c r="E699" t="inlineStr">
        <is>
          <t xml:space="preserve">DISEASE: Premature ovarian failure 8 (POF8) [MIM:615723]: An ovarian disorder defined as the cessation of ovarian function under the age of 40 years. It is characterized by oligomenorrhea or amenorrhea, in the presence of elevated levels of serum gonadotropins and low estradiol. {ECO:0000269|PubMed:24597867, ECO:0000303|PubMed:22428046}. Note=The disease is caused by mutations affecting the gene represented in this entry. A homozygous deletion in STAG3 predicted to result in frameshift and premature truncation, has been shown to be the cause of premature ovarian failure in a large consanguineous family. {ECO:0000269|PubMed:24597867}.; </t>
        </is>
      </c>
      <c r="F699" t="inlineStr">
        <is>
          <t xml:space="preserve">TISSUE SPECIFICITY: Testis specific.; </t>
        </is>
      </c>
      <c r="G699" t="inlineStr">
        <is>
          <t>ovary;parathyroid;fovea centralis;choroid;retina;bone marrow;prostate;optic nerve;ganglion;frontal lobe;larynx;testis;brain;unclassifiable (Anatomical System);lymph node;heart;islets of Langerhans;hypothalamus;blood;lens;skeletal muscle;breast;lung;placenta;hippocampus;macula lutea;liver;spleen;head and neck;kidney;mammary gland;aorta;cerebellum;</t>
        </is>
      </c>
      <c r="H699" t="inlineStr">
        <is>
          <t>superior cervical ganglion;testis - interstitial;testis - seminiferous tubule;cerebellum peduncles;testis;ciliary ganglion;pons;</t>
        </is>
      </c>
      <c r="I699">
        <f>HYPERLINK("https://omim.org/entry/615723", "615723")</f>
        <v/>
      </c>
      <c r="J699" t="inlineStr">
        <is>
          <t>.</t>
        </is>
      </c>
      <c r="K699" t="inlineStr">
        <is>
          <t>.</t>
        </is>
      </c>
      <c r="L699" t="inlineStr">
        <is>
          <t>.</t>
        </is>
      </c>
      <c r="M699" t="inlineStr">
        <is>
          <t>.</t>
        </is>
      </c>
      <c r="N699" t="inlineStr">
        <is>
          <t>.</t>
        </is>
      </c>
      <c r="O699" t="inlineStr">
        <is>
          <t>.</t>
        </is>
      </c>
    </row>
    <row r="700">
      <c r="A700" t="inlineStr">
        <is>
          <t>STAMBP</t>
        </is>
      </c>
      <c r="B700" t="inlineStr">
        <is>
          <t>0.00143027314024062</t>
        </is>
      </c>
      <c r="C700" t="inlineStr">
        <is>
          <t>STAM binding protein</t>
        </is>
      </c>
      <c r="D700" t="inlineStr">
        <is>
          <t xml:space="preserve">FUNCTION: Zinc metalloprotease that specifically cleaves 'Lys-63'- linked polyubiquitin chains. Does not cleave 'Lys-48'-linked polyubiquitin chains (By similarity). Plays a role in signal transduction for cell growth and MYC induction mediated by IL-2 and GM-CSF. Potentiates BMP (bone morphogenetic protein) signaling by antagonizing the inhibitory action of SMAD6 and SMAD7. Has a key role in regulation of cell surface receptor-mediated endocytosis and ubiquitin-dependent sorting of receptors to lysosomes. Endosomal localization of STAMBP is required for efficient EGFR degradation but not for its internalization (By similarity). Involved in the negative regulation of PI3K-AKT-mTOR and RAS-MAP signaling pathways. {ECO:0000250, ECO:0000269|PubMed:10383417, ECO:0000269|PubMed:11483516, ECO:0000269|PubMed:15314065, ECO:0000269|PubMed:17261583, ECO:0000269|PubMed:23542699}.; </t>
        </is>
      </c>
      <c r="E700" t="inlineStr">
        <is>
          <t xml:space="preserve">DISEASE: Microcephaly-capillary malformation syndrome (MICCAP) [MIM:614261]: A congenital disorder characterized by severe progressive microcephaly, early-onset refractory epilepsy, profound developmental delay, and multiple small capillary malformations spread diffusely on the body. Additional more variable features include dysmorphic facial features, distal limb abnormalities, and mild heart defects. {ECO:0000269|PubMed:23542699}. Note=The disease is caused by mutations affecting the gene represented in this entry.; </t>
        </is>
      </c>
      <c r="F700" t="inlineStr">
        <is>
          <t xml:space="preserve">TISSUE SPECIFICITY: Ubiquitously expressed.; </t>
        </is>
      </c>
      <c r="G700" t="inlineStr">
        <is>
          <t>ovary;salivary gland;intestine;colon;parathyroid;fovea centralis;choroid;skin;retina;uterus;prostate;optic nerve;cochlea;cerebral cortex;endometrium;larynx;bone;thyroid;pituitary gland;testis;germinal center;brain;unclassifiable (Anatomical System);lymph node;cartilage;heart;hypothalamus;urinary;pharynx;blood;lens;skeletal muscle;breast;bile duct;pancreas;lung;cornea;placenta;macula lutea;visual apparatus;hippocampus;liver;spleen;head and neck;kidney;mammary gland;stomach;</t>
        </is>
      </c>
      <c r="H700" t="inlineStr">
        <is>
          <t>dorsal root ganglion;amygdala;superior cervical ganglion;hypothalamus;spinal cord;ciliary ganglion;atrioventricular node;trigeminal ganglion;parietal lobe;</t>
        </is>
      </c>
      <c r="I700">
        <f>HYPERLINK("https://omim.org/entry/614261", "614261")</f>
        <v/>
      </c>
      <c r="J700" t="inlineStr">
        <is>
          <t>.</t>
        </is>
      </c>
      <c r="K700" t="inlineStr">
        <is>
          <t>.</t>
        </is>
      </c>
      <c r="L700" t="inlineStr">
        <is>
          <t>.</t>
        </is>
      </c>
      <c r="M700" t="inlineStr">
        <is>
          <t>.</t>
        </is>
      </c>
      <c r="N700" t="inlineStr">
        <is>
          <t>.</t>
        </is>
      </c>
      <c r="O700" t="inlineStr">
        <is>
          <t>.</t>
        </is>
      </c>
    </row>
    <row r="701">
      <c r="A701" t="inlineStr">
        <is>
          <t>STAT3</t>
        </is>
      </c>
      <c r="B701" t="inlineStr">
        <is>
          <t>0.999989193151158</t>
        </is>
      </c>
      <c r="C701" t="inlineStr">
        <is>
          <t>signal transducer and activator of transcription 3 (acute-phase response factor)</t>
        </is>
      </c>
      <c r="D701" t="inlineStr">
        <is>
          <t xml:space="preserve">FUNCTION: Signal transducer and transcription activator that mediates cellular responses to interleukins, KITLG/SCF, LEP and other growth factors. Once activated, recruits coactivators, such as NCOA1 or MED1, to the promoter region of the target gene (PubMed:17344214). May mediate cellular responses to activated FGFR1, FGFR2, FGFR3 and FGFR4. Binds to the interleukin-6 (IL-6)- responsive elements identified in the promoters of various acute- phase protein genes. Activated by IL31 through IL31RA. Involved in cell cycle regulation by inducing the expression of key genes for the progression from G1 to S phase, such as CCND1 (PubMed:17344214). Mediates the effects of LEP on melanocortin production, body energy homeostasis and lactation (By similarity). May play an apoptotic role by transctivating BIRC5 expression under LEP activation (PubMed:18242580). Cytoplasmic STAT3 represses macroautophagy by inhibiting EIF2AK2/PKR activity. {ECO:0000250|UniProtKB:P42227, ECO:0000269|PubMed:10688651, ECO:0000269|PubMed:12359225, ECO:0000269|PubMed:12873986, ECO:0000269|PubMed:15194700, ECO:0000269|PubMed:17344214, ECO:0000269|PubMed:18242580, ECO:0000269|PubMed:23084476}.; </t>
        </is>
      </c>
      <c r="E701" t="inlineStr">
        <is>
          <t xml:space="preserve">DISEASE: Hyperimmunoglobulin E recurrent infection syndrome, autosomal dominant (AD-HIES) [MIM:147060]: A rare disorder of immunity and connective tissue characterized by immunodeficiency, chronic eczema, recurrent Staphylococcal infections, increased serum IgE, eosinophilia, distinctive coarse facial appearance, abnormal dentition, hyperextensibility of the joints, and bone fractures. {ECO:0000269|PubMed:17676033, ECO:0000269|PubMed:17881745, ECO:0000269|PubMed:23342295}. Note=The disease is caused by mutations affecting the gene represented in this entry.; DISEASE: Autoimmune disease, multisystem, infantile-onset (ADMIO) [MIM:615952]: A disorder characterized by early childhood onset of a spectrum of autoimmune manifestations affecting multiple organs, including insulin-dependent diabetes mellitus and autoimmune enteropathy or celiac disease. Other features include short stature, non-specific dermatitis, hypothyroidism, autoimmune arthritis, and delayed puberty. {ECO:0000269|PubMed:25038750}. Note=The disease is caused by mutations affecting the gene represented in this entry.; </t>
        </is>
      </c>
      <c r="F701" t="inlineStr">
        <is>
          <t xml:space="preserve">TISSUE SPECIFICITY: Heart, brain, placenta, lung, liver, skeletal muscle, kidney and pancreas.; </t>
        </is>
      </c>
      <c r="G701" t="inlineStr">
        <is>
          <t>ovary;salivary gland;colon;choroid;skin;retina;bone marrow;uterus;prostate;whole body;endometrium;synovium;larynx;bone;thyroid;testis;amniotic fluid;germinal center;brain;bladder;tonsil;unclassifiable (Anatomical System);lymph node;cartilage;heart;islets of Langerhans;muscle;blood;lens;skeletal muscle;breast;bile duct;pancreas;lung;cornea;adrenal gland;nasopharynx;placenta;visual apparatus;amnion;hypopharynx;liver;cervix;spleen;head and neck;kidney;mammary gland;aorta;stomach;</t>
        </is>
      </c>
      <c r="H701" t="inlineStr">
        <is>
          <t>adipose tissue;beta cell islets;kidney;</t>
        </is>
      </c>
      <c r="I701">
        <f>HYPERLINK("https://omim.org/entry/147060", "147060")</f>
        <v/>
      </c>
      <c r="J701">
        <f>HYPERLINK("https://omim.org/entry/615952", "615952")</f>
        <v/>
      </c>
      <c r="K701" t="inlineStr">
        <is>
          <t>.</t>
        </is>
      </c>
      <c r="L701" t="inlineStr">
        <is>
          <t>.</t>
        </is>
      </c>
      <c r="M701" t="inlineStr">
        <is>
          <t>.</t>
        </is>
      </c>
      <c r="N701" t="inlineStr">
        <is>
          <t>.</t>
        </is>
      </c>
      <c r="O701" t="inlineStr">
        <is>
          <t>.</t>
        </is>
      </c>
    </row>
    <row r="702">
      <c r="A702" t="inlineStr">
        <is>
          <t>STEAP2</t>
        </is>
      </c>
      <c r="B702" t="inlineStr">
        <is>
          <t>0.00244974706931913</t>
        </is>
      </c>
      <c r="C702" t="inlineStr">
        <is>
          <t>STEAP2 metalloreductase</t>
        </is>
      </c>
      <c r="D702" t="inlineStr">
        <is>
          <t xml:space="preserve">FUNCTION: Metalloreductase that has the ability to reduce both Fe(3+) to Fe(2+) and Cu(2+) to Cu(1+). Uses NAD(+) as acceptor (By similarity). {ECO:0000250}.; </t>
        </is>
      </c>
      <c r="E702" t="inlineStr">
        <is>
          <t>.</t>
        </is>
      </c>
      <c r="F702" t="inlineStr">
        <is>
          <t xml:space="preserve">TISSUE SPECIFICITY: Expressed at high levels in prostate and at significantly lower levels in heart, brain, kidney, pancreas, and ovary. {ECO:0000269|PubMed:12095985, ECO:0000269|PubMed:12429817, ECO:0000269|PubMed:16609065}.; </t>
        </is>
      </c>
      <c r="G702" t="inlineStr">
        <is>
          <t>ovary;colon;parathyroid;fovea centralis;choroid;vein;skin;retina;uterus;prostate;optic nerve;endometrium;larynx;thyroid;bone;pituitary gland;brain;bladder;unclassifiable (Anatomical System);heart;cartilage;islets of Langerhans;hypothalamus;lens;skeletal muscle;pancreas;lung;trabecular meshwork;placenta;macula lutea;liver;hypopharynx;spleen;head and neck;kidney;stomach;peripheral nerve;</t>
        </is>
      </c>
      <c r="H702" t="inlineStr">
        <is>
          <t>dorsal root ganglion;superior cervical ganglion;pons;atrioventricular node;</t>
        </is>
      </c>
      <c r="I702" t="inlineStr">
        <is>
          <t>.</t>
        </is>
      </c>
      <c r="J702" t="inlineStr">
        <is>
          <t>.</t>
        </is>
      </c>
      <c r="K702" t="inlineStr">
        <is>
          <t>.</t>
        </is>
      </c>
      <c r="L702" t="inlineStr">
        <is>
          <t>.</t>
        </is>
      </c>
      <c r="M702" t="inlineStr">
        <is>
          <t>.</t>
        </is>
      </c>
      <c r="N702" t="inlineStr">
        <is>
          <t>.</t>
        </is>
      </c>
      <c r="O702" t="inlineStr">
        <is>
          <t>.</t>
        </is>
      </c>
    </row>
    <row r="703">
      <c r="A703" t="inlineStr">
        <is>
          <t>STEAP4</t>
        </is>
      </c>
      <c r="B703" t="inlineStr">
        <is>
          <t>1.49862010031802e-05</t>
        </is>
      </c>
      <c r="C703" t="inlineStr">
        <is>
          <t>STEAP4 metalloreductase</t>
        </is>
      </c>
      <c r="D703" t="inlineStr">
        <is>
          <t xml:space="preserve">FUNCTION: Metalloreductase that has the ability to reduce both Fe(3+) to Fe(2+) and Cu(2+) to Cu(1+). Uses NAD(+) as acceptor. Plays a role in systemic metabolic homeostasis, integrating inflammatory and metabolic responses (By similarity). Associated with obesity and insulin-resistance. Involved in inflammatory arthritis, through the regulation of inflammatory cytokines. Inhibits anchorage-independent cell proliferation. {ECO:0000250, ECO:0000269|PubMed:18381574, ECO:0000269|PubMed:18430367, ECO:0000269|PubMed:19660107, ECO:0000269|PubMed:19787193}.; </t>
        </is>
      </c>
      <c r="E703" t="inlineStr">
        <is>
          <t>.</t>
        </is>
      </c>
      <c r="F703" t="inlineStr">
        <is>
          <t xml:space="preserve">TISSUE SPECIFICITY: Ubiquitous. Highly expressed in adipose tissue. Expressed in placenta, lung, heart and prostate. Detected at lower levels in liver, skeletal muscle, pancreas, testis and small intestine. Highly expressed in joints of patients with rheumatoid arthritis and localized with CD68 cells, a marker for macrophages. {ECO:0000269|PubMed:15897894, ECO:0000269|PubMed:16227996, ECO:0000269|PubMed:18381574, ECO:0000269|PubMed:18430367, ECO:0000269|PubMed:19289123, ECO:0000269|PubMed:19660107}.; </t>
        </is>
      </c>
      <c r="G703" t="inlineStr">
        <is>
          <t>uterus;prostate;lung;ovary;heart;placenta;iris;hypopharynx;testis;parathyroid;head and neck;skin;</t>
        </is>
      </c>
      <c r="H703" t="inlineStr">
        <is>
          <t>atrioventricular node;trigeminal ganglion;</t>
        </is>
      </c>
      <c r="I703" t="inlineStr">
        <is>
          <t>.</t>
        </is>
      </c>
      <c r="J703" t="inlineStr">
        <is>
          <t>.</t>
        </is>
      </c>
      <c r="K703" t="inlineStr">
        <is>
          <t>.</t>
        </is>
      </c>
      <c r="L703" t="inlineStr">
        <is>
          <t>.</t>
        </is>
      </c>
      <c r="M703" t="inlineStr">
        <is>
          <t>.</t>
        </is>
      </c>
      <c r="N703" t="inlineStr">
        <is>
          <t>.</t>
        </is>
      </c>
      <c r="O703" t="inlineStr">
        <is>
          <t>.</t>
        </is>
      </c>
    </row>
    <row r="704">
      <c r="A704" t="inlineStr">
        <is>
          <t>STIL</t>
        </is>
      </c>
      <c r="B704" t="inlineStr">
        <is>
          <t>0.202687840102417</t>
        </is>
      </c>
      <c r="C704" t="inlineStr">
        <is>
          <t>SCL/TAL1 interrupting locus</t>
        </is>
      </c>
      <c r="D704" t="inlineStr">
        <is>
          <t xml:space="preserve">FUNCTION: Immediate-early gene. Plays an important role in embryonic development as well as in cellular growth and proliferation; its long-term silencing affects cell survival and cell cycle distribution as well as decreases CDK1 activity correlated with reduced phosphorylation of CDK1. Plays a role as a positive regulator of the sonic hedgehog pathway, acting downstream of PTCH1. {ECO:0000269|PubMed:16024801, ECO:0000269|PubMed:9372240}.; </t>
        </is>
      </c>
      <c r="E704" t="inlineStr">
        <is>
          <t xml:space="preserve">DISEASE: Note=A chromosomal aberration involving STIL may be a cause of some T-cell acute lymphoblastic leukemias (T-ALL). A deletion at 1p32 between STIL and TAL1 genes leads to STIL/TAL1 fusion mRNA with STIL exon 1 slicing to TAL1 exon 3. As both STIL exon 1 and TAL1 exon 3 are 5'-untranslated exons, STIL/TAL1 fusion mRNA predicts a full length TAL1 protein under the control of the STIL promoter, leading to inappropriate TAL1 expression. In childhood T-cell malignancies (T-ALL), a type of defect such as STIL/TAL1 fusion is associated with a good prognosis. In cultured lymphocytes from healthy adults, STIL/TAL1 fusion mRNA may be detected after 7 days of culture. {ECO:0000269|PubMed:11390401, ECO:0000269|PubMed:12681356, ECO:0000269|PubMed:1311214, ECO:0000269|PubMed:14504110, ECO:0000269|PubMed:1922059, ECO:0000269|PubMed:2209547, ECO:0000269|PubMed:2255914}.; DISEASE: Microcephaly 7, primary, autosomal recessive (MCPH7) [MIM:612703]: A disease defined as a head circumference more than 3 standard deviations below the age-related mean. Brain weight is markedly reduced and the cerebral cortex is disproportionately small. Despite this marked reduction in size, the gyral pattern is relatively well preserved, with no major abnormality in cortical architecture. Affected individuals are mentally retarded. Primary microcephaly is further defined by the absence of other syndromic features or significant neurological deficits due to degenerative brain disorder. {ECO:0000269|PubMed:19215732, ECO:0000269|PubMed:22989186}. Note=The disease is caused by mutations affecting the gene represented in this entry.; </t>
        </is>
      </c>
      <c r="F704" t="inlineStr">
        <is>
          <t xml:space="preserve">TISSUE SPECIFICITY: Expressed in all hematopoietic tissues and cell lines. Highly expressed in a variety of tumors characterized by increased mitotic activity with highest expression in lung cancer. {ECO:0000269|PubMed:15107824, ECO:0000269|PubMed:1922059}.; </t>
        </is>
      </c>
      <c r="G704" t="inlineStr">
        <is>
          <t>unclassifiable (Anatomical System);ovary;heart;colon;blood;skin;skeletal muscle;uterus;pancreas;whole body;lung;endometrium;placenta;bone;visual apparatus;liver;testis;head and neck;spleen;cervix;germinal center;brain;stomach;</t>
        </is>
      </c>
      <c r="H704" t="inlineStr">
        <is>
          <t>superior cervical ganglion;atrioventricular node;trigeminal ganglion;skeletal muscle;</t>
        </is>
      </c>
      <c r="I704">
        <f>HYPERLINK("https://omim.org/entry/612703", "612703")</f>
        <v/>
      </c>
      <c r="J704" t="inlineStr">
        <is>
          <t>.</t>
        </is>
      </c>
      <c r="K704" t="inlineStr">
        <is>
          <t>.</t>
        </is>
      </c>
      <c r="L704" t="inlineStr">
        <is>
          <t>.</t>
        </is>
      </c>
      <c r="M704" t="inlineStr">
        <is>
          <t>.</t>
        </is>
      </c>
      <c r="N704" t="inlineStr">
        <is>
          <t>.</t>
        </is>
      </c>
      <c r="O704" t="inlineStr">
        <is>
          <t>.</t>
        </is>
      </c>
    </row>
    <row r="705">
      <c r="A705" t="inlineStr">
        <is>
          <t>STK10</t>
        </is>
      </c>
      <c r="B705" t="inlineStr">
        <is>
          <t>1.50167370249254e-07</t>
        </is>
      </c>
      <c r="C705" t="inlineStr">
        <is>
          <t>serine/threonine kinase 10</t>
        </is>
      </c>
      <c r="D705" t="inlineStr">
        <is>
          <t xml:space="preserve">FUNCTION: Serine/threonine-protein kinase involved in regulation of lymphocyte migration. Phosphorylates MSN, and possibly PLK1. Involved in regulation of lymphocyte migration by mediating phosphorylation of ERM proteins such as MSN. Acts as a negative regulator of MAP3K1/MEKK1. May also act as a cell cycle regulator by acting as a polo kinase kinase: mediates phosphorylation of PLK1 in vitro; however such data require additional evidences in vivo. {ECO:0000269|PubMed:11903060, ECO:0000269|PubMed:12639966, ECO:0000269|PubMed:19255442}.; </t>
        </is>
      </c>
      <c r="E705" t="inlineStr">
        <is>
          <t xml:space="preserve">DISEASE: Testicular germ cell tumor (TGCT) [MIM:273300]: A common malignancy in males representing 95% of all testicular neoplasms. TGCTs have various pathologic subtypes including: unclassified intratubular germ cell neoplasia, seminoma (including cases with syncytiotrophoblastic cells), spermatocytic seminoma, embryonal carcinoma, yolk sac tumor, choriocarcinoma, and teratoma. {ECO:0000269|PubMed:16175573}. Note=The disease may be caused by mutations affecting the gene represented in this entry.; </t>
        </is>
      </c>
      <c r="F705" t="inlineStr">
        <is>
          <t xml:space="preserve">TISSUE SPECIFICITY: Highly expressed in rapidly proliferating tissues (spleen, placenta, and peripheral blood leukocytes). Also expressed in brain, heart, skeletal muscle, colon, thymus, kidney, liver, small intestine and lung. {ECO:0000269|PubMed:12639966}.; </t>
        </is>
      </c>
      <c r="G705" t="inlineStr">
        <is>
          <t>lymphoreticular;smooth muscle;ovary;skin;bone marrow;retina;prostate;optic nerve;endometrium;thyroid;iris;germinal center;brain;tonsil;heart;cartilage;tongue;blood;lens;skeletal muscle;visual apparatus;macula lutea;liver;alveolus;spleen;cervix;mammary gland;colon;parathyroid;choroid;fovea centralis;vein;uterus;whole body;synovium;bone;testis;unclassifiable (Anatomical System);lymph node;islets of Langerhans;pancreas;lung;nasopharynx;placenta;duodenum;hypopharynx;amnion;head and neck;kidney;cerebellum;</t>
        </is>
      </c>
      <c r="H705" t="inlineStr">
        <is>
          <t>lymph node;placenta;testis;white blood cells;whole blood;trigeminal ganglion;bone marrow;cerebellum;</t>
        </is>
      </c>
      <c r="I705">
        <f>HYPERLINK("https://omim.org/entry/273300", "273300")</f>
        <v/>
      </c>
      <c r="J705" t="inlineStr">
        <is>
          <t>.</t>
        </is>
      </c>
      <c r="K705" t="inlineStr">
        <is>
          <t>.</t>
        </is>
      </c>
      <c r="L705" t="inlineStr">
        <is>
          <t>.</t>
        </is>
      </c>
      <c r="M705" t="inlineStr">
        <is>
          <t>.</t>
        </is>
      </c>
      <c r="N705" t="inlineStr">
        <is>
          <t>.</t>
        </is>
      </c>
      <c r="O705" t="inlineStr">
        <is>
          <t>.</t>
        </is>
      </c>
    </row>
    <row r="706">
      <c r="A706" t="inlineStr">
        <is>
          <t>STS</t>
        </is>
      </c>
      <c r="B706" t="inlineStr">
        <is>
          <t>0.981414315787146</t>
        </is>
      </c>
      <c r="C706" t="inlineStr">
        <is>
          <t>steroid sulfatase (microsomal), isozyme S</t>
        </is>
      </c>
      <c r="D706" t="inlineStr">
        <is>
          <t xml:space="preserve">FUNCTION: Conversion of sulfated steroid precursors to estrogens during pregnancy.; </t>
        </is>
      </c>
      <c r="E706" t="inlineStr">
        <is>
          <t xml:space="preserve">DISEASE: Ichthyosis, X-linked (IXL) [MIM:308100]: A keratinization disorder manifesting with mild erythroderma and generalized exfoliation of the skin within a few weeks after birth. Affected boys later develop large, polygonal, dark brown scales, especially on the neck, extremities, trunk, and buttocks. {ECO:0000269|PubMed:10679952, ECO:0000269|PubMed:10844566, ECO:0000269|PubMed:1539590, ECO:0000269|PubMed:9252398}. Note=The disease is caused by mutations affecting the gene represented in this entry.; </t>
        </is>
      </c>
      <c r="F706" t="inlineStr">
        <is>
          <t>.</t>
        </is>
      </c>
      <c r="G706" t="inlineStr">
        <is>
          <t>ovary;colon;parathyroid;fovea centralis;choroid;skin;retina;uterus;optic nerve;whole body;frontal lobe;larynx;bone;thyroid;testis;amniotic fluid;germinal center;brain;unclassifiable (Anatomical System);amygdala;cartilage;heart;hypothalamus;blood;lens;skeletal muscle;bile duct;breast;lung;nasopharynx;placenta;macula lutea;visual apparatus;liver;spleen;head and neck;cervix;kidney;stomach;thymus;</t>
        </is>
      </c>
      <c r="H706" t="inlineStr">
        <is>
          <t>dorsal root ganglion;superior cervical ganglion;thalamus;atrioventricular node;pons;skeletal muscle;subthalamic nucleus;placenta;prefrontal cortex;ciliary ganglion;trigeminal ganglion;cingulate cortex;parietal lobe;</t>
        </is>
      </c>
      <c r="I706">
        <f>HYPERLINK("https://omim.org/entry/308100", "308100")</f>
        <v/>
      </c>
      <c r="J706" t="inlineStr">
        <is>
          <t>.</t>
        </is>
      </c>
      <c r="K706" t="inlineStr">
        <is>
          <t>.</t>
        </is>
      </c>
      <c r="L706" t="inlineStr">
        <is>
          <t>.</t>
        </is>
      </c>
      <c r="M706" t="inlineStr">
        <is>
          <t>.</t>
        </is>
      </c>
      <c r="N706" t="inlineStr">
        <is>
          <t>.</t>
        </is>
      </c>
      <c r="O706" t="inlineStr">
        <is>
          <t>.</t>
        </is>
      </c>
    </row>
    <row r="707">
      <c r="A707" t="inlineStr">
        <is>
          <t>STX16</t>
        </is>
      </c>
      <c r="B707" t="inlineStr">
        <is>
          <t>0.235503144787157</t>
        </is>
      </c>
      <c r="C707" t="inlineStr">
        <is>
          <t>syntaxin 16</t>
        </is>
      </c>
      <c r="D707" t="inlineStr">
        <is>
          <t xml:space="preserve">FUNCTION: SNARE involved in vesicular transport from the late endosomes to the trans-Golgi network. {ECO:0000269|PubMed:18195106}.; </t>
        </is>
      </c>
      <c r="E707" t="inlineStr">
        <is>
          <t>.</t>
        </is>
      </c>
      <c r="F707" t="inlineStr">
        <is>
          <t xml:space="preserve">TISSUE SPECIFICITY: Ubiquitous.; </t>
        </is>
      </c>
      <c r="G707" t="inlineStr">
        <is>
          <t>ovary;skin;retina;bone marrow;prostate;frontal lobe;cochlea;endometrium;thyroid;iris;germinal center;brain;amygdala;heart;cartilage;tongue;pineal body;adrenal cortex;blood;lens;skeletal muscle;breast;visual apparatus;liver;cervix;spleen;mammary gland;salivary gland;colon;parathyroid;uterus;whole body;bone;testis;unclassifiable (Anatomical System);lymph node;lacrimal gland;islets of Langerhans;hypothalamus;oral cavity;muscle;pancreas;lung;cornea;adrenal gland;placenta;hippocampus;head and neck;kidney;stomach;thymus;</t>
        </is>
      </c>
      <c r="H707" t="inlineStr">
        <is>
          <t>amygdala;thalamus;superior cervical ganglion;globus pallidus;cingulate cortex;skeletal muscle;parietal lobe;</t>
        </is>
      </c>
      <c r="I707" t="inlineStr">
        <is>
          <t>.</t>
        </is>
      </c>
      <c r="J707" t="inlineStr">
        <is>
          <t>.</t>
        </is>
      </c>
      <c r="K707" t="inlineStr">
        <is>
          <t>.</t>
        </is>
      </c>
      <c r="L707" t="inlineStr">
        <is>
          <t>.</t>
        </is>
      </c>
      <c r="M707" t="inlineStr">
        <is>
          <t>.</t>
        </is>
      </c>
      <c r="N707" t="inlineStr">
        <is>
          <t>.</t>
        </is>
      </c>
      <c r="O707" t="inlineStr">
        <is>
          <t>.</t>
        </is>
      </c>
    </row>
    <row r="708">
      <c r="A708" t="inlineStr">
        <is>
          <t>STX16-NPEPL1</t>
        </is>
      </c>
      <c r="B708" t="inlineStr">
        <is>
          <t>.</t>
        </is>
      </c>
      <c r="C708" t="inlineStr">
        <is>
          <t>STX16-NPEPL1 readthrough (NMD candidate)</t>
        </is>
      </c>
      <c r="D708" t="inlineStr">
        <is>
          <t>.</t>
        </is>
      </c>
      <c r="E708" t="inlineStr">
        <is>
          <t>.</t>
        </is>
      </c>
      <c r="F708" t="inlineStr">
        <is>
          <t>.</t>
        </is>
      </c>
      <c r="G708" t="inlineStr">
        <is>
          <t>.</t>
        </is>
      </c>
      <c r="H708" t="inlineStr">
        <is>
          <t>.</t>
        </is>
      </c>
      <c r="I708" t="inlineStr">
        <is>
          <t>.</t>
        </is>
      </c>
      <c r="J708" t="inlineStr">
        <is>
          <t>.</t>
        </is>
      </c>
      <c r="K708" t="inlineStr">
        <is>
          <t>.</t>
        </is>
      </c>
      <c r="L708" t="inlineStr">
        <is>
          <t>.</t>
        </is>
      </c>
      <c r="M708" t="inlineStr">
        <is>
          <t>.</t>
        </is>
      </c>
      <c r="N708" t="inlineStr">
        <is>
          <t>.</t>
        </is>
      </c>
      <c r="O708" t="inlineStr">
        <is>
          <t>.</t>
        </is>
      </c>
    </row>
    <row r="709">
      <c r="A709" t="inlineStr">
        <is>
          <t>STXBP5</t>
        </is>
      </c>
      <c r="B709" t="inlineStr">
        <is>
          <t>0.999991599632041</t>
        </is>
      </c>
      <c r="C709" t="inlineStr">
        <is>
          <t>syntaxin binding protein 5</t>
        </is>
      </c>
      <c r="D709" t="inlineStr">
        <is>
          <t xml:space="preserve">FUNCTION: Plays a regulatory role in calcium-dependent exocytosis and neurotransmitter release. Inhibits membrane fusion between transport vesicles and the plasma membrane. May modulate the assembly of trans-SNARE complexes between transport vesicles and the plasma membrane. Inhibits translocation of GLUT4 from intracellular vesicles to the plasma membrane. Competes with STXBP1 for STX1 binding (By similarity). {ECO:0000250}.; </t>
        </is>
      </c>
      <c r="E709" t="inlineStr">
        <is>
          <t>.</t>
        </is>
      </c>
      <c r="F709" t="inlineStr">
        <is>
          <t>.</t>
        </is>
      </c>
      <c r="G709" t="inlineStr">
        <is>
          <t>unclassifiable (Anatomical System);ovary;islets of Langerhans;colon;parathyroid;blood;retina;breast;uterus;prostate;lung;cerebral cortex;bone;placenta;iris;liver;testis;germinal center;brain;pineal gland;mammary gland;bladder;stomach;thymus;</t>
        </is>
      </c>
      <c r="H709" t="inlineStr">
        <is>
          <t>superior cervical ganglion;globus pallidus;ciliary ganglion;atrioventricular node;pons;trigeminal ganglion;skeletal muscle;</t>
        </is>
      </c>
      <c r="I709" t="inlineStr">
        <is>
          <t>.</t>
        </is>
      </c>
      <c r="J709" t="inlineStr">
        <is>
          <t>.</t>
        </is>
      </c>
      <c r="K709" t="inlineStr">
        <is>
          <t>.</t>
        </is>
      </c>
      <c r="L709" t="inlineStr">
        <is>
          <t>.</t>
        </is>
      </c>
      <c r="M709" t="inlineStr">
        <is>
          <t>.</t>
        </is>
      </c>
      <c r="N709" t="inlineStr">
        <is>
          <t>.</t>
        </is>
      </c>
      <c r="O709" t="inlineStr">
        <is>
          <t>.</t>
        </is>
      </c>
    </row>
    <row r="710">
      <c r="A710" t="inlineStr">
        <is>
          <t>SVEP1</t>
        </is>
      </c>
      <c r="B710" t="inlineStr">
        <is>
          <t>0.589007650495336</t>
        </is>
      </c>
      <c r="C710" t="inlineStr">
        <is>
          <t>sushi, von Willebrand factor type A, EGF and pentraxin domain containing 1</t>
        </is>
      </c>
      <c r="D710" t="inlineStr">
        <is>
          <t xml:space="preserve">FUNCTION: May play a role in the cell attachment process. {ECO:0000250}.; </t>
        </is>
      </c>
      <c r="E710" t="inlineStr">
        <is>
          <t>.</t>
        </is>
      </c>
      <c r="F710" t="inlineStr">
        <is>
          <t xml:space="preserve">TISSUE SPECIFICITY: Present in mesenchymal primary cultured cell lysates (at protein level). Highly expressed in placenta. Also expressed in marrow stromal cell. Weakly or not expressed in other tissues. {ECO:0000269|PubMed:11062057, ECO:0000269|PubMed:16206243}.; </t>
        </is>
      </c>
      <c r="G710" t="inlineStr">
        <is>
          <t>ovary;colon;parathyroid;choroid;skin;uterus;whole body;frontal lobe;cerebral cortex;larynx;bone;testis;brain;unclassifiable (Anatomical System);heart;cartilage;islets of Langerhans;skeletal muscle;breast;pancreas;lung;epididymis;nasopharynx;trabecular meshwork;placenta;visual apparatus;liver;hypopharynx;spleen;head and neck;kidney;mammary gland;</t>
        </is>
      </c>
      <c r="H710" t="inlineStr">
        <is>
          <t>superior cervical ganglion;adipose tissue;placenta;globus pallidus;ciliary ganglion;pons;atrioventricular node;trigeminal ganglion;skeletal muscle;</t>
        </is>
      </c>
      <c r="I710" t="inlineStr">
        <is>
          <t>.</t>
        </is>
      </c>
      <c r="J710" t="inlineStr">
        <is>
          <t>.</t>
        </is>
      </c>
      <c r="K710" t="inlineStr">
        <is>
          <t>.</t>
        </is>
      </c>
      <c r="L710" t="inlineStr">
        <is>
          <t>.</t>
        </is>
      </c>
      <c r="M710" t="inlineStr">
        <is>
          <t>.</t>
        </is>
      </c>
      <c r="N710" t="inlineStr">
        <is>
          <t>.</t>
        </is>
      </c>
      <c r="O710" t="inlineStr">
        <is>
          <t>.</t>
        </is>
      </c>
    </row>
    <row r="711">
      <c r="A711" t="inlineStr">
        <is>
          <t>SYNE1</t>
        </is>
      </c>
      <c r="B711" t="inlineStr">
        <is>
          <t>3.75068139299055e-27</t>
        </is>
      </c>
      <c r="C711" t="inlineStr">
        <is>
          <t>spectrin repeat containing, nuclear envelope 1</t>
        </is>
      </c>
      <c r="D711" t="inlineStr">
        <is>
          <t xml:space="preserve">FUNCTION: Multi-isomeric modular protein which forms a linking network between organelles and the actin cytoskeleton to maintain the subcellular spatial organization. Component of SUN-protein- containing multivariate complexes also called LINC complexes which link the nucleoskeleton and cytoskeleton by providing versatile outer nuclear membrane attachment sites for cytoskeletal filaments. May be involved in the maintenance of nuclear organization and structural integrity. Connects nuclei to the cytoskeleton by interacting with the nuclear envelope and with F- actin in the cytoplasm. May be required for centrosome migration to the apical cell surface during early ciliogenesis. {ECO:0000269|PubMed:11792814, ECO:0000269|PubMed:18396275}.; </t>
        </is>
      </c>
      <c r="E711" t="inlineStr">
        <is>
          <t xml:space="preserve">DISEASE: Spinocerebellar ataxia, autosomal recessive, 8 (SCAR8) [MIM:610743]: Spinocerebellar ataxia is a clinically and genetically heterogeneous group of cerebellar disorders. Patients show progressive incoordination of gait and often poor coordination of hands, speech and eye movements, due to degeneration of the cerebellum with variable involvement of the brainstem and spinal cord. SCAR8 is an autosomal recessive form. {ECO:0000269|PubMed:17159980}. Note=The disease is caused by mutations affecting the gene represented in this entry.; DISEASE: Emery-Dreifuss muscular dystrophy 4, autosomal dominant (EDMD4) [MIM:612998]: A form of Emery-Dreifuss muscular dystrophy, a degenerative myopathy characterized by weakness and atrophy of muscle without involvement of the nervous system, early contractures of the elbows, Achilles tendons and spine, and cardiomyopathy associated with cardiac conduction defects. {ECO:0000269|PubMed:17761684}. Note=The disease is caused by mutations affecting the gene represented in this entry.; </t>
        </is>
      </c>
      <c r="F711" t="inlineStr">
        <is>
          <t xml:space="preserve">TISSUE SPECIFICITY: Expressed in HeLa, A431, A172 and HaCaT cells (at protein level). Widely expressed. Highly expressed in skeletal and smooth muscles, heart, spleen, peripheral blood leukocytes, pancreas, cerebellum, stomach, kidney and placenta. Isoform GSRP- 56 is predominantly expressed in heart and skeletal muscle (at protein level). {ECO:0000269|PubMed:11792814, ECO:0000269|PubMed:11801724, ECO:0000269|PubMed:15093733, ECO:0000269|PubMed:16875688, ECO:0000269|PubMed:22518138}.; </t>
        </is>
      </c>
      <c r="G711" t="inlineStr">
        <is>
          <t>lymphoreticular;ovary;skin;bone marrow;retina;prostate;optic nerve;frontal lobe;endometrium;thyroid;germinal center;brain;heart;cartilage;spinal cord;blood;lens;skeletal muscle;breast;visual apparatus;macula lutea;liver;spleen;mammary gland;salivary gland;colon;parathyroid;choroid;fovea centralis;uterus;whole body;cerebral cortex;bone;testis;artery;unclassifiable (Anatomical System);islets of Langerhans;hypothalamus;muscle;lung;adrenal gland;nasopharynx;placenta;hippocampus;hypopharynx;head and neck;kidney;stomach;aorta;cerebellum;</t>
        </is>
      </c>
      <c r="H711" t="inlineStr">
        <is>
          <t>dorsal root ganglion;superior cervical ganglion;medulla oblongata;cerebellum peduncles;atrioventricular node;pons;skeletal muscle;subthalamic nucleus;prefrontal cortex;globus pallidus;appendix;ciliary ganglion;trigeminal ganglion;parietal lobe;cingulate cortex;</t>
        </is>
      </c>
      <c r="I711">
        <f>HYPERLINK("https://omim.org/entry/610743", "610743")</f>
        <v/>
      </c>
      <c r="J711">
        <f>HYPERLINK("https://omim.org/entry/612998", "612998")</f>
        <v/>
      </c>
      <c r="K711" t="inlineStr">
        <is>
          <t>.</t>
        </is>
      </c>
      <c r="L711" t="inlineStr">
        <is>
          <t>.</t>
        </is>
      </c>
      <c r="M711" t="inlineStr">
        <is>
          <t>.</t>
        </is>
      </c>
      <c r="N711" t="inlineStr">
        <is>
          <t>.</t>
        </is>
      </c>
      <c r="O711" t="inlineStr">
        <is>
          <t>.</t>
        </is>
      </c>
    </row>
    <row r="712">
      <c r="A712" t="inlineStr">
        <is>
          <t>SYNE1-AS1</t>
        </is>
      </c>
      <c r="B712" t="inlineStr">
        <is>
          <t>.</t>
        </is>
      </c>
      <c r="C712" t="inlineStr">
        <is>
          <t>SYNE1 antisense RNA 1</t>
        </is>
      </c>
      <c r="D712" t="inlineStr">
        <is>
          <t>.</t>
        </is>
      </c>
      <c r="E712" t="inlineStr">
        <is>
          <t>.</t>
        </is>
      </c>
      <c r="F712" t="inlineStr">
        <is>
          <t>.</t>
        </is>
      </c>
      <c r="G712" t="inlineStr">
        <is>
          <t>.</t>
        </is>
      </c>
      <c r="H712" t="inlineStr">
        <is>
          <t>.</t>
        </is>
      </c>
      <c r="I712" t="inlineStr">
        <is>
          <t>.</t>
        </is>
      </c>
      <c r="J712" t="inlineStr">
        <is>
          <t>.</t>
        </is>
      </c>
      <c r="K712" t="inlineStr">
        <is>
          <t>.</t>
        </is>
      </c>
      <c r="L712" t="inlineStr">
        <is>
          <t>.</t>
        </is>
      </c>
      <c r="M712" t="inlineStr">
        <is>
          <t>.</t>
        </is>
      </c>
      <c r="N712" t="inlineStr">
        <is>
          <t>.</t>
        </is>
      </c>
      <c r="O712" t="inlineStr">
        <is>
          <t>.</t>
        </is>
      </c>
    </row>
    <row r="713">
      <c r="A713" t="inlineStr">
        <is>
          <t>SYT2</t>
        </is>
      </c>
      <c r="B713" t="inlineStr">
        <is>
          <t>0.88781098862506</t>
        </is>
      </c>
      <c r="C713" t="inlineStr">
        <is>
          <t>synaptotagmin 2</t>
        </is>
      </c>
      <c r="D713" t="inlineStr">
        <is>
          <t xml:space="preserve">FUNCTION: Exhibits calcium-dependent phospholipid and inositol polyphosphate binding properties (By similarity). May have a regulatory role in the membrane interactions during trafficking of synaptic vesicles at the active zone of the synapse (By similarity). Plays a role in dendrite formation by melanocytes (PubMed:23999003). {ECO:0000250|UniProtKB:P46097, ECO:0000269|PubMed:23999003}.; </t>
        </is>
      </c>
      <c r="E713" t="inlineStr">
        <is>
          <t xml:space="preserve">DISEASE: Myasthenic syndrome, congenital, 7, presynaptic (CMS7) [MIM:616040]: A form of congenital myasthenic syndrome, a group of disorders characterized by failure of neuromuscular transmission, including pre-synaptic, synaptic, and post-synaptic disorders that are not of autoimmune origin. Clinical features are easy fatigability and muscle weakness. CMS7 is an autosomal dominant, presynaptic disorder resembling Lambert-Eaton myasthenic syndrome. Affected individuals have a variable degree of proximal and distal limb weakness, muscle fatigue that improves with rest, mild gait difficulties, and reduced or absent deep tendon reflexes. {ECO:0000269|PubMed:25192047}. Note=The disease is caused by mutations affecting the gene represented in this entry.; </t>
        </is>
      </c>
      <c r="F713" t="inlineStr">
        <is>
          <t xml:space="preserve">TISSUE SPECIFICITY: Expressed in melanocytes (PubMed:23999003). {ECO:0000269|PubMed:23999003}.; </t>
        </is>
      </c>
      <c r="G713" t="inlineStr">
        <is>
          <t>.</t>
        </is>
      </c>
      <c r="H713" t="inlineStr">
        <is>
          <t>.</t>
        </is>
      </c>
      <c r="I713">
        <f>HYPERLINK("https://omim.org/entry/616040", "616040")</f>
        <v/>
      </c>
      <c r="J713" t="inlineStr">
        <is>
          <t>.</t>
        </is>
      </c>
      <c r="K713" t="inlineStr">
        <is>
          <t>.</t>
        </is>
      </c>
      <c r="L713" t="inlineStr">
        <is>
          <t>.</t>
        </is>
      </c>
      <c r="M713" t="inlineStr">
        <is>
          <t>.</t>
        </is>
      </c>
      <c r="N713" t="inlineStr">
        <is>
          <t>.</t>
        </is>
      </c>
      <c r="O713" t="inlineStr">
        <is>
          <t>.</t>
        </is>
      </c>
    </row>
    <row r="714">
      <c r="A714" t="inlineStr">
        <is>
          <t>SYT8</t>
        </is>
      </c>
      <c r="B714" t="inlineStr">
        <is>
          <t>7.5902706627317e-13</t>
        </is>
      </c>
      <c r="C714" t="inlineStr">
        <is>
          <t>synaptotagmin 8</t>
        </is>
      </c>
      <c r="D714" t="inlineStr">
        <is>
          <t xml:space="preserve">FUNCTION: Isoform 4 may play a role in the trafficking and exocytosis of secretory vesicles in non-neuronal tissues. Mediates Ca(2+)-regulation of exocytosis acrosomal reaction in sperm. May mediate Ca(2+)-regulation of exocytosis in insulin secreted cells (By similarity). {ECO:0000250}.; </t>
        </is>
      </c>
      <c r="E714" t="inlineStr">
        <is>
          <t>.</t>
        </is>
      </c>
      <c r="F714" t="inlineStr">
        <is>
          <t>.</t>
        </is>
      </c>
      <c r="G714" t="inlineStr">
        <is>
          <t>pancreas;lung;thyroid;</t>
        </is>
      </c>
      <c r="H714" t="inlineStr">
        <is>
          <t>superior cervical ganglion;ciliary ganglion;atrioventricular node;skeletal muscle;</t>
        </is>
      </c>
      <c r="I714" t="inlineStr">
        <is>
          <t>.</t>
        </is>
      </c>
      <c r="J714" t="inlineStr">
        <is>
          <t>.</t>
        </is>
      </c>
      <c r="K714" t="inlineStr">
        <is>
          <t>.</t>
        </is>
      </c>
      <c r="L714" t="inlineStr">
        <is>
          <t>.</t>
        </is>
      </c>
      <c r="M714" t="inlineStr">
        <is>
          <t>.</t>
        </is>
      </c>
      <c r="N714" t="inlineStr">
        <is>
          <t>.</t>
        </is>
      </c>
      <c r="O714" t="inlineStr">
        <is>
          <t>.</t>
        </is>
      </c>
    </row>
    <row r="715">
      <c r="A715" t="inlineStr">
        <is>
          <t>TAB2</t>
        </is>
      </c>
      <c r="B715" t="inlineStr">
        <is>
          <t>0.99975796201866</t>
        </is>
      </c>
      <c r="C715" t="inlineStr">
        <is>
          <t>TGF-beta activated kinase 1/MAP3K7 binding protein 2</t>
        </is>
      </c>
      <c r="D715" t="inlineStr">
        <is>
          <t xml:space="preserve">FUNCTION: Adapter linking MAP3K7/TAK1 and TRAF6. Promotes MAP3K7 activation in the IL1 signaling pathway. The binding of 'Lys-63'- linked polyubiquitin chains to TAB2 promotes autophosphorylation of MAP3K7 at 'Thr-187'. Involved in heart development. {ECO:0000269|PubMed:10882101, ECO:0000269|PubMed:11460167, ECO:0000269|PubMed:20493459}.; </t>
        </is>
      </c>
      <c r="E715" t="inlineStr">
        <is>
          <t xml:space="preserve">DISEASE: Congenital heart defects, multiple types, 2 (CHTD2) [MIM:614980]: A disease characterized by congenital developmental abnormalities involving structures of the heart. CHTD2 patients have left ventricular outflow tract obstruction, subaortic stenosis, residual aortic regurgitation, atrial fibrillation, bicuspid aortic valve and aortic dilation. {ECO:0000269|PubMed:20493459}. Note=The disease is caused by mutations affecting the gene represented in this entry. A chromosomal aberration involving TAB2 has been found in a family with congenital heart disease. Translocation t(2;6)(q21;q25).; </t>
        </is>
      </c>
      <c r="F715" t="inlineStr">
        <is>
          <t xml:space="preserve">TISSUE SPECIFICITY: Widely expressed. In the embryo, expressed in the ventricular trabeculae, endothelial cells of the conotruncal cushions of the outflow tract and in the endothelial cells lining the developing aortic valves. {ECO:0000269|PubMed:10882101, ECO:0000269|PubMed:20493459}.; </t>
        </is>
      </c>
      <c r="G715" t="inlineStr">
        <is>
          <t>smooth muscle;ovary;skin;bone marrow;retina;prostate;optic nerve;cochlea;endometrium;thyroid;germinal center;bladder;brain;heart;cartilage;blood;lens;skeletal muscle;breast;visual apparatus;macula lutea;liver;spleen;cervix;mammary gland;peripheral nerve;salivary gland;colon;parathyroid;choroid;fovea centralis;vein;uterus;whole body;larynx;bone;testis;spinal ganglion;artery;pineal gland;unclassifiable (Anatomical System);lymph node;lacrimal gland;islets of Langerhans;hypothalamus;pancreas;lung;placenta;head and neck;kidney;stomach;aorta;</t>
        </is>
      </c>
      <c r="H715" t="inlineStr">
        <is>
          <t>dorsal root ganglion;superior cervical ganglion;globus pallidus;ciliary ganglion;atrioventricular node;pons;trigeminal ganglion;cingulate cortex;skeletal muscle;parietal lobe;cerebellum;</t>
        </is>
      </c>
      <c r="I715">
        <f>HYPERLINK("https://omim.org/entry/614980", "614980")</f>
        <v/>
      </c>
      <c r="J715" t="inlineStr">
        <is>
          <t>.</t>
        </is>
      </c>
      <c r="K715" t="inlineStr">
        <is>
          <t>.</t>
        </is>
      </c>
      <c r="L715" t="inlineStr">
        <is>
          <t>.</t>
        </is>
      </c>
      <c r="M715" t="inlineStr">
        <is>
          <t>.</t>
        </is>
      </c>
      <c r="N715" t="inlineStr">
        <is>
          <t>.</t>
        </is>
      </c>
      <c r="O715" t="inlineStr">
        <is>
          <t>.</t>
        </is>
      </c>
    </row>
    <row r="716">
      <c r="A716" t="inlineStr">
        <is>
          <t>TAC1</t>
        </is>
      </c>
      <c r="B716" t="inlineStr">
        <is>
          <t>0.877314614642078</t>
        </is>
      </c>
      <c r="C716" t="inlineStr">
        <is>
          <t>tachykinin precursor 1</t>
        </is>
      </c>
      <c r="D716" t="inlineStr">
        <is>
          <t xml:space="preserve">FUNCTION: Tachykinins are active peptides which excite neurons, evoke behavioral responses, are potent vasodilators and secretagogues, and contract (directly or indirectly) many smooth muscles.; </t>
        </is>
      </c>
      <c r="E716" t="inlineStr">
        <is>
          <t>.</t>
        </is>
      </c>
      <c r="F716" t="inlineStr">
        <is>
          <t>.</t>
        </is>
      </c>
      <c r="G716" t="inlineStr">
        <is>
          <t>unclassifiable (Anatomical System);cartilage;hypothalamus;substantia nigra;fovea centralis;choroid;lens;retina;optic nerve;whole body;trabecular meshwork;placenta;hippocampus;macula lutea;spleen;kidney;</t>
        </is>
      </c>
      <c r="H716" t="inlineStr">
        <is>
          <t>whole brain;amygdala;dorsal root ganglion;superior cervical ganglion;medulla oblongata;hypothalamus;ciliary ganglion;caudate nucleus;pons;trigeminal ganglion;</t>
        </is>
      </c>
      <c r="I716" t="inlineStr">
        <is>
          <t>.</t>
        </is>
      </c>
      <c r="J716" t="inlineStr">
        <is>
          <t>.</t>
        </is>
      </c>
      <c r="K716" t="inlineStr">
        <is>
          <t>.</t>
        </is>
      </c>
      <c r="L716" t="inlineStr">
        <is>
          <t>.</t>
        </is>
      </c>
      <c r="M716" t="inlineStr">
        <is>
          <t>.</t>
        </is>
      </c>
      <c r="N716" t="inlineStr">
        <is>
          <t>.</t>
        </is>
      </c>
      <c r="O716" t="inlineStr">
        <is>
          <t>.</t>
        </is>
      </c>
    </row>
    <row r="717">
      <c r="A717" t="inlineStr">
        <is>
          <t>TAF1</t>
        </is>
      </c>
      <c r="B717" t="inlineStr">
        <is>
          <t>0.999999755773455</t>
        </is>
      </c>
      <c r="C717" t="inlineStr">
        <is>
          <t>TATA-box binding protein associated factor 1</t>
        </is>
      </c>
      <c r="D717" t="inlineStr">
        <is>
          <t xml:space="preserve">FUNCTION: Largest component and core scaffold of the TFIID basal transcription factor complex. Contains novel N- and C-terminal Ser/Thr kinase domains which can autophosphorylate or transphosphorylate other transcription factors. Phosphorylates TP53 on 'Thr-55' which leads to MDM2-mediated degradation of TP53. Phosphorylates GTF2A1 and GTF2F1 on Ser residues. Possesses DNA- binding activity. Essential for progression of the G1 phase of the cell cycle (PubMed:11278496, PubMed:15053879, PubMed:2038334, PubMed:8450888, PubMed:8625415, PubMed:9660973, PubMed:9858607). Exhibits histone acetyltransferase activity towards histones H3 and H4 (PubMed:15870300). {ECO:0000269|PubMed:11278496, ECO:0000269|PubMed:15053879, ECO:0000269|PubMed:15870300, ECO:0000269|PubMed:2038334, ECO:0000269|PubMed:8450888, ECO:0000269|PubMed:8625415, ECO:0000269|PubMed:9660973, ECO:0000269|PubMed:9858607}.; </t>
        </is>
      </c>
      <c r="E717" t="inlineStr">
        <is>
          <t xml:space="preserve">DISEASE: Dystonia 3, torsion, X-linked (DYT3) [MIM:314250]: A X- linked dystonia-parkinsonism disorder. Dystonia is defined by the presence of sustained involuntary muscle contractions, often leading to abnormal postures. DYT3 is characterized by severe progressive torsion dystonia followed by parkinsonism. It has a well-defined pathology of extensive neuronal loss and mosaic gliosis in the striatum (caudate nucleus and putamen) which appears to resemble that in Huntington disease. {ECO:0000269|PubMed:12928496, ECO:0000269|PubMed:17273961}. Note=The disease is caused by mutations affecting the gene represented in this entry.; </t>
        </is>
      </c>
      <c r="F717" t="inlineStr">
        <is>
          <t>.</t>
        </is>
      </c>
      <c r="G717" t="inlineStr">
        <is>
          <t>unclassifiable (Anatomical System);smooth muscle;colon;skin;retina;breast;uterus;pancreas;prostate;lung;endometrium;larynx;thyroid;placenta;hypopharynx;liver;testis;cervix;head and neck;spleen;germinal center;brain;peripheral nerve;thymus;</t>
        </is>
      </c>
      <c r="H717" t="inlineStr">
        <is>
          <t>superior cervical ganglion;globus pallidus;pons;trigeminal ganglion;skeletal muscle;</t>
        </is>
      </c>
      <c r="I717">
        <f>HYPERLINK("https://omim.org/entry/314250", "314250")</f>
        <v/>
      </c>
      <c r="J717" t="inlineStr">
        <is>
          <t>.</t>
        </is>
      </c>
      <c r="K717" t="inlineStr">
        <is>
          <t>.</t>
        </is>
      </c>
      <c r="L717" t="inlineStr">
        <is>
          <t>.</t>
        </is>
      </c>
      <c r="M717" t="inlineStr">
        <is>
          <t>.</t>
        </is>
      </c>
      <c r="N717" t="inlineStr">
        <is>
          <t>.</t>
        </is>
      </c>
      <c r="O717" t="inlineStr">
        <is>
          <t>.</t>
        </is>
      </c>
    </row>
    <row r="718">
      <c r="A718" t="inlineStr">
        <is>
          <t>TAF4</t>
        </is>
      </c>
      <c r="B718" t="inlineStr">
        <is>
          <t>0.999487085673133</t>
        </is>
      </c>
      <c r="C718" t="inlineStr">
        <is>
          <t>TATA-box binding protein associated factor 4</t>
        </is>
      </c>
      <c r="D718" t="inlineStr">
        <is>
          <t xml:space="preserve">FUNCTION: Part of the TFIID complex, a multimeric protein complex that plays a central role in mediating promoter responses to various activators and repressors. Potentiates transcriptional activation by the AF-2S of the retinoic acid, vitamin D3 and thyroid hormone.; </t>
        </is>
      </c>
      <c r="E718" t="inlineStr">
        <is>
          <t>.</t>
        </is>
      </c>
      <c r="F718" t="inlineStr">
        <is>
          <t>.</t>
        </is>
      </c>
      <c r="G718" t="inlineStr">
        <is>
          <t>ovary;colon;parathyroid;skin;retina;bone marrow;uterus;whole body;cochlea;endometrium;larynx;bone;testis;germinal center;brain;unclassifiable (Anatomical System);cartilage;tongue;muscle;blood;pancreas;lung;placenta;visual apparatus;liver;spleen;head and neck;kidney;mammary gland;aorta;cerebellum;</t>
        </is>
      </c>
      <c r="H718" t="inlineStr">
        <is>
          <t>dorsal root ganglion;superior cervical ganglion;ciliary ganglion;pons;atrioventricular node;trigeminal ganglion;skeletal muscle;</t>
        </is>
      </c>
      <c r="I718" t="inlineStr">
        <is>
          <t>.</t>
        </is>
      </c>
      <c r="J718" t="inlineStr">
        <is>
          <t>.</t>
        </is>
      </c>
      <c r="K718" t="inlineStr">
        <is>
          <t>.</t>
        </is>
      </c>
      <c r="L718" t="inlineStr">
        <is>
          <t>.</t>
        </is>
      </c>
      <c r="M718" t="inlineStr">
        <is>
          <t>.</t>
        </is>
      </c>
      <c r="N718" t="inlineStr">
        <is>
          <t>.</t>
        </is>
      </c>
      <c r="O718" t="inlineStr">
        <is>
          <t>.</t>
        </is>
      </c>
    </row>
    <row r="719">
      <c r="A719" t="inlineStr">
        <is>
          <t>TAF8</t>
        </is>
      </c>
      <c r="B719" t="inlineStr">
        <is>
          <t>3.04223621180909e-09</t>
        </is>
      </c>
      <c r="C719" t="inlineStr">
        <is>
          <t>TATA-box binding protein associated factor 8</t>
        </is>
      </c>
      <c r="D719" t="inlineStr">
        <is>
          <t xml:space="preserve">FUNCTION: Transcription factor TFIID is one of the general factors required for accurate and regulated initiation by RNA polymerase II. Mediates both basal and activator-dependent transcription. Plays a role in the differentiation of preadipocyte fibroblasts to adipocytes, however, does not seem to play a role in differentiation of myoblasts. Required for the integration of TAF10 in the TAF complex. May be important for survival of cells of the inner cell mass which constitute the pluripotent cell population of the early embryo (By similarity). {ECO:0000250, ECO:0000269|PubMed:14580349}.; </t>
        </is>
      </c>
      <c r="E719" t="inlineStr">
        <is>
          <t>.</t>
        </is>
      </c>
      <c r="F719" t="inlineStr">
        <is>
          <t>.</t>
        </is>
      </c>
      <c r="G719" t="inlineStr">
        <is>
          <t>.</t>
        </is>
      </c>
      <c r="H719" t="inlineStr">
        <is>
          <t>.</t>
        </is>
      </c>
      <c r="I719" t="inlineStr">
        <is>
          <t>.</t>
        </is>
      </c>
      <c r="J719" t="inlineStr">
        <is>
          <t>.</t>
        </is>
      </c>
      <c r="K719" t="inlineStr">
        <is>
          <t>.</t>
        </is>
      </c>
      <c r="L719" t="inlineStr">
        <is>
          <t>.</t>
        </is>
      </c>
      <c r="M719" t="inlineStr">
        <is>
          <t>.</t>
        </is>
      </c>
      <c r="N719" t="inlineStr">
        <is>
          <t>.</t>
        </is>
      </c>
      <c r="O719" t="inlineStr">
        <is>
          <t>.</t>
        </is>
      </c>
    </row>
    <row r="720">
      <c r="A720" t="inlineStr">
        <is>
          <t>TAS2R30</t>
        </is>
      </c>
      <c r="B720" t="inlineStr">
        <is>
          <t>0.00170314797923996</t>
        </is>
      </c>
      <c r="C720" t="inlineStr">
        <is>
          <t>taste 2 receptor member 30</t>
        </is>
      </c>
      <c r="D720" t="inlineStr">
        <is>
          <t xml:space="preserve">FUNCTION: Receptor that may play a role in the perception of bitterness and is gustducin-linked. May play a role in sensing the chemical composition of the gastrointestinal content. The activity of this receptor may stimulate alpha gustducin, mediate PLC-beta-2 activation and lead to the gating of TRPM5 (By similarity). {ECO:0000250}.; </t>
        </is>
      </c>
      <c r="E720" t="inlineStr">
        <is>
          <t>.</t>
        </is>
      </c>
      <c r="F720" t="inlineStr">
        <is>
          <t xml:space="preserve">TISSUE SPECIFICITY: Expressed in subsets of taste receptor cells of the tongue and exclusively in gustducin-positive cells.; </t>
        </is>
      </c>
      <c r="G720" t="inlineStr">
        <is>
          <t>.</t>
        </is>
      </c>
      <c r="H720" t="inlineStr">
        <is>
          <t>.</t>
        </is>
      </c>
      <c r="I720" t="inlineStr">
        <is>
          <t>.</t>
        </is>
      </c>
      <c r="J720" t="inlineStr">
        <is>
          <t>.</t>
        </is>
      </c>
      <c r="K720" t="inlineStr">
        <is>
          <t>.</t>
        </is>
      </c>
      <c r="L720" t="inlineStr">
        <is>
          <t>.</t>
        </is>
      </c>
      <c r="M720" t="inlineStr">
        <is>
          <t>.</t>
        </is>
      </c>
      <c r="N720" t="inlineStr">
        <is>
          <t>.</t>
        </is>
      </c>
      <c r="O720" t="inlineStr">
        <is>
          <t>.</t>
        </is>
      </c>
    </row>
    <row r="721">
      <c r="A721" t="inlineStr">
        <is>
          <t>TAT</t>
        </is>
      </c>
      <c r="B721" t="inlineStr">
        <is>
          <t>0.0214384440123944</t>
        </is>
      </c>
      <c r="C721" t="inlineStr">
        <is>
          <t>tyrosine aminotransferase</t>
        </is>
      </c>
      <c r="D721" t="inlineStr">
        <is>
          <t xml:space="preserve">FUNCTION: Transaminase involved in tyrosine breakdown. Converts tyrosine to p-hydroxyphenylpyruvate. Can catalyze the reverse reaction, using glutamic acid, with 2-oxoglutarate as cosubstrate (in vitro). Has much lower affinity and transaminase activity towards phenylalanine. {ECO:0000269|PubMed:16640556, ECO:0000269|PubMed:7999802}.; </t>
        </is>
      </c>
      <c r="E721" t="inlineStr">
        <is>
          <t xml:space="preserve">DISEASE: Tyrosinemia 2 (TYRSN2) [MIM:276600]: An inborn error of metabolism characterized by elevations of tyrosine in the blood and urine, and oculocutaneous manifestations. Typical features include palmoplantar keratosis, painful corneal ulcers, and mental retardation. {ECO:0000269|PubMed:1357662}. Note=The disease is caused by mutations affecting the gene represented in this entry.; </t>
        </is>
      </c>
      <c r="F721" t="inlineStr">
        <is>
          <t>.</t>
        </is>
      </c>
      <c r="G721" t="inlineStr">
        <is>
          <t>unclassifiable (Anatomical System);breast;lung;liver;testis;mammary gland;skeletal muscle;</t>
        </is>
      </c>
      <c r="H721" t="inlineStr">
        <is>
          <t>dorsal root ganglion;superior cervical ganglion;testis - interstitial;liver;globus pallidus;ciliary ganglion;atrioventricular node;trigeminal ganglion;skeletal muscle;</t>
        </is>
      </c>
      <c r="I721">
        <f>HYPERLINK("https://omim.org/entry/276600", "276600")</f>
        <v/>
      </c>
      <c r="J721" t="inlineStr">
        <is>
          <t>.</t>
        </is>
      </c>
      <c r="K721" t="inlineStr">
        <is>
          <t>.</t>
        </is>
      </c>
      <c r="L721" t="inlineStr">
        <is>
          <t>.</t>
        </is>
      </c>
      <c r="M721" t="inlineStr">
        <is>
          <t>.</t>
        </is>
      </c>
      <c r="N721" t="inlineStr">
        <is>
          <t>.</t>
        </is>
      </c>
      <c r="O721" t="inlineStr">
        <is>
          <t>.</t>
        </is>
      </c>
    </row>
    <row r="722">
      <c r="A722" t="inlineStr">
        <is>
          <t>TAT-AS1</t>
        </is>
      </c>
      <c r="B722" t="inlineStr">
        <is>
          <t>.</t>
        </is>
      </c>
      <c r="C722" t="inlineStr">
        <is>
          <t>TAT antisense RNA 1</t>
        </is>
      </c>
      <c r="D722" t="inlineStr">
        <is>
          <t>.</t>
        </is>
      </c>
      <c r="E722" t="inlineStr">
        <is>
          <t>.</t>
        </is>
      </c>
      <c r="F722" t="inlineStr">
        <is>
          <t>.</t>
        </is>
      </c>
      <c r="G722" t="inlineStr">
        <is>
          <t>.</t>
        </is>
      </c>
      <c r="H722" t="inlineStr">
        <is>
          <t>.</t>
        </is>
      </c>
      <c r="I722" t="inlineStr">
        <is>
          <t>.</t>
        </is>
      </c>
      <c r="J722" t="inlineStr">
        <is>
          <t>.</t>
        </is>
      </c>
      <c r="K722" t="inlineStr">
        <is>
          <t>.</t>
        </is>
      </c>
      <c r="L722" t="inlineStr">
        <is>
          <t>.</t>
        </is>
      </c>
      <c r="M722" t="inlineStr">
        <is>
          <t>.</t>
        </is>
      </c>
      <c r="N722" t="inlineStr">
        <is>
          <t>.</t>
        </is>
      </c>
      <c r="O722" t="inlineStr">
        <is>
          <t>.</t>
        </is>
      </c>
    </row>
    <row r="723">
      <c r="A723" t="inlineStr">
        <is>
          <t>TAX1BP3</t>
        </is>
      </c>
      <c r="B723" t="inlineStr">
        <is>
          <t>0.00234803255540852</t>
        </is>
      </c>
      <c r="C723" t="inlineStr">
        <is>
          <t>Tax1 binding protein 3</t>
        </is>
      </c>
      <c r="D723" t="inlineStr">
        <is>
          <t xml:space="preserve">FUNCTION: May regulate a number of protein-protein interactions by competing for PDZ domain binding sites. Binds CTNNB1 and may thereby act as an inhibitor of the Wnt signaling pathway. Competes with LIN7A for KCNJ4 binding, and thereby promotes KCNJ4 internalization. May play a role in the Rho signaling pathway. May play a role in activation of CDC42 by the viral protein HPV16 E6. {ECO:0000269|PubMed:10940294, ECO:0000269|PubMed:16855024, ECO:0000269|PubMed:21139582}.; </t>
        </is>
      </c>
      <c r="E723" t="inlineStr">
        <is>
          <t>.</t>
        </is>
      </c>
      <c r="F723" t="inlineStr">
        <is>
          <t xml:space="preserve">TISSUE SPECIFICITY: Ubiquitous. Detected in brain, heart, kidney, lung, small intestine and skeletal muscle. Detected in various cell lines including HeLa. Weakly expressed in peripheral blood leukocytes. {ECO:0000269|PubMed:10940294, ECO:0000269|PubMed:16855024, ECO:0000269|PubMed:25645515}.; </t>
        </is>
      </c>
      <c r="G723" t="inlineStr">
        <is>
          <t>medulla oblongata;ovary;salivary gland;colon;choroid;vein;skin;retina;uterus;prostate;optic nerve;whole body;cochlea;endometrium;bone;testis;germinal center;brain;bladder;unclassifiable (Anatomical System);trophoblast;lymph node;cartilage;heart;tongue;islets of Langerhans;skeletal muscle;breast;bile duct;pancreas;lung;placenta;visual apparatus;hippocampus;liver;spleen;head and neck;cervix;kidney;mammary gland;stomach;aorta;</t>
        </is>
      </c>
      <c r="H723" t="inlineStr">
        <is>
          <t>dorsal root ganglion;olfactory bulb;lung;heart;adrenal gland;placenta;</t>
        </is>
      </c>
      <c r="I723" t="inlineStr">
        <is>
          <t>.</t>
        </is>
      </c>
      <c r="J723" t="inlineStr">
        <is>
          <t>.</t>
        </is>
      </c>
      <c r="K723" t="inlineStr">
        <is>
          <t>.</t>
        </is>
      </c>
      <c r="L723" t="inlineStr">
        <is>
          <t>.</t>
        </is>
      </c>
      <c r="M723" t="inlineStr">
        <is>
          <t>.</t>
        </is>
      </c>
      <c r="N723" t="inlineStr">
        <is>
          <t>.</t>
        </is>
      </c>
      <c r="O723" t="inlineStr">
        <is>
          <t>.</t>
        </is>
      </c>
    </row>
    <row r="724">
      <c r="A724" t="inlineStr">
        <is>
          <t>TBK1</t>
        </is>
      </c>
      <c r="B724" t="inlineStr">
        <is>
          <t>0.995096971403116</t>
        </is>
      </c>
      <c r="C724" t="inlineStr">
        <is>
          <t>TANK binding kinase 1</t>
        </is>
      </c>
      <c r="D724" t="inlineStr">
        <is>
          <t xml:space="preserve">FUNCTION: Serine/threonine kinase that plays an essential role in regulating inflammatory responses to foreign agents. Following activation of toll-like receptors by viral or bacterial components, associates with TRAF3 and TANK and phosphorylates interferon regulatory factors (IRFs) IRF3 and IRF7 as well as DDX3X. This activity allows subsequent homodimerization and nuclear translocation of the IRFs leading to transcriptional activation of pro-inflammatory and antiviral genes including IFNA and IFNB. In order to establish such an antiviral state, TBK1 form several different complexes whose composition depends on the type of cell and cellular stimuli. Thus, several scaffolding molecules including FADD, TRADD, MAVS, AZI2, TANK or TBKBP1/SINTBAD can be recruited to the TBK1-containing-complexes. Under particular conditions, functions as a NF-kappa-B effector by phosphorylating NF-kappa-B inhibitor alpha/NFKBIA, IKBKB or RELA to translocate NF-Kappa-B to the nucleus. Restricts bacterial proliferation by phosphorylating the autophagy receptor OPTN/Optineurin on 'Ser- 177', thus enhancing LC3 binding affinity and antibacterial autophagy. Phosphorylates and activates AKT1. Seems to play a role in energy balance regulation by sustaining a state of chronic, low-grade inflammation in obesity, wich leads to a negative impact on insulin sensitivity. Attenuates retroviral budding by phosphorylating the endosomal sorting complex required for transport-I (ESCRT-I) subunit VPS37C. Phosphorylates Borna disease virus (BDV) P protein. {ECO:0000269|PubMed:10581243, ECO:0000269|PubMed:10783893, ECO:0000269|PubMed:11839743, ECO:0000269|PubMed:12692549, ECO:0000269|PubMed:12702806, ECO:0000269|PubMed:14703513, ECO:0000269|PubMed:15367631, ECO:0000269|PubMed:15485837, ECO:0000269|PubMed:15489227, ECO:0000269|PubMed:18583960, ECO:0000269|PubMed:21138416, ECO:0000269|PubMed:21270402, ECO:0000269|PubMed:21464307, ECO:0000269|PubMed:21617041, ECO:0000269|PubMed:21931631, ECO:0000269|PubMed:23453971, ECO:0000269|PubMed:23453972, ECO:0000269|PubMed:23746807}.; </t>
        </is>
      </c>
      <c r="E724" t="inlineStr">
        <is>
          <t xml:space="preserve">DISEASE: Glaucoma 1, open angle, P (GLC1P) [MIM:177700]: A form of primary open angle glaucoma (POAG). POAG is characterized by a specific pattern of optic nerve and visual field defects. The angle of the anterior chamber of the eye is open, and usually the intraocular pressure is increased. However, glaucoma can occur at any intraocular pressure. The disease is generally asymptomatic until the late stages, by which time significant and irreversible optic nerve damage has already taken place. GLC1P is characterized by early onset, thin central corneas and low intraocular pressure. {ECO:0000269|PubMed:21447600, ECO:0000269|PubMed:22306015}. Note=The disease may be caused by mutations affecting the gene represented in this entry. A copy number variation on chromosome 12q14 consisting of a 300 kb duplication that includes TBK1, XPOT, RASSF3 and GNS has been found in individuals affected by glaucoma. TBK1 is the most likely candidate for the disorder (PubMed:21447600). {ECO:0000269|PubMed:21447600}.; DISEASE: Frontotemporal dementia and/or amyotrophic lateral sclerosis 4 (FTDALS4) [MIM:616439]: A neurodegenerative disorder characterized by frontotemporal dementia and/or amyotrophic lateral sclerosis in affected individuals. There is high intrafamilial variation. Frontotemporal dementia is characterized by frontal and temporal lobe atrophy associated with neuronal loss, gliosis, and dementia. Patients exhibit progressive changes in social, behavioral, and/or language function. Amyotrophic lateral sclerosis is characterized by the death of motor neurons in the brain, brainstem, and spinal cord, resulting in fatal paralysis. {ECO:0000269|PubMed:25803835, ECO:0000269|PubMed:25943890}. Note=The disease is caused by mutations affecting the gene represented in this entry.; </t>
        </is>
      </c>
      <c r="F724" t="inlineStr">
        <is>
          <t xml:space="preserve">TISSUE SPECIFICITY: Ubiquitous with higher expression in testis. Expressed in the ganglion cells, nerve fiber layer and microvasculature of the retina. {ECO:0000269|PubMed:10783893, ECO:0000269|PubMed:21447600}.; </t>
        </is>
      </c>
      <c r="G724" t="inlineStr">
        <is>
          <t>myocardium;ovary;salivary gland;sympathetic chain;intestine;colon;parathyroid;skin;bone marrow;uterus;prostate;whole body;cochlea;bone;testis;germinal center;brain;bladder;unclassifiable (Anatomical System);lymph node;cartilage;heart;islets of Langerhans;hypothalamus;pharynx;blood;skeletal muscle;breast;bile duct;pancreas;lung;nasopharynx;placenta;visual apparatus;alveolus;liver;cervix;kidney;mammary gland;stomach;</t>
        </is>
      </c>
      <c r="H724" t="inlineStr">
        <is>
          <t>testis - interstitial;superior cervical ganglion;testis - seminiferous tubule;testis;ciliary ganglion;trigeminal ganglion;</t>
        </is>
      </c>
      <c r="I724">
        <f>HYPERLINK("https://omim.org/entry/177700", "177700")</f>
        <v/>
      </c>
      <c r="J724">
        <f>HYPERLINK("https://omim.org/entry/616439", "616439")</f>
        <v/>
      </c>
      <c r="K724" t="inlineStr">
        <is>
          <t>.</t>
        </is>
      </c>
      <c r="L724" t="inlineStr">
        <is>
          <t>.</t>
        </is>
      </c>
      <c r="M724" t="inlineStr">
        <is>
          <t>.</t>
        </is>
      </c>
      <c r="N724" t="inlineStr">
        <is>
          <t>.</t>
        </is>
      </c>
      <c r="O724" t="inlineStr">
        <is>
          <t>.</t>
        </is>
      </c>
    </row>
    <row r="725">
      <c r="A725" t="inlineStr">
        <is>
          <t>TBR1</t>
        </is>
      </c>
      <c r="B725" t="inlineStr">
        <is>
          <t>0.993588037464593</t>
        </is>
      </c>
      <c r="C725" t="inlineStr">
        <is>
          <t>T-box, brain 1</t>
        </is>
      </c>
      <c r="D725" t="inlineStr">
        <is>
          <t xml:space="preserve">FUNCTION: Probable transcriptional regulator involved in developmental processes. Required for normal brain development.; </t>
        </is>
      </c>
      <c r="E725" t="inlineStr">
        <is>
          <t>.</t>
        </is>
      </c>
      <c r="F725" t="inlineStr">
        <is>
          <t xml:space="preserve">TISSUE SPECIFICITY: Brain.; </t>
        </is>
      </c>
      <c r="G725" t="inlineStr">
        <is>
          <t>.</t>
        </is>
      </c>
      <c r="H725" t="inlineStr">
        <is>
          <t>.</t>
        </is>
      </c>
      <c r="I725" t="inlineStr">
        <is>
          <t>.</t>
        </is>
      </c>
      <c r="J725" t="inlineStr">
        <is>
          <t>.</t>
        </is>
      </c>
      <c r="K725" t="inlineStr">
        <is>
          <t>.</t>
        </is>
      </c>
      <c r="L725" t="inlineStr">
        <is>
          <t>.</t>
        </is>
      </c>
      <c r="M725" t="inlineStr">
        <is>
          <t>.</t>
        </is>
      </c>
      <c r="N725" t="inlineStr">
        <is>
          <t>.</t>
        </is>
      </c>
      <c r="O725" t="inlineStr">
        <is>
          <t>.</t>
        </is>
      </c>
    </row>
    <row r="726">
      <c r="A726" t="inlineStr">
        <is>
          <t>TDO2</t>
        </is>
      </c>
      <c r="B726" t="inlineStr">
        <is>
          <t>1.52467035320059e-08</t>
        </is>
      </c>
      <c r="C726" t="inlineStr">
        <is>
          <t>tryptophan 2,3-dioxygenase</t>
        </is>
      </c>
      <c r="D726" t="inlineStr">
        <is>
          <t xml:space="preserve">FUNCTION: Incorporates oxygen into the indole moiety of tryptophan. Has a broad specificity towards tryptamine and derivatives including D- and L-tryptophan, 5-hydroxytryptophan and serotonin (By similarity). {ECO:0000250}.; </t>
        </is>
      </c>
      <c r="E726" t="inlineStr">
        <is>
          <t>.</t>
        </is>
      </c>
      <c r="F726" t="inlineStr">
        <is>
          <t>.</t>
        </is>
      </c>
      <c r="G726" t="inlineStr">
        <is>
          <t>.</t>
        </is>
      </c>
      <c r="H726" t="inlineStr">
        <is>
          <t>.</t>
        </is>
      </c>
      <c r="I726" t="inlineStr">
        <is>
          <t>.</t>
        </is>
      </c>
      <c r="J726" t="inlineStr">
        <is>
          <t>.</t>
        </is>
      </c>
      <c r="K726" t="inlineStr">
        <is>
          <t>.</t>
        </is>
      </c>
      <c r="L726" t="inlineStr">
        <is>
          <t>.</t>
        </is>
      </c>
      <c r="M726" t="inlineStr">
        <is>
          <t>.</t>
        </is>
      </c>
      <c r="N726" t="inlineStr">
        <is>
          <t>.</t>
        </is>
      </c>
      <c r="O726" t="inlineStr">
        <is>
          <t>.</t>
        </is>
      </c>
    </row>
    <row r="727">
      <c r="A727" t="inlineStr">
        <is>
          <t>TDRD12</t>
        </is>
      </c>
      <c r="B727" t="inlineStr">
        <is>
          <t>.</t>
        </is>
      </c>
      <c r="C727" t="inlineStr">
        <is>
          <t>tudor domain containing 12</t>
        </is>
      </c>
      <c r="D727" t="inlineStr">
        <is>
          <t xml:space="preserve">FUNCTION: Probable ATP-binding RNA helicase required during spermatogenesis to repress transposable elements and preventing their mobilization, which is essential for the germline integrity. Acts via the piRNA metabolic process, which mediates the repression of transposable elements during meiosis by forming complexes composed of piRNAs and Piwi proteins and governs the methylation and subsequent repression of transposons. Involved in the secondary piRNAs metabolic process (By similarity). {ECO:0000250}.; </t>
        </is>
      </c>
      <c r="E727" t="inlineStr">
        <is>
          <t>.</t>
        </is>
      </c>
      <c r="F727" t="inlineStr">
        <is>
          <t>.</t>
        </is>
      </c>
      <c r="G727" t="inlineStr">
        <is>
          <t>.</t>
        </is>
      </c>
      <c r="H727" t="inlineStr">
        <is>
          <t>.</t>
        </is>
      </c>
      <c r="I727" t="inlineStr">
        <is>
          <t>.</t>
        </is>
      </c>
      <c r="J727" t="inlineStr">
        <is>
          <t>.</t>
        </is>
      </c>
      <c r="K727" t="inlineStr">
        <is>
          <t>.</t>
        </is>
      </c>
      <c r="L727" t="inlineStr">
        <is>
          <t>.</t>
        </is>
      </c>
      <c r="M727" t="inlineStr">
        <is>
          <t>.</t>
        </is>
      </c>
      <c r="N727" t="inlineStr">
        <is>
          <t>.</t>
        </is>
      </c>
      <c r="O727" t="inlineStr">
        <is>
          <t>.</t>
        </is>
      </c>
    </row>
    <row r="728">
      <c r="A728" t="inlineStr">
        <is>
          <t>TEKT4</t>
        </is>
      </c>
      <c r="B728" t="inlineStr">
        <is>
          <t>2.56100307685227e-11</t>
        </is>
      </c>
      <c r="C728" t="inlineStr">
        <is>
          <t>tektin 4</t>
        </is>
      </c>
      <c r="D728" t="inlineStr">
        <is>
          <t xml:space="preserve">FUNCTION: Structural component of ciliary and flagellar microtubules. Forms filamentous polymers in the walls of ciliary and flagellar microtubules (By similarity). {ECO:0000250}.; </t>
        </is>
      </c>
      <c r="E728" t="inlineStr">
        <is>
          <t>.</t>
        </is>
      </c>
      <c r="F728" t="inlineStr">
        <is>
          <t>.</t>
        </is>
      </c>
      <c r="G728" t="inlineStr">
        <is>
          <t>unclassifiable (Anatomical System);heart;ovary;blood;parathyroid;skin;retina;uterus;lung;endometrium;placenta;liver;testis;spleen;kidney;</t>
        </is>
      </c>
      <c r="H728" t="inlineStr">
        <is>
          <t>dorsal root ganglion;superior cervical ganglion;testis;pons;trigeminal ganglion;</t>
        </is>
      </c>
      <c r="I728" t="inlineStr">
        <is>
          <t>.</t>
        </is>
      </c>
      <c r="J728" t="inlineStr">
        <is>
          <t>.</t>
        </is>
      </c>
      <c r="K728" t="inlineStr">
        <is>
          <t>.</t>
        </is>
      </c>
      <c r="L728" t="inlineStr">
        <is>
          <t>.</t>
        </is>
      </c>
      <c r="M728" t="inlineStr">
        <is>
          <t>.</t>
        </is>
      </c>
      <c r="N728" t="inlineStr">
        <is>
          <t>.</t>
        </is>
      </c>
      <c r="O728" t="inlineStr">
        <is>
          <t>.</t>
        </is>
      </c>
    </row>
    <row r="729">
      <c r="A729" t="inlineStr">
        <is>
          <t>TENM2</t>
        </is>
      </c>
      <c r="B729" t="inlineStr">
        <is>
          <t>0.999951089930002</t>
        </is>
      </c>
      <c r="C729" t="inlineStr">
        <is>
          <t>teneurin transmembrane protein 2</t>
        </is>
      </c>
      <c r="D729" t="inlineStr">
        <is>
          <t xml:space="preserve">FUNCTION: Involved in neural development, regulating the establishment of proper connectivity within the nervous system. Promotes the formation of filopodia and enlarged growth cone in neuronal cells. Induces homophilic cell-cell adhesion (By similarity). May function as a cellular signal transducer. {ECO:0000250, ECO:0000269|PubMed:21724987}.; FUNCTION: Ten-2 intracellular domain: Induces gene transcription inhibition. {ECO:0000250}.; </t>
        </is>
      </c>
      <c r="E729" t="inlineStr">
        <is>
          <t>.</t>
        </is>
      </c>
      <c r="F729" t="inlineStr">
        <is>
          <t xml:space="preserve">TISSUE SPECIFICITY: Highly expressed in heart, followed by brain, liver, kidney and fetal brain and weakly expressed in lung and testis. No expression was detected in skeletal muscle, pancreas, spleen, ovary and fetal liver. {ECO:0000269|PubMed:10574461}.; </t>
        </is>
      </c>
      <c r="G729" t="inlineStr">
        <is>
          <t>.</t>
        </is>
      </c>
      <c r="H729" t="inlineStr">
        <is>
          <t>.</t>
        </is>
      </c>
      <c r="I729" t="inlineStr">
        <is>
          <t>.</t>
        </is>
      </c>
      <c r="J729" t="inlineStr">
        <is>
          <t>.</t>
        </is>
      </c>
      <c r="K729" t="inlineStr">
        <is>
          <t>.</t>
        </is>
      </c>
      <c r="L729" t="inlineStr">
        <is>
          <t>.</t>
        </is>
      </c>
      <c r="M729" t="inlineStr">
        <is>
          <t>.</t>
        </is>
      </c>
      <c r="N729" t="inlineStr">
        <is>
          <t>.</t>
        </is>
      </c>
      <c r="O729" t="inlineStr">
        <is>
          <t>.</t>
        </is>
      </c>
    </row>
    <row r="730">
      <c r="A730" t="inlineStr">
        <is>
          <t>TET2</t>
        </is>
      </c>
      <c r="B730" t="inlineStr">
        <is>
          <t>7.05368251291393e-26</t>
        </is>
      </c>
      <c r="C730" t="inlineStr">
        <is>
          <t>tet methylcytosine dioxygenase 2</t>
        </is>
      </c>
      <c r="D730" t="inlineStr">
        <is>
          <t xml:space="preserve">FUNCTION: Dioxygenase that catalyzes the conversion of the modified genomic base 5-methylcytosine (5mC) into 5- hydroxymethylcytosine (5hmC) and plays a key role in active DNA demethylation. Has a preference for 5-hydroxymethylcytosine in CpG motifs. Also mediates subsequent conversion of 5hmC into 5- formylcytosine (5fC), and conversion of 5fC to 5-carboxylcytosine (5caC). Conversion of 5mC into 5hmC, 5fC and 5caC probably constitutes the first step in cytosine demethylation. Methylation at the C5 position of cytosine bases is an epigenetic modification of the mammalian genome which plays an important role in transcriptional regulation. In addition to its role in DNA demethylation, also involved in the recruitment of the O-GlcNAc transferase OGT to CpG-rich transcription start sites of active genes, thereby promoting histone H2B GlcNAcylation by OGT. {ECO:0000269|PubMed:19483684, ECO:0000269|PubMed:21057493, ECO:0000269|PubMed:21817016, ECO:0000269|PubMed:23222540, ECO:0000269|PubMed:23353889, ECO:0000269|PubMed:24315485}.; </t>
        </is>
      </c>
      <c r="E730" t="inlineStr">
        <is>
          <t xml:space="preserve">DISEASE: Note=TET2 is frequently mutated in myeloproliferative disorders (MPD). These constitute a heterogeneous group of disorders, also known as myeloproliferative diseases or myeloproliferative neoplasms (MPN), characterized by cellular proliferation of one or more hematologic cell lines in the peripheral blood, distinct from acute leukemia. Included diseases are: essential thrombocythemia, polycythemia vera, primary myelofibrosis (chronic idiopathic myelofibrosis). Bone marrow samples from patients display uniformly low levels of hmC in genomic DNA compared to bone marrow samples from healthy controls as well as hypomethylation relative to controls at the majority of differentially methylated CpG sites.; DISEASE: Polycythemia vera (PV) [MIM:263300]: A myeloproliferative disorder characterized by abnormal proliferation of all hematopoietic bone marrow elements, erythroid hyperplasia, an absolute increase in total blood volume, but also by myeloid leukocytosis, thrombocytosis and splenomegaly. Note=The disease is caused by mutations affecting the gene represented in this entry.; DISEASE: Note=TET2 is frequently mutated in systemic mastocytosis; also known as systemic mast cell disease. A condition with features in common with myeloproliferative diseases. It is a clonal disorder of the mast cell and its precursor cells. The clinical symptoms and signs of systemic mastocytosis are due to accumulation of clonally derived mast cells in different tissues, including bone marrow, skin, the gastrointestinal tract, the liver, and the spleen.; DISEASE: Myelodysplastic syndrome (MDS) [MIM:614286]: A heterogeneous group of closely related clonal hematopoietic disorders. All are characterized by a hypercellular or hypocellular bone marrow with impaired morphology and maturation, dysplasia of the myeloid, megakaryocytic and/or erythroid lineages, and peripheral blood cytopenias resulting from ineffective blood cell production. Included diseases are: refractory anemia (RA), refractory anemia with ringed sideroblasts (RARS), refractory anemia with excess blasts (RAEB), refractory cytopenia with multilineage dysplasia and ringed sideroblasts (RCMD-RS); chronic myelomonocytic leukemia (CMML) is a myelodysplastic/myeloproliferative disease. MDS is considered a premalignant condition in a subgroup of patients that often progresses to acute myeloid leukemia (AML). {ECO:0000269|PubMed:19372255, ECO:0000269|PubMed:19483684, ECO:0000269|PubMed:21057493}. Note=The disease is caused by mutations affecting the gene represented in this entry. Bone marrow samples from patients display uniformly low levels of hmC in genomic DNA compared to bone marrow samples from healthy controls as well as hypomethylation relative to controls at the majority of differentially methylated CpG sites.; </t>
        </is>
      </c>
      <c r="F730" t="inlineStr">
        <is>
          <t xml:space="preserve">TISSUE SPECIFICITY: Broadly expressed. Highly expressed in hematopoietic cells; highest expression observed in granulocytes. Expression is reduced in granulocytes from peripheral blood of patients affected by myelodysplastic syndromes. {ECO:0000269|PubMed:12646957, ECO:0000269|PubMed:19483684}.; </t>
        </is>
      </c>
      <c r="G730" t="inlineStr">
        <is>
          <t>ovary;parathyroid;retina;bone marrow;uterus;prostate;frontal lobe;cochlea;endometrium;larynx;testis;germinal center;brain;unclassifiable (Anatomical System);cartilage;heart;tongue;islets of Langerhans;blood;skeletal muscle;breast;lung;placenta;liver;hypopharynx;spleen;head and neck;kidney;stomach;</t>
        </is>
      </c>
      <c r="H730" t="inlineStr">
        <is>
          <t>subthalamic nucleus;superior cervical ganglion;globus pallidus;ciliary ganglion;atrioventricular node;pons;whole blood;trigeminal ganglion;skeletal muscle;</t>
        </is>
      </c>
      <c r="I730">
        <f>HYPERLINK("https://omim.org/entry/263300", "263300")</f>
        <v/>
      </c>
      <c r="J730">
        <f>HYPERLINK("https://omim.org/entry/614286", "614286")</f>
        <v/>
      </c>
      <c r="K730" t="inlineStr">
        <is>
          <t>.</t>
        </is>
      </c>
      <c r="L730" t="inlineStr">
        <is>
          <t>.</t>
        </is>
      </c>
      <c r="M730" t="inlineStr">
        <is>
          <t>.</t>
        </is>
      </c>
      <c r="N730" t="inlineStr">
        <is>
          <t>.</t>
        </is>
      </c>
      <c r="O730" t="inlineStr">
        <is>
          <t>.</t>
        </is>
      </c>
    </row>
    <row r="731">
      <c r="A731" t="inlineStr">
        <is>
          <t>TET2-AS1</t>
        </is>
      </c>
      <c r="B731" t="inlineStr">
        <is>
          <t>.</t>
        </is>
      </c>
      <c r="C731" t="inlineStr">
        <is>
          <t>TET2 antisense RNA 1</t>
        </is>
      </c>
      <c r="D731" t="inlineStr">
        <is>
          <t>.</t>
        </is>
      </c>
      <c r="E731" t="inlineStr">
        <is>
          <t>.</t>
        </is>
      </c>
      <c r="F731" t="inlineStr">
        <is>
          <t>.</t>
        </is>
      </c>
      <c r="G731" t="inlineStr">
        <is>
          <t>.</t>
        </is>
      </c>
      <c r="H731" t="inlineStr">
        <is>
          <t>.</t>
        </is>
      </c>
      <c r="I731" t="inlineStr">
        <is>
          <t>.</t>
        </is>
      </c>
      <c r="J731" t="inlineStr">
        <is>
          <t>.</t>
        </is>
      </c>
      <c r="K731" t="inlineStr">
        <is>
          <t>.</t>
        </is>
      </c>
      <c r="L731" t="inlineStr">
        <is>
          <t>.</t>
        </is>
      </c>
      <c r="M731" t="inlineStr">
        <is>
          <t>.</t>
        </is>
      </c>
      <c r="N731" t="inlineStr">
        <is>
          <t>.</t>
        </is>
      </c>
      <c r="O731" t="inlineStr">
        <is>
          <t>.</t>
        </is>
      </c>
    </row>
    <row r="732">
      <c r="A732" t="inlineStr">
        <is>
          <t>TEX15</t>
        </is>
      </c>
      <c r="B732" t="inlineStr">
        <is>
          <t>3.89144760802236e-17</t>
        </is>
      </c>
      <c r="C732" t="inlineStr">
        <is>
          <t>testis expressed 15</t>
        </is>
      </c>
      <c r="D732" t="inlineStr">
        <is>
          <t xml:space="preserve">FUNCTION: Required during spermatogenesis for normal chromosome synapsis and meiotic recombination in germ cells. Necessary for formation of DMC1 and RAD51 foci on meiotic chromosomes, suggesting a specific role in DNA double-stranded break repair. {ECO:0000250|UniProtKB:F8VPN2}.; </t>
        </is>
      </c>
      <c r="E732" t="inlineStr">
        <is>
          <t>.</t>
        </is>
      </c>
      <c r="F732" t="inlineStr">
        <is>
          <t xml:space="preserve">TISSUE SPECIFICITY: Detected in testis and ovary (PubMed:11279525). Also expressed in several cancers (PubMed:12704671). {ECO:0000269|PubMed:11279525, ECO:0000269|PubMed:12704671}.; </t>
        </is>
      </c>
      <c r="G732" t="inlineStr">
        <is>
          <t>unclassifiable (Anatomical System);lung;liver;testis;skeletal muscle;</t>
        </is>
      </c>
      <c r="H732" t="inlineStr">
        <is>
          <t>dorsal root ganglion;superior cervical ganglion;ciliary ganglion;atrioventricular node;trigeminal ganglion;skeletal muscle;</t>
        </is>
      </c>
      <c r="I732" t="inlineStr">
        <is>
          <t>.</t>
        </is>
      </c>
      <c r="J732" t="inlineStr">
        <is>
          <t>.</t>
        </is>
      </c>
      <c r="K732" t="inlineStr">
        <is>
          <t>.</t>
        </is>
      </c>
      <c r="L732" t="inlineStr">
        <is>
          <t>.</t>
        </is>
      </c>
      <c r="M732" t="inlineStr">
        <is>
          <t>.</t>
        </is>
      </c>
      <c r="N732" t="inlineStr">
        <is>
          <t>.</t>
        </is>
      </c>
      <c r="O732" t="inlineStr">
        <is>
          <t>.</t>
        </is>
      </c>
    </row>
    <row r="733">
      <c r="A733" t="inlineStr">
        <is>
          <t>TFAP2C</t>
        </is>
      </c>
      <c r="B733" t="inlineStr">
        <is>
          <t>0.939950974403548</t>
        </is>
      </c>
      <c r="C733" t="inlineStr">
        <is>
          <t>transcription factor AP-2 gamma (activating enhancer binding protein 2 gamma)</t>
        </is>
      </c>
      <c r="D733" t="inlineStr">
        <is>
          <t xml:space="preserve">FUNCTION: Sequence-specific DNA-binding protein that interacts with inducible viral and cellular enhancer elements to regulate transcription of selected genes. AP-2 factors bind to the consensus sequence 5'-GCCNNNGGC-3' and activate genes involved in a large spectrum of important biological functions including proper eye, face, body wall, limb and neural tube development. They also suppress a number of genes including MCAM/MUC18, C/EBP alpha and MYC. Involved in the MTA1-mediated epigenetic regulation of ESR1 expression in breast cancer. {ECO:0000269|PubMed:11694877, ECO:0000269|PubMed:24413532}.; </t>
        </is>
      </c>
      <c r="E733" t="inlineStr">
        <is>
          <t>.</t>
        </is>
      </c>
      <c r="F733" t="inlineStr">
        <is>
          <t>.</t>
        </is>
      </c>
      <c r="G733" t="inlineStr">
        <is>
          <t>unclassifiable (Anatomical System);cartilage;heart;ovary;adrenal cortex;parathyroid;skin;uterus;prostate;whole body;lung;adrenal gland;thyroid;placenta;testis;head and neck;spleen;mammary gland;pineal gland;</t>
        </is>
      </c>
      <c r="H733" t="inlineStr">
        <is>
          <t>dorsal root ganglion;uterus corpus;medulla oblongata;superior cervical ganglion;placenta;temporal lobe;globus pallidus;atrioventricular node;trigeminal ganglion;skin;skeletal muscle;</t>
        </is>
      </c>
      <c r="I733" t="inlineStr">
        <is>
          <t>.</t>
        </is>
      </c>
      <c r="J733" t="inlineStr">
        <is>
          <t>.</t>
        </is>
      </c>
      <c r="K733" t="inlineStr">
        <is>
          <t>.</t>
        </is>
      </c>
      <c r="L733" t="inlineStr">
        <is>
          <t>.</t>
        </is>
      </c>
      <c r="M733" t="inlineStr">
        <is>
          <t>.</t>
        </is>
      </c>
      <c r="N733" t="inlineStr">
        <is>
          <t>.</t>
        </is>
      </c>
      <c r="O733" t="inlineStr">
        <is>
          <t>.</t>
        </is>
      </c>
    </row>
    <row r="734">
      <c r="A734" t="inlineStr">
        <is>
          <t>TGFBR3</t>
        </is>
      </c>
      <c r="B734" t="inlineStr">
        <is>
          <t>0.0110547982037593</t>
        </is>
      </c>
      <c r="C734" t="inlineStr">
        <is>
          <t>transforming growth factor beta receptor III</t>
        </is>
      </c>
      <c r="D734" t="inlineStr">
        <is>
          <t xml:space="preserve">FUNCTION: Binds to TGF-beta. Could be involved in capturing and retaining TGF-beta for presentation to the signaling receptors.; </t>
        </is>
      </c>
      <c r="E734" t="inlineStr">
        <is>
          <t>.</t>
        </is>
      </c>
      <c r="F734" t="inlineStr">
        <is>
          <t>.</t>
        </is>
      </c>
      <c r="G734" t="inlineStr">
        <is>
          <t>medulla oblongata;ovary;salivary gland;intestine;colon;retina;bone marrow;prostate;whole body;frontal lobe;cochlea;endometrium;iris;testis;brain;bladder;unclassifiable (Anatomical System);amygdala;cartilage;heart;islets of Langerhans;urinary;pharynx;blood;skeletal muscle;pancreas;lung;adrenal gland;placenta;visual apparatus;liver;spleen;head and neck;kidney;stomach;</t>
        </is>
      </c>
      <c r="H734" t="inlineStr">
        <is>
          <t>superior cervical ganglion;ovary;placenta;</t>
        </is>
      </c>
      <c r="I734" t="inlineStr">
        <is>
          <t>.</t>
        </is>
      </c>
      <c r="J734" t="inlineStr">
        <is>
          <t>.</t>
        </is>
      </c>
      <c r="K734" t="inlineStr">
        <is>
          <t>.</t>
        </is>
      </c>
      <c r="L734" t="inlineStr">
        <is>
          <t>.</t>
        </is>
      </c>
      <c r="M734" t="inlineStr">
        <is>
          <t>.</t>
        </is>
      </c>
      <c r="N734" t="inlineStr">
        <is>
          <t>.</t>
        </is>
      </c>
      <c r="O734" t="inlineStr">
        <is>
          <t>.</t>
        </is>
      </c>
    </row>
    <row r="735">
      <c r="A735" t="inlineStr">
        <is>
          <t>THSD7B</t>
        </is>
      </c>
      <c r="B735" t="inlineStr">
        <is>
          <t>5.65285413355626e-06</t>
        </is>
      </c>
      <c r="C735" t="inlineStr">
        <is>
          <t>thrombospondin type 1 domain containing 7B</t>
        </is>
      </c>
      <c r="D735" t="inlineStr">
        <is>
          <t>.</t>
        </is>
      </c>
      <c r="E735" t="inlineStr">
        <is>
          <t>.</t>
        </is>
      </c>
      <c r="F735" t="inlineStr">
        <is>
          <t>.</t>
        </is>
      </c>
      <c r="G735" t="inlineStr">
        <is>
          <t>unclassifiable (Anatomical System);lung;muscle;testis;amniotic fluid;skeletal muscle;stomach;aorta;</t>
        </is>
      </c>
      <c r="H735" t="inlineStr">
        <is>
          <t>superior cervical ganglion;ciliary ganglion;atrioventricular node;</t>
        </is>
      </c>
      <c r="I735" t="inlineStr">
        <is>
          <t>.</t>
        </is>
      </c>
      <c r="J735" t="inlineStr">
        <is>
          <t>.</t>
        </is>
      </c>
      <c r="K735" t="inlineStr">
        <is>
          <t>.</t>
        </is>
      </c>
      <c r="L735" t="inlineStr">
        <is>
          <t>.</t>
        </is>
      </c>
      <c r="M735" t="inlineStr">
        <is>
          <t>.</t>
        </is>
      </c>
      <c r="N735" t="inlineStr">
        <is>
          <t>.</t>
        </is>
      </c>
      <c r="O735" t="inlineStr">
        <is>
          <t>.</t>
        </is>
      </c>
    </row>
    <row r="736">
      <c r="A736" t="inlineStr">
        <is>
          <t>TIAM1</t>
        </is>
      </c>
      <c r="B736" t="inlineStr">
        <is>
          <t>0.999932006469338</t>
        </is>
      </c>
      <c r="C736" t="inlineStr">
        <is>
          <t>T-cell lymphoma invasion and metastasis 1</t>
        </is>
      </c>
      <c r="D736" t="inlineStr">
        <is>
          <t xml:space="preserve">FUNCTION: Modulates the activity of RHO-like proteins and connects extracellular signals to cytoskeletal activities. Acts as a GDP- dissociation stimulator protein that stimulates the GDP-GTP exchange activity of RHO-like GTPases and activates them. Activates RAC1, CDC42, and to a lesser extent RHOA. Required for normal cell adhesion and cell migration. {ECO:0000269|PubMed:20361982}.; </t>
        </is>
      </c>
      <c r="E736" t="inlineStr">
        <is>
          <t>.</t>
        </is>
      </c>
      <c r="F736" t="inlineStr">
        <is>
          <t xml:space="preserve">TISSUE SPECIFICITY: Found in virtually all analyzed tumor cell lines including B- and T-lymphomas, neuroblastomas, melanomas and carcinomas.; </t>
        </is>
      </c>
      <c r="G736" t="inlineStr">
        <is>
          <t>unclassifiable (Anatomical System);heart;cerebellum cortex;islets of Langerhans;skin;uterus;frontal lobe;placenta;thyroid;hypopharynx;head and neck;germinal center;brain;cerebellum;</t>
        </is>
      </c>
      <c r="H736" t="inlineStr">
        <is>
          <t>superior cervical ganglion;thalamus;cerebellum peduncles;prefrontal cortex;skeletal muscle;cingulate cortex;cerebellum;</t>
        </is>
      </c>
      <c r="I736" t="inlineStr">
        <is>
          <t>.</t>
        </is>
      </c>
      <c r="J736" t="inlineStr">
        <is>
          <t>.</t>
        </is>
      </c>
      <c r="K736" t="inlineStr">
        <is>
          <t>.</t>
        </is>
      </c>
      <c r="L736" t="inlineStr">
        <is>
          <t>.</t>
        </is>
      </c>
      <c r="M736" t="inlineStr">
        <is>
          <t>.</t>
        </is>
      </c>
      <c r="N736" t="inlineStr">
        <is>
          <t>.</t>
        </is>
      </c>
      <c r="O736" t="inlineStr">
        <is>
          <t>.</t>
        </is>
      </c>
    </row>
    <row r="737">
      <c r="A737" t="inlineStr">
        <is>
          <t>TLE2</t>
        </is>
      </c>
      <c r="B737" t="inlineStr">
        <is>
          <t>0.000766444994989725</t>
        </is>
      </c>
      <c r="C737" t="inlineStr">
        <is>
          <t>transducin like enhancer of split 2</t>
        </is>
      </c>
      <c r="D737" t="inlineStr">
        <is>
          <t xml:space="preserve">FUNCTION: Transcriptional corepressor that binds to a number of transcription factors. Inhibits the transcriptional activation mediated by CTNNB1 and TCF family members in Wnt signaling. The effects of full-length TLE family members may be modulated by association with dominant-negative AES (By similarity). {ECO:0000250}.; </t>
        </is>
      </c>
      <c r="E737" t="inlineStr">
        <is>
          <t>.</t>
        </is>
      </c>
      <c r="F737" t="inlineStr">
        <is>
          <t xml:space="preserve">TISSUE SPECIFICITY: In all tissues examined, mostly in heart, brain, and muscle.; </t>
        </is>
      </c>
      <c r="G737" t="inlineStr">
        <is>
          <t>unclassifiable (Anatomical System);islets of Langerhans;colon;parathyroid;fovea centralis;choroid;lens;skeletal muscle;retina;uterus;prostate;optic nerve;lung;endometrium;bone;placenta;macula lutea;visual apparatus;iris;testis;kidney;brain;mammary gland;tonsil;stomach;</t>
        </is>
      </c>
      <c r="H737" t="inlineStr">
        <is>
          <t>ciliary ganglion;atrioventricular node;cerebellum;</t>
        </is>
      </c>
      <c r="I737" t="inlineStr">
        <is>
          <t>.</t>
        </is>
      </c>
      <c r="J737" t="inlineStr">
        <is>
          <t>.</t>
        </is>
      </c>
      <c r="K737" t="inlineStr">
        <is>
          <t>.</t>
        </is>
      </c>
      <c r="L737" t="inlineStr">
        <is>
          <t>.</t>
        </is>
      </c>
      <c r="M737" t="inlineStr">
        <is>
          <t>.</t>
        </is>
      </c>
      <c r="N737" t="inlineStr">
        <is>
          <t>.</t>
        </is>
      </c>
      <c r="O737" t="inlineStr">
        <is>
          <t>.</t>
        </is>
      </c>
    </row>
    <row r="738">
      <c r="A738" t="inlineStr">
        <is>
          <t>TLR9</t>
        </is>
      </c>
      <c r="B738" t="inlineStr">
        <is>
          <t>0.000525225802125772</t>
        </is>
      </c>
      <c r="C738" t="inlineStr">
        <is>
          <t>toll like receptor 9</t>
        </is>
      </c>
      <c r="D738" t="inlineStr">
        <is>
          <t xml:space="preserve">FUNCTION: Key component of innate and adaptive immunity. TLRs (Toll-like receptors) control host immune response against pathogens through recognition of molecular patterns specific to microorganisms. TLR9 is a nucleotide-sensing TLR which is activated by unmethylated cytidine-phosphate-guanosine (CpG) dinucleotides. Acts via MYD88 and TRAF6, leading to NF-kappa-B activation, cytokine secretion and the inflammatory response. Controls lymphocyte response to Helicobacter infection. {ECO:0000269|PubMed:11564765, ECO:0000269|PubMed:17932028}.; </t>
        </is>
      </c>
      <c r="E738" t="inlineStr">
        <is>
          <t>.</t>
        </is>
      </c>
      <c r="F738" t="inlineStr">
        <is>
          <t xml:space="preserve">TISSUE SPECIFICITY: Highly expressed in spleen, lymph node, tonsil and peripheral blood leukocytes, especially in plasmacytoid pre- dendritic cells. Levels are much lower in monocytes and CD11c+ immature dendritic cells. Also detected in lung and liver.; </t>
        </is>
      </c>
      <c r="G738" t="inlineStr">
        <is>
          <t>unclassifiable (Anatomical System);lymph node;thyroid;germinal center;tonsil;</t>
        </is>
      </c>
      <c r="H738" t="inlineStr">
        <is>
          <t>.</t>
        </is>
      </c>
      <c r="I738" t="inlineStr">
        <is>
          <t>.</t>
        </is>
      </c>
      <c r="J738" t="inlineStr">
        <is>
          <t>.</t>
        </is>
      </c>
      <c r="K738" t="inlineStr">
        <is>
          <t>.</t>
        </is>
      </c>
      <c r="L738" t="inlineStr">
        <is>
          <t>.</t>
        </is>
      </c>
      <c r="M738" t="inlineStr">
        <is>
          <t>.</t>
        </is>
      </c>
      <c r="N738" t="inlineStr">
        <is>
          <t>.</t>
        </is>
      </c>
      <c r="O738" t="inlineStr">
        <is>
          <t>.</t>
        </is>
      </c>
    </row>
    <row r="739">
      <c r="A739" t="inlineStr">
        <is>
          <t>TMEM97</t>
        </is>
      </c>
      <c r="B739" t="inlineStr">
        <is>
          <t>0.0284060151690812</t>
        </is>
      </c>
      <c r="C739" t="inlineStr">
        <is>
          <t>transmembrane protein 97</t>
        </is>
      </c>
      <c r="D739" t="inlineStr">
        <is>
          <t xml:space="preserve">FUNCTION: Plays a role as a regulator of cellular cholesterol homeostasis (PubMed:19583955). May function as sterol isomerase (PubMed:25566323). {ECO:0000269|PubMed:19583955, ECO:0000303|PubMed:25566323}.; </t>
        </is>
      </c>
      <c r="E739" t="inlineStr">
        <is>
          <t>.</t>
        </is>
      </c>
      <c r="F739" t="inlineStr">
        <is>
          <t xml:space="preserve">TISSUE SPECIFICITY: Widely expressed in normal tissues. Expressed in pancreatic, renal, breast, colon, ovarian surface epithelial (OSE) cells and meningioma cancers. Expressed in ovarian cancer; expression is reduced relative to OSE cells. {ECO:0000269|PubMed:15375745, ECO:0000269|PubMed:18070364, ECO:0000269|PubMed:7694637}.; </t>
        </is>
      </c>
      <c r="G739" t="inlineStr">
        <is>
          <t>umbilical cord;ovary;salivary gland;sympathetic chain;intestine;colon;parathyroid;fovea centralis;choroid;skin;retina;uterus;prostate;optic nerve;whole body;frontal lobe;endometrium;bone;testis;germinal center;bladder;brain;unclassifiable (Anatomical System);lymph node;cartilage;heart;hypothalamus;urinary;pharynx;blood;lens;breast;bile duct;pancreas;lung;placenta;macula lutea;visual apparatus;alveolus;liver;head and neck;cervix;spleen;kidney;mammary gland;stomach;</t>
        </is>
      </c>
      <c r="H739" t="inlineStr">
        <is>
          <t>dorsal root ganglion;testis - interstitial;superior cervical ganglion;pancreas;fetal liver;testis - seminiferous tubule;adrenal gland;liver;testis;tumor;atrioventricular node;trigeminal ganglion;</t>
        </is>
      </c>
      <c r="I739" t="inlineStr">
        <is>
          <t>.</t>
        </is>
      </c>
      <c r="J739" t="inlineStr">
        <is>
          <t>.</t>
        </is>
      </c>
      <c r="K739" t="inlineStr">
        <is>
          <t>.</t>
        </is>
      </c>
      <c r="L739" t="inlineStr">
        <is>
          <t>.</t>
        </is>
      </c>
      <c r="M739" t="inlineStr">
        <is>
          <t>.</t>
        </is>
      </c>
      <c r="N739" t="inlineStr">
        <is>
          <t>.</t>
        </is>
      </c>
      <c r="O739" t="inlineStr">
        <is>
          <t>.</t>
        </is>
      </c>
    </row>
    <row r="740">
      <c r="A740" t="inlineStr">
        <is>
          <t>TMTC2</t>
        </is>
      </c>
      <c r="B740" t="inlineStr">
        <is>
          <t>0.863100805982337</t>
        </is>
      </c>
      <c r="C740" t="inlineStr">
        <is>
          <t>transmembrane and tetratricopeptide repeat containing 2</t>
        </is>
      </c>
      <c r="D740" t="inlineStr">
        <is>
          <t>.</t>
        </is>
      </c>
      <c r="E740" t="inlineStr">
        <is>
          <t>.</t>
        </is>
      </c>
      <c r="F740" t="inlineStr">
        <is>
          <t>.</t>
        </is>
      </c>
      <c r="G740" t="inlineStr">
        <is>
          <t>heart;tongue;hypothalamus;colon;skin;skeletal muscle;retina;uterus;pancreas;prostate;whole body;lung;frontal lobe;endometrium;bone;visual apparatus;hippocampus;pituitary gland;testis;head and neck;kidney;brain;stomach;</t>
        </is>
      </c>
      <c r="H740" t="inlineStr">
        <is>
          <t>occipital lobe;superior cervical ganglion;atrioventricular node;trigeminal ganglion;parietal lobe;skeletal muscle;</t>
        </is>
      </c>
      <c r="I740" t="inlineStr">
        <is>
          <t>.</t>
        </is>
      </c>
      <c r="J740" t="inlineStr">
        <is>
          <t>.</t>
        </is>
      </c>
      <c r="K740" t="inlineStr">
        <is>
          <t>.</t>
        </is>
      </c>
      <c r="L740" t="inlineStr">
        <is>
          <t>.</t>
        </is>
      </c>
      <c r="M740" t="inlineStr">
        <is>
          <t>.</t>
        </is>
      </c>
      <c r="N740" t="inlineStr">
        <is>
          <t>.</t>
        </is>
      </c>
      <c r="O740" t="inlineStr">
        <is>
          <t>.</t>
        </is>
      </c>
    </row>
    <row r="741">
      <c r="A741" t="inlineStr">
        <is>
          <t>TNFRSF9</t>
        </is>
      </c>
      <c r="B741" t="inlineStr">
        <is>
          <t>0.253050500972917</t>
        </is>
      </c>
      <c r="C741" t="inlineStr">
        <is>
          <t>tumor necrosis factor receptor superfamily member 9</t>
        </is>
      </c>
      <c r="D741" t="inlineStr">
        <is>
          <t xml:space="preserve">FUNCTION: Receptor for TNFSF9/4-1BBL. Possibly active during T cell activation.; </t>
        </is>
      </c>
      <c r="E741" t="inlineStr">
        <is>
          <t>.</t>
        </is>
      </c>
      <c r="F741" t="inlineStr">
        <is>
          <t xml:space="preserve">TISSUE SPECIFICITY: Expressed on the surface of activated T-cells.; </t>
        </is>
      </c>
      <c r="G741" t="inlineStr">
        <is>
          <t>.</t>
        </is>
      </c>
      <c r="H741" t="inlineStr">
        <is>
          <t>.</t>
        </is>
      </c>
      <c r="I741" t="inlineStr">
        <is>
          <t>.</t>
        </is>
      </c>
      <c r="J741" t="inlineStr">
        <is>
          <t>.</t>
        </is>
      </c>
      <c r="K741" t="inlineStr">
        <is>
          <t>.</t>
        </is>
      </c>
      <c r="L741" t="inlineStr">
        <is>
          <t>.</t>
        </is>
      </c>
      <c r="M741" t="inlineStr">
        <is>
          <t>.</t>
        </is>
      </c>
      <c r="N741" t="inlineStr">
        <is>
          <t>.</t>
        </is>
      </c>
      <c r="O741" t="inlineStr">
        <is>
          <t>.</t>
        </is>
      </c>
    </row>
    <row r="742">
      <c r="A742" t="inlineStr">
        <is>
          <t>TNXB</t>
        </is>
      </c>
      <c r="B742" t="inlineStr">
        <is>
          <t>0.774153751864359</t>
        </is>
      </c>
      <c r="C742" t="inlineStr">
        <is>
          <t>tenascin XB</t>
        </is>
      </c>
      <c r="D742" t="inlineStr">
        <is>
          <t xml:space="preserve">FUNCTION: Appears to mediate interactions between cells and the extracellular matrix. Substrate-adhesion molecule that appears to inhibit cell migration. Accelerates collagen fibril formation. May play a role in supporting the growth of epithelial tumors. {ECO:0000269|PubMed:17033827}.; </t>
        </is>
      </c>
      <c r="E742" t="inlineStr">
        <is>
          <t xml:space="preserve">DISEASE: Ehlers-Danlos syndrome due to tenascin X deficiency (EDSTNXD) [MIM:606408]: An Ehlers-Danlos-like syndrome characterized by hyperextensible skin, hypermobile joints, and tissue fragility. Tenascin-X-deficient patients, however, lack atrophic scars, a major diagnostic criteria for classic Ehlers- Danlos. Delayed wound healing, which is also common in classic EDS, is only present in a subset of patients. {ECO:0000269|PubMed:23768946}. Note=The disease is caused by mutations affecting the gene represented in this entry.; DISEASE: Vesicoureteral reflux 8 (VUR8) [MIM:615963]: A disease belonging to the group of congenital anomalies of the kidney and urinary tract. It is characterized by the reflux of urine from the bladder into the ureters and sometimes into the kidneys, and is a risk factor for urinary tract infections. Primary disease results from a developmental defect of the ureterovesical junction. In combination with intrarenal reflux, the resulting inflammatory reaction may result in renal injury or scarring, also called reflux nephropathy. Extensive renal scarring impairs renal function and may predispose patients to hypertension, proteinuria, renal insufficiency and end-stage renal disease. {ECO:0000269|PubMed:23620400}. Note=The disease is caused by mutations affecting the gene represented in this entry.; </t>
        </is>
      </c>
      <c r="F742" t="inlineStr">
        <is>
          <t xml:space="preserve">TISSUE SPECIFICITY: Highly expressed in fetal adrenal, in fetal testis, fetal smooth, striated and cardiac muscle. Isoform XB- short is only expressed in the adrenal gland.; </t>
        </is>
      </c>
      <c r="G742" t="inlineStr">
        <is>
          <t>.</t>
        </is>
      </c>
      <c r="H742" t="inlineStr">
        <is>
          <t>.</t>
        </is>
      </c>
      <c r="I742">
        <f>HYPERLINK("https://omim.org/entry/606408", "606408")</f>
        <v/>
      </c>
      <c r="J742">
        <f>HYPERLINK("https://omim.org/entry/615963", "615963")</f>
        <v/>
      </c>
      <c r="K742" t="inlineStr">
        <is>
          <t>.</t>
        </is>
      </c>
      <c r="L742" t="inlineStr">
        <is>
          <t>.</t>
        </is>
      </c>
      <c r="M742" t="inlineStr">
        <is>
          <t>.</t>
        </is>
      </c>
      <c r="N742" t="inlineStr">
        <is>
          <t>.</t>
        </is>
      </c>
      <c r="O742" t="inlineStr">
        <is>
          <t>.</t>
        </is>
      </c>
    </row>
    <row r="743">
      <c r="A743" t="inlineStr">
        <is>
          <t>TP53</t>
        </is>
      </c>
      <c r="B743" t="inlineStr">
        <is>
          <t>0.91222295333147</t>
        </is>
      </c>
      <c r="C743" t="inlineStr">
        <is>
          <t>tumor protein p53</t>
        </is>
      </c>
      <c r="D743" t="inlineStr">
        <is>
          <t xml:space="preserve">FUNCTION: Acts as a tumor suppressor in many tumor types; induces growth arrest or apoptosis depending on the physiological circumstances and cell type. Involved in cell cycle regulation as a trans-activator that acts to negatively regulate cell division by controlling a set of genes required for this process. One of the activated genes is an inhibitor of cyclin-dependent kinases. Apoptosis induction seems to be mediated either by stimulation of BAX and FAS antigen expression, or by repression of Bcl-2 expression. In cooperation with mitochondrial PPIF is involved in activating oxidative stress-induced necrosis; the function is largely independent of transcription. Induces the transcription of long intergenic non-coding RNA p21 (lincRNA-p21) and lincRNA- Mkln1. LincRNA-p21 participates in TP53-dependent transcriptional repression leading to apoptosis and seem to have to effect on cell-cycle regulation. Implicated in Notch signaling cross-over. Prevents CDK7 kinase activity when associated to CAK complex in response to DNA damage, thus stopping cell cycle progression. Isoform 2 enhances the transactivation activity of isoform 1 from some but not all TP53-inducible promoters. Isoform 4 suppresses transactivation activity and impairs growth suppression mediated by isoform 1. Isoform 7 inhibits isoform 1-mediated apoptosis. Regulates the circadian clock by repressing CLOCK-ARNTL/BMAL1- mediated transcriptional activation of PER2 (PubMed:24051492). {ECO:0000269|PubMed:11025664, ECO:0000269|PubMed:12810724, ECO:0000269|PubMed:15186775, ECO:0000269|PubMed:15340061, ECO:0000269|PubMed:17317671, ECO:0000269|PubMed:17349958, ECO:0000269|PubMed:19556538, ECO:0000269|PubMed:20673990, ECO:0000269|PubMed:20959462, ECO:0000269|PubMed:22726440, ECO:0000269|PubMed:24051492, ECO:0000269|PubMed:9840937}.; </t>
        </is>
      </c>
      <c r="E743" t="inlineStr">
        <is>
          <t xml:space="preserve">DISEASE: Note=TP53 is found in increased amounts in a wide variety of transformed cells. TP53 is frequently mutated or inactivated in about 60% of cancers. TP53 defects are found in Barrett metaplasia a condition in which the normally stratified squamous epithelium of the lower esophagus is replaced by a metaplastic columnar epithelium. The condition develops as a complication in approximately 10% of patients with chronic gastroesophageal reflux disease and predisposes to the development of esophageal adenocarcinoma.; DISEASE: Esophageal cancer (ESCR) [MIM:133239]: A malignancy of the esophagus. The most common types are esophageal squamous cell carcinoma and adenocarcinoma. Cancer of the esophagus remains a devastating disease because it is usually not detected until it has progressed to an advanced incurable stage. Note=The disease is caused by mutations affecting the gene represented in this entry.; DISEASE: Li-Fraumeni syndrome (LFS) [MIM:151623]: Autosomal dominant familial cancer syndrome that in its classic form is defined by the existence of a proband affected by a sarcoma before 45 years with a first degree relative affected by any tumor before 45 years and another first degree relative with any tumor before 45 years or a sarcoma at any age. Other clinical definitions for LFS have been proposed (PubMed:8118819 and PubMed:8718514) and called Li-Fraumeni like syndrome (LFL). In these families affected relatives develop a diverse set of malignancies at unusually early ages. Four types of cancers account for 80% of tumors occurring in TP53 germline mutation carriers: breast cancers, soft tissue and bone sarcomas, brain tumors (astrocytomas) and adrenocortical carcinomas. Less frequent tumors include choroid plexus carcinoma or papilloma before the age of 15, rhabdomyosarcoma before the age of 5, leukemia, Wilms tumor, malignant phyllodes tumor, colorectal and gastric cancers. {ECO:0000269|PubMed:10484981, ECO:0000269|PubMed:1565144, ECO:0000269|PubMed:1737852, ECO:0000269|PubMed:1933902, ECO:0000269|PubMed:1978757, ECO:0000269|PubMed:2259385, ECO:0000269|PubMed:7887414, ECO:0000269|PubMed:8825920, ECO:0000269|PubMed:9452042}. Note=The disease is caused by mutations affecting the gene represented in this entry.; DISEASE: Squamous cell carcinoma of the head and neck (HNSCC) [MIM:275355]: A non-melanoma skin cancer affecting the head and neck. The hallmark of cutaneous SCC is malignant transformation of normal epidermal keratinocytes. Note=The gene represented in this entry is involved in disease pathogenesis.; DISEASE: Lung cancer (LNCR) [MIM:211980]: A common malignancy affecting tissues of the lung. The most common form of lung cancer is non-small cell lung cancer (NSCLC) that can be divided into 3 major histologic subtypes: squamous cell carcinoma, adenocarcinoma, and large cell lung cancer. NSCLC is often diagnosed at an advanced stage and has a poor prognosis. Note=The disease is caused by mutations affecting the gene represented in this entry.; DISEASE: Papilloma of choroid plexus (CPP) [MIM:260500]: A benign tumor of neuroectodermal origin that generally occurs in childhood, but has also been reported in adults. Although generally found within the ventricular system, choroid plexus papillomas can arise ectopically in the brain parenchyma or disseminate throughout the neuraxis. Patients present with signs and symptoms of increased intracranial pressure including headache, hydrocephalus, papilledema, nausea, vomiting, cranial nerve deficits, gait impairment, and seizures. {ECO:0000269|PubMed:12085209}. Note=The disease is caused by mutations affecting the gene represented in this entry.; DISEASE: Adrenocortical carcinoma (ADCC) [MIM:202300]: A malignant neoplasm of the adrenal cortex and a rare childhood tumor. It occurs with increased frequency in patients with Beckwith- Wiedemann syndrome and Li-Fraumeni syndrome. {ECO:0000269|PubMed:11481490}. Note=The disease is caused by mutations affecting the gene represented in this entry.; DISEASE: Basal cell carcinoma 7 (BCC7) [MIM:614740]: A common malignant skin neoplasm that typically appears on hair-bearing skin, most commonly on sun-exposed areas. It is slow growing and rarely metastasizes, but has potentialities for local invasion and destruction. It usually develops as a flat, firm, pale area that is small, raised, pink or red, translucent, shiny, and waxy, and the area may bleed following minor injury. Tumor size can vary from a few millimeters to several centimeters in diameter. {ECO:0000269|PubMed:21946351}. Note=Disease susceptibility is associated with variations affecting the gene represented in this entry.; </t>
        </is>
      </c>
      <c r="F743" t="inlineStr">
        <is>
          <t xml:space="preserve">TISSUE SPECIFICITY: Ubiquitous. Isoforms are expressed in a wide range of normal tissues but in a tissue-dependent manner. Isoform 2 is expressed in most normal tissues but is not detected in brain, lung, prostate, muscle, fetal brain, spinal cord and fetal liver. Isoform 3 is expressed in most normal tissues but is not detected in lung, spleen, testis, fetal brain, spinal cord and fetal liver. Isoform 7 is expressed in most normal tissues but is not detected in prostate, uterus, skeletal muscle and breast. Isoform 8 is detected only in colon, bone marrow, testis, fetal brain and intestine. Isoform 9 is expressed in most normal tissues but is not detected in brain, heart, lung, fetal liver, salivary gland, breast or intestine. {ECO:0000269|PubMed:16131611}.; </t>
        </is>
      </c>
      <c r="G743" t="inlineStr">
        <is>
          <t>lymphoreticular;ovary;colon;vein;skin;bone marrow;uterus;prostate;frontal lobe;endometrium;larynx;bone;thyroid;testis;amniotic fluid;germinal center;brain;bladder;unclassifiable (Anatomical System);lymph node;cartilage;tongue;islets of Langerhans;blood;skeletal muscle;breast;bile duct;pancreas;lung;mesenchyma;epididymis;placenta;hypopharynx;liver;cervix;spleen;head and neck;kidney;mammary gland;stomach;thymus;</t>
        </is>
      </c>
      <c r="H743" t="inlineStr">
        <is>
          <t>superior cervical ganglion;placenta;white blood cells;atrioventricular node;skeletal muscle;</t>
        </is>
      </c>
      <c r="I743">
        <f>HYPERLINK("https://omim.org/entry/133239", "133239")</f>
        <v/>
      </c>
      <c r="J743">
        <f>HYPERLINK("https://omim.org/entry/151623", "151623")</f>
        <v/>
      </c>
      <c r="K743">
        <f>HYPERLINK("https://omim.org/entry/275355", "275355")</f>
        <v/>
      </c>
      <c r="L743">
        <f>HYPERLINK("https://omim.org/entry/211980", "211980")</f>
        <v/>
      </c>
      <c r="M743">
        <f>HYPERLINK("https://omim.org/entry/260500", "260500")</f>
        <v/>
      </c>
      <c r="N743">
        <f>HYPERLINK("https://omim.org/entry/202300", "202300")</f>
        <v/>
      </c>
      <c r="O743">
        <f>HYPERLINK("https://omim.org/entry/614740", "614740")</f>
        <v/>
      </c>
    </row>
    <row r="744">
      <c r="A744" t="inlineStr">
        <is>
          <t>TPCN1</t>
        </is>
      </c>
      <c r="B744" t="inlineStr">
        <is>
          <t>0.00385891575421665</t>
        </is>
      </c>
      <c r="C744" t="inlineStr">
        <is>
          <t>two pore segment channel 1</t>
        </is>
      </c>
      <c r="D744" t="inlineStr">
        <is>
          <t xml:space="preserve">FUNCTION: Nicotinic acid adenine dinucleotide phosphate (NAADP) receptor that may function as one of the major voltage-gated Ca(2+) channels (VDCC) across the lysosomal and endosomal membrane. {ECO:0000269|PubMed:19620632}.; </t>
        </is>
      </c>
      <c r="E744" t="inlineStr">
        <is>
          <t>.</t>
        </is>
      </c>
      <c r="F744" t="inlineStr">
        <is>
          <t xml:space="preserve">TISSUE SPECIFICITY: Highest expression found in the heart and kidney, and lowest expression found in the spleen. {ECO:0000269|PubMed:10574461}.; </t>
        </is>
      </c>
      <c r="G744" t="inlineStr">
        <is>
          <t>lymphoreticular;ovary;skin;retina;prostate;optic nerve;frontal lobe;endometrium;thyroid;iris;germinal center;bladder;brain;tonsil;amygdala;heart;cartilage;adrenal cortex;blood;lens;skeletal muscle;breast;visual apparatus;macula lutea;liver;cervix;spleen;peripheral nerve;colon;parathyroid;fovea centralis;choroid;uterus;larynx;synovium;bone;testis;unclassifiable (Anatomical System);lymph node;lacrimal gland;islets of Langerhans;muscle;pancreas;lung;cornea;adrenal gland;nasopharynx;placenta;head and neck;kidney;stomach;cerebellum;</t>
        </is>
      </c>
      <c r="H744" t="inlineStr">
        <is>
          <t>dorsal root ganglion;superior cervical ganglion;atrioventricular node;</t>
        </is>
      </c>
      <c r="I744" t="inlineStr">
        <is>
          <t>.</t>
        </is>
      </c>
      <c r="J744" t="inlineStr">
        <is>
          <t>.</t>
        </is>
      </c>
      <c r="K744" t="inlineStr">
        <is>
          <t>.</t>
        </is>
      </c>
      <c r="L744" t="inlineStr">
        <is>
          <t>.</t>
        </is>
      </c>
      <c r="M744" t="inlineStr">
        <is>
          <t>.</t>
        </is>
      </c>
      <c r="N744" t="inlineStr">
        <is>
          <t>.</t>
        </is>
      </c>
      <c r="O744" t="inlineStr">
        <is>
          <t>.</t>
        </is>
      </c>
    </row>
    <row r="745">
      <c r="A745" t="inlineStr">
        <is>
          <t>TPO</t>
        </is>
      </c>
      <c r="B745" t="inlineStr">
        <is>
          <t>1.35596875602643e-07</t>
        </is>
      </c>
      <c r="C745" t="inlineStr">
        <is>
          <t>thyroid peroxidase</t>
        </is>
      </c>
      <c r="D745" t="inlineStr">
        <is>
          <t xml:space="preserve">FUNCTION: Iodination and coupling of the hormonogenic tyrosines in thyroglobulin to yield the thyroid hormones T(3) and T(4).; </t>
        </is>
      </c>
      <c r="E745" t="inlineStr">
        <is>
          <t xml:space="preserve">DISEASE: Note=An alternative splicing in the thyroperoxidase mRNA can cause Graves' disease.; DISEASE: Thyroid dyshormonogenesis 2A (TDH2A) [MIM:274500]: A disorder due to defective conversion of accumulated iodide to organically bound iodine. The iodide organification defect can be partial or complete. {ECO:0000269|PubMed:10084596, ECO:0000269|PubMed:10468986, ECO:0000269|PubMed:11061528, ECO:0000269|PubMed:11415848, ECO:0000269|PubMed:11874711, ECO:0000269|PubMed:11916616, ECO:0000269|PubMed:12213873, ECO:0000269|PubMed:12490071, ECO:0000269|PubMed:12843174, ECO:0000269|PubMed:12864797, ECO:0000269|PubMed:12938097, ECO:0000269|PubMed:16284446, ECO:0000269|PubMed:16684826, ECO:0000269|PubMed:7550241, ECO:0000269|PubMed:9024270, ECO:0000269|PubMed:9924196}. Note=The disease is caused by mutations affecting the gene represented in this entry.; </t>
        </is>
      </c>
      <c r="F745" t="inlineStr">
        <is>
          <t>.</t>
        </is>
      </c>
      <c r="G745" t="inlineStr">
        <is>
          <t>unclassifiable (Anatomical System);cartilage;larynx;thyroid;muscle;colon;head and neck;</t>
        </is>
      </c>
      <c r="H745" t="inlineStr">
        <is>
          <t>thyroid;fetal thyroid;parietal lobe;cingulate cortex;</t>
        </is>
      </c>
      <c r="I745">
        <f>HYPERLINK("https://omim.org/entry/274500", "274500")</f>
        <v/>
      </c>
      <c r="J745" t="inlineStr">
        <is>
          <t>.</t>
        </is>
      </c>
      <c r="K745" t="inlineStr">
        <is>
          <t>.</t>
        </is>
      </c>
      <c r="L745" t="inlineStr">
        <is>
          <t>.</t>
        </is>
      </c>
      <c r="M745" t="inlineStr">
        <is>
          <t>.</t>
        </is>
      </c>
      <c r="N745" t="inlineStr">
        <is>
          <t>.</t>
        </is>
      </c>
      <c r="O745" t="inlineStr">
        <is>
          <t>.</t>
        </is>
      </c>
    </row>
    <row r="746">
      <c r="A746" t="inlineStr">
        <is>
          <t>TPP1</t>
        </is>
      </c>
      <c r="B746" t="inlineStr">
        <is>
          <t>0.0257560632861161</t>
        </is>
      </c>
      <c r="C746" t="inlineStr">
        <is>
          <t>tripeptidyl peptidase I</t>
        </is>
      </c>
      <c r="D746" t="inlineStr">
        <is>
          <t xml:space="preserve">FUNCTION: Lysosomal serine protease with tripeptidyl-peptidase I activity. May act as a non-specific lysosomal peptidase which generates tripeptides from the breakdown products produced by lysosomal proteinases. Requires substrates with an unsubstituted N-terminus (By similarity). {ECO:0000250}.; </t>
        </is>
      </c>
      <c r="E746" t="inlineStr">
        <is>
          <t xml:space="preserve">DISEASE: Ceroid lipofuscinosis, neuronal, 2 (CLN2) [MIM:204500]: A form of neuronal ceroid lipofuscinosis. Neuronal ceroid lipofuscinoses are progressive neurodegenerative, lysosomal storage diseases characterized by intracellular accumulation of autofluorescent liposomal material, and clinically by seizures, dementia, visual loss, and/or cerebral atrophy. The lipopigment pattern seen most often in CLN2 consists of curvilinear profiles. {ECO:0000269|PubMed:10330339, ECO:0000269|PubMed:10665500, ECO:0000269|PubMed:11241479, ECO:0000269|PubMed:11339651, ECO:0000269|PubMed:11589012, ECO:0000269|PubMed:12376936, ECO:0000269|PubMed:12414822, ECO:0000269|PubMed:12698559, ECO:0000269|PubMed:19201763, ECO:0000269|PubMed:20340139, ECO:0000269|PubMed:21990111, ECO:0000269|PubMed:22612257, ECO:0000269|PubMed:9295267}. Note=The disease is caused by mutations affecting the gene represented in this entry.; DISEASE: Spinocerebellar ataxia, autosomal recessive, 7 (SCAR7) [MIM:609270]: Spinocerebellar ataxia defines a clinically and genetically heterogeneous group of cerebellar disorders. Patients show progressive incoordination of gait and often poor coordination of hands, speech and eye movements, due to degeneration of the cerebellum with variable involvement of the brainstem and spinal cord. SCAR7 patients show difficulty walking and writing, dysarthria, limb ataxia, and cerebellar atrophy. {ECO:0000269|PubMed:23418007}. Note=The disease is caused by mutations affecting the gene represented in this entry.; </t>
        </is>
      </c>
      <c r="F746" t="inlineStr">
        <is>
          <t xml:space="preserve">TISSUE SPECIFICITY: Detected in all tissues examined with highest levels in heart and placenta and relatively similar levels in other tissues.; </t>
        </is>
      </c>
      <c r="G746" t="inlineStr">
        <is>
          <t>lymphoreticular;smooth muscle;ovary;skin;retina;bone marrow;prostate;optic nerve;frontal lobe;endometrium;thyroid;iris;germinal center;brain;gall bladder;amygdala;heart;cartilage;tongue;pineal body;urinary;adrenal cortex;blood;cerebrum;lens;skeletal muscle;breast;macula lutea;liver;spleen;cervix;mammary gland;colon;parathyroid;fovea centralis;choroid;uterus;larynx;bone;pituitary gland;testis;unclassifiable (Anatomical System);lymph node;islets of Langerhans;bile duct;pancreas;lung;placenta;hypopharynx;head and neck;kidney;stomach;thymus;</t>
        </is>
      </c>
      <c r="H746" t="inlineStr">
        <is>
          <t>dorsal root ganglion;superior cervical ganglion;adrenal gland;placenta;kidney;trigeminal ganglion;bone marrow;</t>
        </is>
      </c>
      <c r="I746">
        <f>HYPERLINK("https://omim.org/entry/204500", "204500")</f>
        <v/>
      </c>
      <c r="J746">
        <f>HYPERLINK("https://omim.org/entry/609270", "609270")</f>
        <v/>
      </c>
      <c r="K746" t="inlineStr">
        <is>
          <t>.</t>
        </is>
      </c>
      <c r="L746" t="inlineStr">
        <is>
          <t>.</t>
        </is>
      </c>
      <c r="M746" t="inlineStr">
        <is>
          <t>.</t>
        </is>
      </c>
      <c r="N746" t="inlineStr">
        <is>
          <t>.</t>
        </is>
      </c>
      <c r="O746" t="inlineStr">
        <is>
          <t>.</t>
        </is>
      </c>
    </row>
    <row r="747">
      <c r="A747" t="inlineStr">
        <is>
          <t>TPR</t>
        </is>
      </c>
      <c r="B747" t="inlineStr">
        <is>
          <t>0.999999999996002</t>
        </is>
      </c>
      <c r="C747" t="inlineStr">
        <is>
          <t>translocated promoter region, nuclear basket protein</t>
        </is>
      </c>
      <c r="D747" t="inlineStr">
        <is>
          <t xml:space="preserve">FUNCTION: Component of the nuclear pore complex (NPC), a complex required for the trafficking across the nuclear envelope. Functions as a scaffolding element in the nuclear phase of the NPC essential for normal nucleocytoplasmic transport of proteins and mRNAs, plays a role in the establishment of nuclear-peripheral chromatin compartmentalization in interphase, and in the mitotic spindle checkpoint signaling during mitosis. Involved in the quality control and retention of unspliced mRNAs in the nucleus; in association with NUP153, regulates the nuclear export of unspliced mRNA species bearing constitutive transport element (CTE) in a NXF1- and KHDRBS1-independent manner. Negatively regulates both the association of CTE-containing mRNA with large polyribosomes and translation initiation. Does not play any role in Rev response element (RRE)-mediated export of unspliced mRNAs. Implicated in nuclear export of mRNAs transcribed from heat shock gene promoters; associates both with chromatin in the HSP70 promoter and with mRNAs transcribed from this promoter under stress-induced conditions. Modulates the nucleocytoplasmic transport of activated MAPK1/ERK2 and huntingtin/HTT and may serve as a docking site for the XPO1/CRM1-mediated nuclear export complex. According to some authors, plays a limited role in the regulation of nuclear protein export (PubMed:22253824 and PubMed:11952838). Plays also a role as a structural and functional element of the perinuclear chromatin distribution; involved in the formation and/or maintenance of NPC-associated perinuclear heterochromatin exclusion zones (HEZs). Finally, acts as a spatial regulator of the spindle-assembly checkpoint (SAC) response ensuring a timely and effective recruitment of spindle checkpoint proteins like MAD1L1 and MAD2L1 to unattached kinetochore during the metaphase-anaphase transition before chromosome congression. Its N-terminus is involved in activation of oncogenic kinases. {ECO:0000269|PubMed:11952838, ECO:0000269|PubMed:15654337, ECO:0000269|PubMed:17897941, ECO:0000269|PubMed:18794356, ECO:0000269|PubMed:18981471, ECO:0000269|PubMed:19273613, ECO:0000269|PubMed:20133940, ECO:0000269|PubMed:20407419, ECO:0000269|PubMed:21613532, ECO:0000269|PubMed:22253824, ECO:0000269|PubMed:9864356}.; </t>
        </is>
      </c>
      <c r="E747" t="inlineStr">
        <is>
          <t xml:space="preserve">DISEASE: Note=A chromosomal aberration involving TPR has been found in papillary thyroid carcinomas (PTCs). Intrachromosomal rearrangement that links the 5'-end of the TPR gene to the protein kinase domain of NTRK1 forms the fusion protein TRK-T1. TRK-T1 is a 55 kDa protein reacting with antibodies against the carboxy terminus of the NTRK1 protein. {ECO:0000269|PubMed:1532241}.; DISEASE: Note=Involved in tumorigenic rearrangements with the MET. {ECO:0000269|PubMed:2300559}.; </t>
        </is>
      </c>
      <c r="F747" t="inlineStr">
        <is>
          <t xml:space="preserve">TISSUE SPECIFICITY: Expressed in esophagus, ovary, liver, skin, smooth muscles, cerebrum and fetal cerebellum (at protein level). Highest in testis, lung, thymus, spleen and brain, lower levels in heart, liver and kidney. {ECO:0000269|PubMed:12424524, ECO:0000269|PubMed:9024684}.; </t>
        </is>
      </c>
      <c r="G747" t="inlineStr">
        <is>
          <t>.</t>
        </is>
      </c>
      <c r="H747" t="inlineStr">
        <is>
          <t>.</t>
        </is>
      </c>
      <c r="I747" t="inlineStr">
        <is>
          <t>.</t>
        </is>
      </c>
      <c r="J747" t="inlineStr">
        <is>
          <t>.</t>
        </is>
      </c>
      <c r="K747" t="inlineStr">
        <is>
          <t>.</t>
        </is>
      </c>
      <c r="L747" t="inlineStr">
        <is>
          <t>.</t>
        </is>
      </c>
      <c r="M747" t="inlineStr">
        <is>
          <t>.</t>
        </is>
      </c>
      <c r="N747" t="inlineStr">
        <is>
          <t>.</t>
        </is>
      </c>
      <c r="O747" t="inlineStr">
        <is>
          <t>.</t>
        </is>
      </c>
    </row>
    <row r="748">
      <c r="A748" t="inlineStr">
        <is>
          <t>TRAF3IP2</t>
        </is>
      </c>
      <c r="B748" t="inlineStr">
        <is>
          <t>7.10960921485341e-05</t>
        </is>
      </c>
      <c r="C748" t="inlineStr">
        <is>
          <t>TRAF3 interacting protein 2</t>
        </is>
      </c>
      <c r="D748" t="inlineStr">
        <is>
          <t xml:space="preserve">FUNCTION: Could be involved in the activation of both NF-kappa-B via a NF-kappa-B inhibitor kinase (IKK)-dependent mechanism and stress-activated protein kinase (SAPK)/JNK.; </t>
        </is>
      </c>
      <c r="E748" t="inlineStr">
        <is>
          <t xml:space="preserve">DISEASE: Candidiasis, familial, 8 (CANDF8) [MIM:615527]: A primary immunodeficiency disorder with altered immune responses and impaired clearance of fungal infections, selective against Candida. It is characterized by persistent and/or recurrent infections of the skin, nails and mucous membranes caused by organisms of the genus Candida, mainly Candida albicans. {ECO:0000269|PubMed:24120361}. Note=The disease is caused by mutations affecting the gene represented in this entry.; </t>
        </is>
      </c>
      <c r="F748" t="inlineStr">
        <is>
          <t xml:space="preserve">TISSUE SPECIFICITY: Widely expressed.; </t>
        </is>
      </c>
      <c r="G748" t="inlineStr">
        <is>
          <t>ovary;colon;parathyroid;fovea centralis;choroid;skin;retina;uterus;prostate;optic nerve;endometrium;larynx;bone;iris;testis;brain;unclassifiable (Anatomical System);cartilage;heart;tongue;islets of Langerhans;spinal cord;pharynx;blood;lens;skeletal muscle;bile duct;breast;pancreas;lung;trabecular meshwork;placenta;macula lutea;liver;alveolus;spleen;head and neck;cervix;kidney;mammary gland;stomach;thymus;</t>
        </is>
      </c>
      <c r="H748" t="inlineStr">
        <is>
          <t>prostate;superior cervical ganglion;adipose tissue;lung;placenta;ciliary ganglion;trigeminal ganglion;</t>
        </is>
      </c>
      <c r="I748">
        <f>HYPERLINK("https://omim.org/entry/615527", "615527")</f>
        <v/>
      </c>
      <c r="J748" t="inlineStr">
        <is>
          <t>.</t>
        </is>
      </c>
      <c r="K748" t="inlineStr">
        <is>
          <t>.</t>
        </is>
      </c>
      <c r="L748" t="inlineStr">
        <is>
          <t>.</t>
        </is>
      </c>
      <c r="M748" t="inlineStr">
        <is>
          <t>.</t>
        </is>
      </c>
      <c r="N748" t="inlineStr">
        <is>
          <t>.</t>
        </is>
      </c>
      <c r="O748" t="inlineStr">
        <is>
          <t>.</t>
        </is>
      </c>
    </row>
    <row r="749">
      <c r="A749" t="inlineStr">
        <is>
          <t>TRAF3IP2-AS1</t>
        </is>
      </c>
      <c r="B749" t="inlineStr">
        <is>
          <t>.</t>
        </is>
      </c>
      <c r="C749" t="inlineStr">
        <is>
          <t>TRAF3IP2 antisense RNA 1</t>
        </is>
      </c>
      <c r="D749" t="inlineStr">
        <is>
          <t>.</t>
        </is>
      </c>
      <c r="E749" t="inlineStr">
        <is>
          <t>.</t>
        </is>
      </c>
      <c r="F749" t="inlineStr">
        <is>
          <t>.</t>
        </is>
      </c>
      <c r="G749" t="inlineStr">
        <is>
          <t>.</t>
        </is>
      </c>
      <c r="H749" t="inlineStr">
        <is>
          <t>.</t>
        </is>
      </c>
      <c r="I749" t="inlineStr">
        <is>
          <t>.</t>
        </is>
      </c>
      <c r="J749" t="inlineStr">
        <is>
          <t>.</t>
        </is>
      </c>
      <c r="K749" t="inlineStr">
        <is>
          <t>.</t>
        </is>
      </c>
      <c r="L749" t="inlineStr">
        <is>
          <t>.</t>
        </is>
      </c>
      <c r="M749" t="inlineStr">
        <is>
          <t>.</t>
        </is>
      </c>
      <c r="N749" t="inlineStr">
        <is>
          <t>.</t>
        </is>
      </c>
      <c r="O749" t="inlineStr">
        <is>
          <t>.</t>
        </is>
      </c>
    </row>
    <row r="750">
      <c r="A750" t="inlineStr">
        <is>
          <t>TRAPPC11</t>
        </is>
      </c>
      <c r="B750" t="inlineStr">
        <is>
          <t>0.000208772147312059</t>
        </is>
      </c>
      <c r="C750" t="inlineStr">
        <is>
          <t>trafficking protein particle complex 11</t>
        </is>
      </c>
      <c r="D750" t="inlineStr">
        <is>
          <t xml:space="preserve">FUNCTION: Involved in endoplasmic reticulum to Golgi apparatus trafficking at a very early stage. {ECO:0000269|PubMed:21525244}.; </t>
        </is>
      </c>
      <c r="E750" t="inlineStr">
        <is>
          <t xml:space="preserve">DISEASE: Limb-girdle muscular dystrophy 2S (LGMD2S) [MIM:615356]: A form of limb-girdle muscular dystrophy characterized by proximal muscle weakness with childhood onset, resulting in gait abnormalities and scapular winging. Serum creatine kinase is increased. A subset of patients may show a hyperkinetic movement disorder with chorea, ataxia, or dystonia and global developmental delay. {ECO:0000269|PubMed:23830518}. Note=The disease is caused by mutations affecting the gene represented in this entry.; </t>
        </is>
      </c>
      <c r="F750" t="inlineStr">
        <is>
          <t>.</t>
        </is>
      </c>
      <c r="G750" t="inlineStr">
        <is>
          <t>ovary;developmental;colon;parathyroid;fovea centralis;choroid;skin;retina;bone marrow;uterus;prostate;optic nerve;whole body;endometrium;bone;thyroid;testis;germinal center;brain;unclassifiable (Anatomical System);lymph node;cartilage;heart;muscle;urinary;blood;lens;skeletal muscle;breast;pancreas;lung;placenta;macula lutea;hippocampus;liver;spleen;head and neck;kidney;mammary gland;stomach;</t>
        </is>
      </c>
      <c r="H750" t="inlineStr">
        <is>
          <t>dorsal root ganglion;amygdala;superior cervical ganglion;ciliary ganglion;pons;atrioventricular node;trigeminal ganglion;skeletal muscle;</t>
        </is>
      </c>
      <c r="I750">
        <f>HYPERLINK("https://omim.org/entry/615356", "615356")</f>
        <v/>
      </c>
      <c r="J750" t="inlineStr">
        <is>
          <t>.</t>
        </is>
      </c>
      <c r="K750" t="inlineStr">
        <is>
          <t>.</t>
        </is>
      </c>
      <c r="L750" t="inlineStr">
        <is>
          <t>.</t>
        </is>
      </c>
      <c r="M750" t="inlineStr">
        <is>
          <t>.</t>
        </is>
      </c>
      <c r="N750" t="inlineStr">
        <is>
          <t>.</t>
        </is>
      </c>
      <c r="O750" t="inlineStr">
        <is>
          <t>.</t>
        </is>
      </c>
    </row>
    <row r="751">
      <c r="A751" t="inlineStr">
        <is>
          <t>TRAPPC8</t>
        </is>
      </c>
      <c r="B751" t="inlineStr">
        <is>
          <t>0.999999744151836</t>
        </is>
      </c>
      <c r="C751" t="inlineStr">
        <is>
          <t>trafficking protein particle complex 8</t>
        </is>
      </c>
      <c r="D751" t="inlineStr">
        <is>
          <t xml:space="preserve">FUNCTION: May be involved in endoplasmic reticulum to Golgi apparatus trafficking at a very early stage. {ECO:0000269|PubMed:21525244}.; </t>
        </is>
      </c>
      <c r="E751" t="inlineStr">
        <is>
          <t>.</t>
        </is>
      </c>
      <c r="F751" t="inlineStr">
        <is>
          <t>.</t>
        </is>
      </c>
      <c r="G751" t="inlineStr">
        <is>
          <t>medulla oblongata;ovary;sympathetic chain;colon;parathyroid;fovea centralis;choroid;skin;retina;uterus;prostate;optic nerve;atrium;whole body;thyroid;bone;testis;dura mater;germinal center;brain;bladder;unclassifiable (Anatomical System);meninges;lymph node;cartilage;heart;islets of Langerhans;hypothalamus;lens;skeletal muscle;bile duct;breast;pia mater;lung;nasopharynx;trabecular meshwork;placenta;macula lutea;visual apparatus;liver;head and neck;cervix;kidney;peripheral nerve;</t>
        </is>
      </c>
      <c r="H751" t="inlineStr">
        <is>
          <t>superior cervical ganglion;testis - interstitial;testis - seminiferous tubule;testis;caudate nucleus;atrioventricular node;</t>
        </is>
      </c>
      <c r="I751" t="inlineStr">
        <is>
          <t>.</t>
        </is>
      </c>
      <c r="J751" t="inlineStr">
        <is>
          <t>.</t>
        </is>
      </c>
      <c r="K751" t="inlineStr">
        <is>
          <t>.</t>
        </is>
      </c>
      <c r="L751" t="inlineStr">
        <is>
          <t>.</t>
        </is>
      </c>
      <c r="M751" t="inlineStr">
        <is>
          <t>.</t>
        </is>
      </c>
      <c r="N751" t="inlineStr">
        <is>
          <t>.</t>
        </is>
      </c>
      <c r="O751" t="inlineStr">
        <is>
          <t>.</t>
        </is>
      </c>
    </row>
    <row r="752">
      <c r="A752" t="inlineStr">
        <is>
          <t>TRDN</t>
        </is>
      </c>
      <c r="B752" t="inlineStr">
        <is>
          <t>1.81677623808329e-10</t>
        </is>
      </c>
      <c r="C752" t="inlineStr">
        <is>
          <t>triadin</t>
        </is>
      </c>
      <c r="D752" t="inlineStr">
        <is>
          <t xml:space="preserve">FUNCTION: Contributes to the regulation of lumenal Ca2+ release via the sarcoplasmic reticulum calcium release channels RYR1 and RYR2, a key step in triggering skeletal and heart muscle contraction. Required for normal organization of the triad junction, where T-tubules and the sarcoplasmic reticulum terminal cisternae are in close contact (By similarity). Required for normal skeletal muscle strength. Plays a role in excitation- contraction coupling in the heart and in regulating the rate of heart beats. {ECO:0000250|UniProtKB:E9Q9K5, ECO:0000269|PubMed:22422768}.; </t>
        </is>
      </c>
      <c r="E752" t="inlineStr">
        <is>
          <t xml:space="preserve">DISEASE: Ventricular tachycardia, catecholaminergic polymorphic, 5, with or without muscle weakness (CPVT5) [MIM:615441]: An arrhythmogenic disorder characterized by stress-induced, bidirectional ventricular tachycardia that may degenerate into cardiac arrest and cause sudden death. Patients present with recurrent syncope, or sudden death after physical activity or emotional stress. Some patients have muscle weakness. {ECO:0000269|PubMed:22422768}. Note=The disease is caused by mutations affecting the gene represented in this entry.; </t>
        </is>
      </c>
      <c r="F752" t="inlineStr">
        <is>
          <t>.</t>
        </is>
      </c>
      <c r="G752" t="inlineStr">
        <is>
          <t>unclassifiable (Anatomical System);lung;whole body;macula lutea;developmental;liver;testis;fovea centralis;skeletal muscle;retina;</t>
        </is>
      </c>
      <c r="H752" t="inlineStr">
        <is>
          <t>subthalamic nucleus;superior cervical ganglion;tongue;thyroid;ciliary ganglion;atrioventricular node;pons;trigeminal ganglion;skeletal muscle;</t>
        </is>
      </c>
      <c r="I752">
        <f>HYPERLINK("https://omim.org/entry/615441", "615441")</f>
        <v/>
      </c>
      <c r="J752" t="inlineStr">
        <is>
          <t>.</t>
        </is>
      </c>
      <c r="K752" t="inlineStr">
        <is>
          <t>.</t>
        </is>
      </c>
      <c r="L752" t="inlineStr">
        <is>
          <t>.</t>
        </is>
      </c>
      <c r="M752" t="inlineStr">
        <is>
          <t>.</t>
        </is>
      </c>
      <c r="N752" t="inlineStr">
        <is>
          <t>.</t>
        </is>
      </c>
      <c r="O752" t="inlineStr">
        <is>
          <t>.</t>
        </is>
      </c>
    </row>
    <row r="753">
      <c r="A753" t="inlineStr">
        <is>
          <t>TRIM17</t>
        </is>
      </c>
      <c r="B753" t="inlineStr">
        <is>
          <t>2.40298559120734e-05</t>
        </is>
      </c>
      <c r="C753" t="inlineStr">
        <is>
          <t>tripartite motif containing 17</t>
        </is>
      </c>
      <c r="D753" t="inlineStr">
        <is>
          <t xml:space="preserve">FUNCTION: May function as a ubiquitin E3 ligase. {ECO:0000269|PubMed:19358823}.; </t>
        </is>
      </c>
      <c r="E753" t="inlineStr">
        <is>
          <t>.</t>
        </is>
      </c>
      <c r="F753" t="inlineStr">
        <is>
          <t xml:space="preserve">TISSUE SPECIFICITY: Almost exclusively in the testis. {ECO:0000269|PubMed:19358823}.; </t>
        </is>
      </c>
      <c r="G753" t="inlineStr">
        <is>
          <t>unclassifiable (Anatomical System);medulla oblongata;lung;larynx;bone;urinary;testis;blood;head and neck;kidney;bone marrow;</t>
        </is>
      </c>
      <c r="H753" t="inlineStr">
        <is>
          <t>pons;skin;cingulate cortex;</t>
        </is>
      </c>
      <c r="I753" t="inlineStr">
        <is>
          <t>.</t>
        </is>
      </c>
      <c r="J753" t="inlineStr">
        <is>
          <t>.</t>
        </is>
      </c>
      <c r="K753" t="inlineStr">
        <is>
          <t>.</t>
        </is>
      </c>
      <c r="L753" t="inlineStr">
        <is>
          <t>.</t>
        </is>
      </c>
      <c r="M753" t="inlineStr">
        <is>
          <t>.</t>
        </is>
      </c>
      <c r="N753" t="inlineStr">
        <is>
          <t>.</t>
        </is>
      </c>
      <c r="O753" t="inlineStr">
        <is>
          <t>.</t>
        </is>
      </c>
    </row>
    <row r="754">
      <c r="A754" t="inlineStr">
        <is>
          <t>TRIM55</t>
        </is>
      </c>
      <c r="B754" t="inlineStr">
        <is>
          <t>0.000207996390208794</t>
        </is>
      </c>
      <c r="C754" t="inlineStr">
        <is>
          <t>tripartite motif containing 55</t>
        </is>
      </c>
      <c r="D754" t="inlineStr">
        <is>
          <t xml:space="preserve">FUNCTION: May regulate gene expression and protein turnover in muscle cells. {ECO:0000250}.; </t>
        </is>
      </c>
      <c r="E754" t="inlineStr">
        <is>
          <t>.</t>
        </is>
      </c>
      <c r="F754" t="inlineStr">
        <is>
          <t xml:space="preserve">TISSUE SPECIFICITY: Highly expressed in muscle. Low-level expression in liver. {ECO:0000269|PubMed:11243782}.; </t>
        </is>
      </c>
      <c r="G754" t="inlineStr">
        <is>
          <t>unclassifiable (Anatomical System);heart;ovary;muscle;parathyroid;whole body;lung;larynx;placenta;liver;testis;head and neck;spleen;kidney;mammary gland;</t>
        </is>
      </c>
      <c r="H754" t="inlineStr">
        <is>
          <t>.</t>
        </is>
      </c>
      <c r="I754" t="inlineStr">
        <is>
          <t>.</t>
        </is>
      </c>
      <c r="J754" t="inlineStr">
        <is>
          <t>.</t>
        </is>
      </c>
      <c r="K754" t="inlineStr">
        <is>
          <t>.</t>
        </is>
      </c>
      <c r="L754" t="inlineStr">
        <is>
          <t>.</t>
        </is>
      </c>
      <c r="M754" t="inlineStr">
        <is>
          <t>.</t>
        </is>
      </c>
      <c r="N754" t="inlineStr">
        <is>
          <t>.</t>
        </is>
      </c>
      <c r="O754" t="inlineStr">
        <is>
          <t>.</t>
        </is>
      </c>
    </row>
    <row r="755">
      <c r="A755" t="inlineStr">
        <is>
          <t>TRIM72</t>
        </is>
      </c>
      <c r="B755" t="inlineStr">
        <is>
          <t>0.000530648274852266</t>
        </is>
      </c>
      <c r="C755" t="inlineStr">
        <is>
          <t>tripartite motif containing 72, E3 ubiquitin protein ligase</t>
        </is>
      </c>
      <c r="D755" t="inlineStr">
        <is>
          <t xml:space="preserve">FUNCTION: Muscle-specific protein that plays a central role in cell membrane repair by nucleating the assembly of the repair machinery at injury sites. Specifically binds phosphatidylserine. Acts as a sensor of oxidation: upon membrane damage, entry of extracellular oxidative environment results in disulfide bond formation and homooligomerization at the injury site. This oligomerization acts as a nucleation site for recruitment of TRIM72-containing vesicles to the injury site, leading to membrane patch formation. Probably acts upstream of the Ca(2+)-dependent membrane resealing process. Required for transport of DYSF to sites of cell injury during repair patch formation. Regulates membrane budding and exocytosis. May be involved in the regulation of the mobility of KCNB1-containing endocytic vesicles (By similarity). {ECO:0000250}.; </t>
        </is>
      </c>
      <c r="E755" t="inlineStr">
        <is>
          <t>.</t>
        </is>
      </c>
      <c r="F755" t="inlineStr">
        <is>
          <t>.</t>
        </is>
      </c>
      <c r="G755" t="inlineStr">
        <is>
          <t>ovary;placenta;parathyroid;</t>
        </is>
      </c>
      <c r="H755" t="inlineStr">
        <is>
          <t>subthalamic nucleus;ciliary ganglion;kidney;atrioventricular node;skeletal muscle;</t>
        </is>
      </c>
      <c r="I755" t="inlineStr">
        <is>
          <t>.</t>
        </is>
      </c>
      <c r="J755" t="inlineStr">
        <is>
          <t>.</t>
        </is>
      </c>
      <c r="K755" t="inlineStr">
        <is>
          <t>.</t>
        </is>
      </c>
      <c r="L755" t="inlineStr">
        <is>
          <t>.</t>
        </is>
      </c>
      <c r="M755" t="inlineStr">
        <is>
          <t>.</t>
        </is>
      </c>
      <c r="N755" t="inlineStr">
        <is>
          <t>.</t>
        </is>
      </c>
      <c r="O755" t="inlineStr">
        <is>
          <t>.</t>
        </is>
      </c>
    </row>
    <row r="756">
      <c r="A756" t="inlineStr">
        <is>
          <t>TRPM6</t>
        </is>
      </c>
      <c r="B756" t="inlineStr">
        <is>
          <t>0.588344973192852</t>
        </is>
      </c>
      <c r="C756" t="inlineStr">
        <is>
          <t>transient receptor potential cation channel subfamily M member 6</t>
        </is>
      </c>
      <c r="D756" t="inlineStr">
        <is>
          <t xml:space="preserve">FUNCTION: Essential ion channel and serine/threonine-protein kinase. Crucial for magnesium homeostasis. Has an important role in epithelial magnesium transport and in the active magnesium absorption in the gut and kidney. Isoforms of the type M6-kinase lack the ion channel region.; </t>
        </is>
      </c>
      <c r="E756" t="inlineStr">
        <is>
          <t>.</t>
        </is>
      </c>
      <c r="F756" t="inlineStr">
        <is>
          <t xml:space="preserve">TISSUE SPECIFICITY: Highly expressed in kidney and colon. Isoform TRPM6a and isoform TRPM6b, are coexpressed with TRPM7 in kidney, and testis, and are also found in several cell lines of lung origin. Isoform TRPM6c is detected only in testis and in NCI-H510A small cell lung carcinoma cells.; </t>
        </is>
      </c>
      <c r="G756" t="inlineStr">
        <is>
          <t>unclassifiable (Anatomical System);uterus;bile duct;lung;heart;bone;testis;kidney;brain;skin;retina;</t>
        </is>
      </c>
      <c r="H756" t="inlineStr">
        <is>
          <t>dorsal root ganglion;superior cervical ganglion;atrioventricular node;</t>
        </is>
      </c>
      <c r="I756" t="inlineStr">
        <is>
          <t>.</t>
        </is>
      </c>
      <c r="J756" t="inlineStr">
        <is>
          <t>.</t>
        </is>
      </c>
      <c r="K756" t="inlineStr">
        <is>
          <t>.</t>
        </is>
      </c>
      <c r="L756" t="inlineStr">
        <is>
          <t>.</t>
        </is>
      </c>
      <c r="M756" t="inlineStr">
        <is>
          <t>.</t>
        </is>
      </c>
      <c r="N756" t="inlineStr">
        <is>
          <t>.</t>
        </is>
      </c>
      <c r="O756" t="inlineStr">
        <is>
          <t>.</t>
        </is>
      </c>
    </row>
    <row r="757">
      <c r="A757" t="inlineStr">
        <is>
          <t>TSHR</t>
        </is>
      </c>
      <c r="B757" t="inlineStr">
        <is>
          <t>5.80341698067131e-06</t>
        </is>
      </c>
      <c r="C757" t="inlineStr">
        <is>
          <t>thyroid stimulating hormone receptor</t>
        </is>
      </c>
      <c r="D757" t="inlineStr">
        <is>
          <t xml:space="preserve">FUNCTION: Receptor for thyrothropin. Plays a central role in controlling thyroid cell metabolism. The activity of this receptor is mediated by G proteins which activate adenylate cyclase. Also acts as a receptor for thyrostimulin (GPA2+GPB5). {ECO:0000269|PubMed:12045258}.; </t>
        </is>
      </c>
      <c r="E757" t="inlineStr">
        <is>
          <t xml:space="preserve">DISEASE: Note=Defects in TSHR are found in patients affected by hyperthyroidism with different etiologies. Somatic, constitutively activating TSHR mutations and/or constitutively activating G(s)alpha mutations have been identified in toxic thyroid nodules (TTNs) that are the predominant cause of hyperthyroidism in iodine deficient areas. These mutations lead to TSH independent activation of the cAMP cascade resulting in thyroid growth and hormone production. TSHR mutations are found in autonomously functioning thyroid nodules (AFTN), toxic multinodular goiter (TMNG) and hyperfunctioning thyroid adenomas (HTA). TMNG encompasses a spectrum of different clinical entities, ranging from a single hyperfunctioning nodule within an enlarged thyroid, to multiple hyperfunctioning areas scattered throughout the gland. HTA are discrete encapsulated neoplasms characterized by TSH- independent autonomous growth, hypersecretion of thyroid hormones, and TSH suppression. Defects in TSHR are also a cause of thyroid neoplasms (papillary and follicular cancers).; DISEASE: Note=Autoantibodies against TSHR are directly responsible for the pathogenesis and hyperthyroidism of Graves disease. Antibody interaction with TSHR results in an uncontrolled receptor stimulation.; DISEASE: Hypothyroidism, congenital, non-goitrous, 1 (CHNG1) [MIM:275200]: A non-autoimmune condition characterized by resistance to thyroid-stimulating hormone (TSH) leading to increased levels of plasma TSH and low levels of thyroid hormone. It presents variable severity depending on the completeness of the defect. Most patients are euthyroid and asymptomatic, with a normal sized thyroid gland. Only a subset of patients develop hypothyroidism and present a hypoplastic thyroid gland. {ECO:0000269|PubMed:10720030, ECO:0000269|PubMed:11095460, ECO:0000269|PubMed:11442002, ECO:0000269|PubMed:12050212, ECO:0000269|PubMed:14725684, ECO:0000269|PubMed:15531543, ECO:0000269|PubMed:7528344, ECO:0000269|PubMed:8954020, ECO:0000269|PubMed:9100579, ECO:0000269|PubMed:9185526, ECO:0000269|PubMed:9329388}. Note=The disease is caused by mutations affecting the gene represented in this entry.; DISEASE: Familial gestational hyperthyroidism (HTFG) [MIM:603373]: A condition characterized by abnormally high levels of serum thyroid hormones occurring during early pregnancy. {ECO:0000269|PubMed:9854118}. Note=The disease is caused by mutations affecting the gene represented in this entry.; DISEASE: Hyperthyroidism, non-autoimmune (HTNA) [MIM:609152]: A condition characterized by abnormally high levels of serum thyroid hormones, thyroid hyperplasia, goiter and lack of anti-thyroid antibodies. Typical features of Graves disease such as exophthalmia, myxedema, antibodies anti-TSH receptor and lymphocytic infiltration of the thyroid gland are absent. {ECO:0000269|PubMed:10199795, ECO:0000269|PubMed:10852462, ECO:0000269|PubMed:11081252, ECO:0000269|PubMed:11127522, ECO:0000269|PubMed:11201847, ECO:0000269|PubMed:11517004, ECO:0000269|PubMed:11549687, ECO:0000269|PubMed:15163335, ECO:0000269|PubMed:7800007, ECO:0000269|PubMed:7920658, ECO:0000269|PubMed:8636266, ECO:0000269|PubMed:8964822, ECO:0000269|PubMed:9349581, ECO:0000269|PubMed:9360555, ECO:0000269|PubMed:9398746, ECO:0000269|PubMed:9589634}. Note=The disease is caused by mutations affecting the gene represented in this entry.; </t>
        </is>
      </c>
      <c r="F757" t="inlineStr">
        <is>
          <t xml:space="preserve">TISSUE SPECIFICITY: Expressed in the thyroid. {ECO:0000269|PubMed:2610690}.; </t>
        </is>
      </c>
      <c r="G757" t="inlineStr">
        <is>
          <t>unclassifiable (Anatomical System);lung;ovary;thyroid;blood;head and neck;brain;skeletal muscle;bone marrow;</t>
        </is>
      </c>
      <c r="H757" t="inlineStr">
        <is>
          <t>superior cervical ganglion;thyroid;globus pallidus;ciliary ganglion;pons;atrioventricular node;fetal thyroid;trigeminal ganglion;skeletal muscle;thymus;</t>
        </is>
      </c>
      <c r="I757">
        <f>HYPERLINK("https://omim.org/entry/275200", "275200")</f>
        <v/>
      </c>
      <c r="J757">
        <f>HYPERLINK("https://omim.org/entry/603373", "603373")</f>
        <v/>
      </c>
      <c r="K757">
        <f>HYPERLINK("https://omim.org/entry/609152", "609152")</f>
        <v/>
      </c>
      <c r="L757" t="inlineStr">
        <is>
          <t>.</t>
        </is>
      </c>
      <c r="M757" t="inlineStr">
        <is>
          <t>.</t>
        </is>
      </c>
      <c r="N757" t="inlineStr">
        <is>
          <t>.</t>
        </is>
      </c>
      <c r="O757" t="inlineStr">
        <is>
          <t>.</t>
        </is>
      </c>
    </row>
    <row r="758">
      <c r="A758" t="inlineStr">
        <is>
          <t>TSR2</t>
        </is>
      </c>
      <c r="B758" t="inlineStr">
        <is>
          <t>0.760610428612814</t>
        </is>
      </c>
      <c r="C758" t="inlineStr">
        <is>
          <t>TSR2, 20S rRNA accumulation, homolog (S. cerevisiae)</t>
        </is>
      </c>
      <c r="D758" t="inlineStr">
        <is>
          <t xml:space="preserve">FUNCTION: May be involved in 20S pre-rRNA processing. {ECO:0000305}.; </t>
        </is>
      </c>
      <c r="E758" t="inlineStr">
        <is>
          <t xml:space="preserve">DISEASE: Diamond-Blackfan anemia 14, with mandibulofacial dysostosis (DBA14) [MIM:300946]: A form of Diamond-Blackfan anemia, a congenital non-regenerative hypoplastic anemia that usually presents early in infancy. Diamond-Blackfan anemia is characterized by a moderate to severe macrocytic anemia, erythroblastopenia, and an increased risk of malignancy. 30 to 40% of Diamond-Blackfan anemia patients present with short stature and congenital anomalies, the most frequent being craniofacial (Pierre-Robin syndrome and cleft palate), thumb and urogenital anomalies. {ECO:0000269|PubMed:24942156}. Note=The disease is caused by mutations affecting the gene represented in this entry.; </t>
        </is>
      </c>
      <c r="F758" t="inlineStr">
        <is>
          <t>.</t>
        </is>
      </c>
      <c r="G758" t="inlineStr">
        <is>
          <t>.</t>
        </is>
      </c>
      <c r="H758" t="inlineStr">
        <is>
          <t>.</t>
        </is>
      </c>
      <c r="I758">
        <f>HYPERLINK("https://omim.org/entry/300946", "300946")</f>
        <v/>
      </c>
      <c r="J758" t="inlineStr">
        <is>
          <t>.</t>
        </is>
      </c>
      <c r="K758" t="inlineStr">
        <is>
          <t>.</t>
        </is>
      </c>
      <c r="L758" t="inlineStr">
        <is>
          <t>.</t>
        </is>
      </c>
      <c r="M758" t="inlineStr">
        <is>
          <t>.</t>
        </is>
      </c>
      <c r="N758" t="inlineStr">
        <is>
          <t>.</t>
        </is>
      </c>
      <c r="O758" t="inlineStr">
        <is>
          <t>.</t>
        </is>
      </c>
    </row>
    <row r="759">
      <c r="A759" t="inlineStr">
        <is>
          <t>TSSK2</t>
        </is>
      </c>
      <c r="B759" t="inlineStr">
        <is>
          <t>0.0041565292806896</t>
        </is>
      </c>
      <c r="C759" t="inlineStr">
        <is>
          <t>testis specific serine kinase 2</t>
        </is>
      </c>
      <c r="D759" t="inlineStr">
        <is>
          <t xml:space="preserve">FUNCTION: Testis-specific serine/threonine-protein kinase required during spermatid development. Phosphorylates TSKS at 'Ser-288' and SPAG16. Involved in the late stages of spermatogenesis, during the reconstruction of the cytoplasm. During spermatogenesis, required for the transformation of a ring-shaped structure around the base of the flagellum originating from the chromatoid body. {ECO:0000269|PubMed:15044604, ECO:0000269|PubMed:18533145, ECO:0000269|PubMed:20729278}.; </t>
        </is>
      </c>
      <c r="E759" t="inlineStr">
        <is>
          <t>.</t>
        </is>
      </c>
      <c r="F759" t="inlineStr">
        <is>
          <t xml:space="preserve">TISSUE SPECIFICITY: Testis-specific. Present in mature spermatozoa (at protein level). {ECO:0000269|PubMed:15044604, ECO:0000269|PubMed:18533145, ECO:0000269|PubMed:20729278}.; </t>
        </is>
      </c>
      <c r="G759" t="inlineStr">
        <is>
          <t>.</t>
        </is>
      </c>
      <c r="H759" t="inlineStr">
        <is>
          <t>.</t>
        </is>
      </c>
      <c r="I759" t="inlineStr">
        <is>
          <t>.</t>
        </is>
      </c>
      <c r="J759" t="inlineStr">
        <is>
          <t>.</t>
        </is>
      </c>
      <c r="K759" t="inlineStr">
        <is>
          <t>.</t>
        </is>
      </c>
      <c r="L759" t="inlineStr">
        <is>
          <t>.</t>
        </is>
      </c>
      <c r="M759" t="inlineStr">
        <is>
          <t>.</t>
        </is>
      </c>
      <c r="N759" t="inlineStr">
        <is>
          <t>.</t>
        </is>
      </c>
      <c r="O759" t="inlineStr">
        <is>
          <t>.</t>
        </is>
      </c>
    </row>
    <row r="760">
      <c r="A760" t="inlineStr">
        <is>
          <t>TTC30A</t>
        </is>
      </c>
      <c r="B760" t="inlineStr">
        <is>
          <t>1.362196147394e-05</t>
        </is>
      </c>
      <c r="C760" t="inlineStr">
        <is>
          <t>tetratricopeptide repeat domain 30A</t>
        </is>
      </c>
      <c r="D760" t="inlineStr">
        <is>
          <t xml:space="preserve">FUNCTION: Required for polyglutamylation of axonemal tubulin. Plays a role in anterograde intraflagellar transport (IFT), the process by which cilia precursors are transported from the base of the cilium to the site of their incorporation at the tip. {ECO:0000250}.; </t>
        </is>
      </c>
      <c r="E760" t="inlineStr">
        <is>
          <t>.</t>
        </is>
      </c>
      <c r="F760" t="inlineStr">
        <is>
          <t>.</t>
        </is>
      </c>
      <c r="G760" t="inlineStr">
        <is>
          <t>unclassifiable (Anatomical System);lung;whole body;colon;brain;bone marrow;</t>
        </is>
      </c>
      <c r="H760" t="inlineStr">
        <is>
          <t>superior cervical ganglion;trigeminal ganglion;</t>
        </is>
      </c>
      <c r="I760" t="inlineStr">
        <is>
          <t>.</t>
        </is>
      </c>
      <c r="J760" t="inlineStr">
        <is>
          <t>.</t>
        </is>
      </c>
      <c r="K760" t="inlineStr">
        <is>
          <t>.</t>
        </is>
      </c>
      <c r="L760" t="inlineStr">
        <is>
          <t>.</t>
        </is>
      </c>
      <c r="M760" t="inlineStr">
        <is>
          <t>.</t>
        </is>
      </c>
      <c r="N760" t="inlineStr">
        <is>
          <t>.</t>
        </is>
      </c>
      <c r="O760" t="inlineStr">
        <is>
          <t>.</t>
        </is>
      </c>
    </row>
    <row r="761">
      <c r="A761" t="inlineStr">
        <is>
          <t>TTC37</t>
        </is>
      </c>
      <c r="B761" t="inlineStr">
        <is>
          <t>7.99341870810084e-20</t>
        </is>
      </c>
      <c r="C761" t="inlineStr">
        <is>
          <t>tetratricopeptide repeat domain 37</t>
        </is>
      </c>
      <c r="D761" t="inlineStr">
        <is>
          <t xml:space="preserve">FUNCTION: Component of the SKI complex which is thought to be involved in exosome-mediated RNA decay and associates with transcriptionally active genes in a manner dependent on PAF1 complex (PAF1C).; </t>
        </is>
      </c>
      <c r="E761" t="inlineStr">
        <is>
          <t>.</t>
        </is>
      </c>
      <c r="F761" t="inlineStr">
        <is>
          <t xml:space="preserve">TISSUE SPECIFICITY: Widely expressed with the highest levels observed in vascular tissues, lymph node, pituitary, lung and intestine. Not expressed in the liver. {ECO:0000269|PubMed:21120949}.; </t>
        </is>
      </c>
      <c r="G761" t="inlineStr">
        <is>
          <t>lymphoreticular;smooth muscle;ovary;skin;retina;bone marrow;prostate;frontal lobe;endometrium;thyroid;germinal center;bladder;brain;tonsil;amygdala;heart;cartilage;urinary;pharynx;blood;skeletal muscle;breast;epididymis;trabecular meshwork;visual apparatus;liver;spleen;mammary gland;peripheral nerve;salivary gland;colon;uterus;whole body;larynx;bone;pituitary gland;testis;dura mater;unclassifiable (Anatomical System);meninges;islets of Langerhans;oral cavity;bile duct;pancreas;pia mater;lung;mesenchyma;nasopharynx;placenta;amnion;head and neck;kidney;stomach;aorta;</t>
        </is>
      </c>
      <c r="H761" t="inlineStr">
        <is>
          <t>dorsal root ganglion;subthalamic nucleus;superior cervical ganglion;prefrontal cortex;atrioventricular node;</t>
        </is>
      </c>
      <c r="I761" t="inlineStr">
        <is>
          <t>.</t>
        </is>
      </c>
      <c r="J761" t="inlineStr">
        <is>
          <t>.</t>
        </is>
      </c>
      <c r="K761" t="inlineStr">
        <is>
          <t>.</t>
        </is>
      </c>
      <c r="L761" t="inlineStr">
        <is>
          <t>.</t>
        </is>
      </c>
      <c r="M761" t="inlineStr">
        <is>
          <t>.</t>
        </is>
      </c>
      <c r="N761" t="inlineStr">
        <is>
          <t>.</t>
        </is>
      </c>
      <c r="O761" t="inlineStr">
        <is>
          <t>.</t>
        </is>
      </c>
    </row>
    <row r="762">
      <c r="A762" t="inlineStr">
        <is>
          <t>TTF2</t>
        </is>
      </c>
      <c r="B762" t="inlineStr">
        <is>
          <t>7.3515283462504e-16</t>
        </is>
      </c>
      <c r="C762" t="inlineStr">
        <is>
          <t>transcription termination factor, RNA polymerase II</t>
        </is>
      </c>
      <c r="D762" t="inlineStr">
        <is>
          <t xml:space="preserve">FUNCTION: DsDNA-dependent ATPase which acts as a transcription termination factor by coupling ATP hydrolysis with removal of RNA polymerase II from the DNA template. May contribute to mitotic transcription repression. May also be involved in pre-mRNA splicing. {ECO:0000269|PubMed:10455150, ECO:0000269|PubMed:12927788, ECO:0000269|PubMed:15125840, ECO:0000269|PubMed:9748214}.; </t>
        </is>
      </c>
      <c r="E762" t="inlineStr">
        <is>
          <t>.</t>
        </is>
      </c>
      <c r="F762" t="inlineStr">
        <is>
          <t>.</t>
        </is>
      </c>
      <c r="G762" t="inlineStr">
        <is>
          <t>.</t>
        </is>
      </c>
      <c r="H762" t="inlineStr">
        <is>
          <t>.</t>
        </is>
      </c>
      <c r="I762" t="inlineStr">
        <is>
          <t>.</t>
        </is>
      </c>
      <c r="J762" t="inlineStr">
        <is>
          <t>.</t>
        </is>
      </c>
      <c r="K762" t="inlineStr">
        <is>
          <t>.</t>
        </is>
      </c>
      <c r="L762" t="inlineStr">
        <is>
          <t>.</t>
        </is>
      </c>
      <c r="M762" t="inlineStr">
        <is>
          <t>.</t>
        </is>
      </c>
      <c r="N762" t="inlineStr">
        <is>
          <t>.</t>
        </is>
      </c>
      <c r="O762" t="inlineStr">
        <is>
          <t>.</t>
        </is>
      </c>
    </row>
    <row r="763">
      <c r="A763" t="inlineStr">
        <is>
          <t>TTLL12</t>
        </is>
      </c>
      <c r="B763" t="inlineStr">
        <is>
          <t>1.99091364629049e-15</t>
        </is>
      </c>
      <c r="C763" t="inlineStr">
        <is>
          <t>tubulin tyrosine ligase like 12</t>
        </is>
      </c>
      <c r="D763" t="inlineStr">
        <is>
          <t>.</t>
        </is>
      </c>
      <c r="E763" t="inlineStr">
        <is>
          <t>.</t>
        </is>
      </c>
      <c r="F763" t="inlineStr">
        <is>
          <t>.</t>
        </is>
      </c>
      <c r="G763" t="inlineStr">
        <is>
          <t>lymphoreticular;medulla oblongata;ovary;colon;parathyroid;fovea centralis;choroid;skin;retina;uterus;prostate;optic nerve;whole body;larynx;bone;iris;testis;germinal center;brain;pineal gland;gall bladder;unclassifiable (Anatomical System);lymph node;cartilage;heart;muscle;adrenal cortex;blood;lens;skeletal muscle;pancreas;lung;placenta;macula lutea;visual apparatus;liver;spleen;head and neck;cervix;kidney;mammary gland;stomach;peripheral nerve;cerebellum;</t>
        </is>
      </c>
      <c r="H763" t="inlineStr">
        <is>
          <t>superior cervical ganglion;liver;testis;pons;trigeminal ganglion;skeletal muscle;parietal lobe;</t>
        </is>
      </c>
      <c r="I763" t="inlineStr">
        <is>
          <t>.</t>
        </is>
      </c>
      <c r="J763" t="inlineStr">
        <is>
          <t>.</t>
        </is>
      </c>
      <c r="K763" t="inlineStr">
        <is>
          <t>.</t>
        </is>
      </c>
      <c r="L763" t="inlineStr">
        <is>
          <t>.</t>
        </is>
      </c>
      <c r="M763" t="inlineStr">
        <is>
          <t>.</t>
        </is>
      </c>
      <c r="N763" t="inlineStr">
        <is>
          <t>.</t>
        </is>
      </c>
      <c r="O763" t="inlineStr">
        <is>
          <t>.</t>
        </is>
      </c>
    </row>
    <row r="764">
      <c r="A764" t="inlineStr">
        <is>
          <t>TTLL3</t>
        </is>
      </c>
      <c r="B764" t="inlineStr">
        <is>
          <t>3.84160687240076e-14</t>
        </is>
      </c>
      <c r="C764" t="inlineStr">
        <is>
          <t>tubulin tyrosine ligase like 3</t>
        </is>
      </c>
      <c r="D764" t="inlineStr">
        <is>
          <t xml:space="preserve">FUNCTION: Monoglycylase which modifies alpha- and beta-tubulin, generating side chains of glycine on the gamma-carboxyl groups of specific glutamate residues within the C-terminal tail of alpha- and beta-tubulin. Involved in the side-chain initiation step of the glycylation reaction by adding a single glycine chain to generate monoglycine side chains. Not involved in elongation step of the polyglycylation reaction. {ECO:0000269|PubMed:19524510}.; </t>
        </is>
      </c>
      <c r="E764" t="inlineStr">
        <is>
          <t>.</t>
        </is>
      </c>
      <c r="F764" t="inlineStr">
        <is>
          <t>.</t>
        </is>
      </c>
      <c r="G764" t="inlineStr">
        <is>
          <t>colon;parathyroid;fovea centralis;choroid;retina;bone marrow;uterus;prostate;optic nerve;frontal lobe;endometrium;thyroid;bone;testis;germinal center;brain;unclassifiable (Anatomical System);lymph node;cartilage;heart;urinary;blood;lens;skeletal muscle;pancreas;lung;placenta;macula lutea;visual apparatus;liver;hypopharynx;spleen;head and neck;kidney;mammary gland;stomach;peripheral nerve;</t>
        </is>
      </c>
      <c r="H764" t="inlineStr">
        <is>
          <t>dorsal root ganglion;subthalamic nucleus;superior cervical ganglion;testis - interstitial;testis - seminiferous tubule;spinal cord;prefrontal cortex;globus pallidus;testis;ciliary ganglion;atrioventricular node;trigeminal ganglion;</t>
        </is>
      </c>
      <c r="I764" t="inlineStr">
        <is>
          <t>.</t>
        </is>
      </c>
      <c r="J764" t="inlineStr">
        <is>
          <t>.</t>
        </is>
      </c>
      <c r="K764" t="inlineStr">
        <is>
          <t>.</t>
        </is>
      </c>
      <c r="L764" t="inlineStr">
        <is>
          <t>.</t>
        </is>
      </c>
      <c r="M764" t="inlineStr">
        <is>
          <t>.</t>
        </is>
      </c>
      <c r="N764" t="inlineStr">
        <is>
          <t>.</t>
        </is>
      </c>
      <c r="O764" t="inlineStr">
        <is>
          <t>.</t>
        </is>
      </c>
    </row>
    <row r="765">
      <c r="A765" t="inlineStr">
        <is>
          <t>TTLL9</t>
        </is>
      </c>
      <c r="B765" t="inlineStr">
        <is>
          <t>4.48655268982384e-10</t>
        </is>
      </c>
      <c r="C765" t="inlineStr">
        <is>
          <t>tubulin tyrosine ligase like 9</t>
        </is>
      </c>
      <c r="D765" t="inlineStr">
        <is>
          <t xml:space="preserve">FUNCTION: Probable tubulin polyglutamylase that forms polyglutamate side chains on tubulin. Probably acts when complexed with other proteins (By similarity). {ECO:0000250}.; </t>
        </is>
      </c>
      <c r="E765" t="inlineStr">
        <is>
          <t>.</t>
        </is>
      </c>
      <c r="F765" t="inlineStr">
        <is>
          <t>.</t>
        </is>
      </c>
      <c r="G765" t="inlineStr">
        <is>
          <t>brain;</t>
        </is>
      </c>
      <c r="H765" t="inlineStr">
        <is>
          <t>dorsal root ganglion;testis - interstitial;superior cervical ganglion;ciliary ganglion;atrioventricular node;trigeminal ganglion;skeletal muscle;</t>
        </is>
      </c>
      <c r="I765" t="inlineStr">
        <is>
          <t>.</t>
        </is>
      </c>
      <c r="J765" t="inlineStr">
        <is>
          <t>.</t>
        </is>
      </c>
      <c r="K765" t="inlineStr">
        <is>
          <t>.</t>
        </is>
      </c>
      <c r="L765" t="inlineStr">
        <is>
          <t>.</t>
        </is>
      </c>
      <c r="M765" t="inlineStr">
        <is>
          <t>.</t>
        </is>
      </c>
      <c r="N765" t="inlineStr">
        <is>
          <t>.</t>
        </is>
      </c>
      <c r="O765" t="inlineStr">
        <is>
          <t>.</t>
        </is>
      </c>
    </row>
    <row r="766">
      <c r="A766" t="inlineStr">
        <is>
          <t>TTN</t>
        </is>
      </c>
      <c r="B766" t="inlineStr">
        <is>
          <t>1.21111377105808e-32</t>
        </is>
      </c>
      <c r="C766" t="inlineStr">
        <is>
          <t>titin</t>
        </is>
      </c>
      <c r="D766" t="inlineStr">
        <is>
          <t xml:space="preserve">FUNCTION: Key component in the assembly and functioning of vertebrate striated muscles. By providing connections at the level of individual microfilaments, it contributes to the fine balance of forces between the two halves of the sarcomere. The size and extensibility of the cross-links are the main determinants of sarcomere extensibility properties of muscle. In non-muscle cells, seems to play a role in chromosome condensation and chromosome segregation during mitosis. Might link the lamina network to chromatin or nuclear actin, or both during interphase. {ECO:0000269|PubMed:9804419}.; </t>
        </is>
      </c>
      <c r="E766" t="inlineStr">
        <is>
          <t xml:space="preserve">DISEASE: Hereditary myopathy with early respiratory failure (HMERF) [MIM:603689]: Autosomal dominant, adult-onset myopathy with early respiratory muscle involvement. {ECO:0000269|PubMed:15802564}. Note=The disease is caused by mutations affecting the gene represented in this entry.; DISEASE: Cardiomyopathy, familial hypertrophic 9 (CMH9) [MIM:613765]: A hereditary heart disorder characterized by ventricular hypertrophy, which is usually asymmetric and often involves the interventricular septum. The symptoms include dyspnea, syncope, collapse, palpitations, and chest pain. They can be readily provoked by exercise. The disorder has inter- and intrafamilial variability ranging from benign to malignant forms with high risk of cardiac failure and sudden cardiac death. {ECO:0000269|PubMed:10462489}. Note=The disease is caused by mutations affecting the gene represented in this entry.; DISEASE: Cardiomyopathy, dilated 1G (CMD1G) [MIM:604145]: A disorder characterized by ventricular dilation and impaired systolic function, resulting in congestive heart failure and arrhythmia. Patients are at risk of premature death. {ECO:0000269|PubMed:11788824, ECO:0000269|PubMed:11846417, ECO:0000269|PubMed:16465475}. Note=The disease is caused by mutations affecting the gene represented in this entry.; DISEASE: Tardive tibial muscular dystrophy (TMD) [MIM:600334]: Autosomal dominant, late-onset distal myopathy. Muscle weakness and atrophy are usually confined to the anterior compartment of the lower leg, in particular the tibialis anterior muscle. Clinical symptoms usually occur at age 35-45 years or much later. {ECO:0000269|PubMed:12145747, ECO:0000269|PubMed:12891679}. Note=The disease is caused by mutations affecting the gene represented in this entry.; DISEASE: Limb-girdle muscular dystrophy 2J (LGMD2J) [MIM:608807]: An autosomal recessive degenerative myopathy characterized by progressive weakness of the pelvic and shoulder girdle muscles. Severe disability is observed within 20 years of onset. {ECO:0000269|PubMed:12145747}. Note=The disease is caused by mutations affecting the gene represented in this entry.; DISEASE: Early-onset myopathy with fatal cardiomyopathy (EOMFC) [MIM:611705]: Early-onset myopathies are inherited muscle disorders that manifest typically from birth or infancy with hypotonia, muscle weakness, and delayed motor development. EOMFC is a titinopathy that, in contrast with the previously described examples, involves both heart and skeletal muscle, has a congenital onset, and is purely recessive. This phenotype is due to homozygous out-of-frame TTN deletions, which lead to a total absence of titin's C-terminal end from striated muscles and to secondary CAPN3 depletion. {ECO:0000269|PubMed:17444505}. Note=The disease is caused by mutations affecting the gene represented in this entry.; </t>
        </is>
      </c>
      <c r="F766" t="inlineStr">
        <is>
          <t xml:space="preserve">TISSUE SPECIFICITY: Isoforms 3, 7 and 8 are expressed in cardiac muscle. Isoform 4 is expressed in vertebrate skeletal muscle. Isoform 6 is expressed in skeletal muscle (at protein level). {ECO:0000269|PubMed:11717165, ECO:0000269|PubMed:7819249}.; </t>
        </is>
      </c>
      <c r="G766" t="inlineStr">
        <is>
          <t>myocardium;ovary;colon;parathyroid;choroid;fovea centralis;skin;bone marrow;retina;uterus;prostate;whole body;optic nerve;atrium;frontal lobe;larynx;thyroid;bone;testis;germinal center;unclassifiable (Anatomical System);heart;tongue;muscle;spinal cord;blood;lens;skeletal muscle;pancreas;lung;nasopharynx;placenta;visual apparatus;macula lutea;alveolus;liver;spleen;head and neck;kidney;peripheral nerve;</t>
        </is>
      </c>
      <c r="H766" t="inlineStr">
        <is>
          <t>superior cervical ganglion;tongue;thyroid;globus pallidus;testis;atrioventricular node;pons;fetal thyroid;trigeminal ganglion;skeletal muscle;</t>
        </is>
      </c>
      <c r="I766">
        <f>HYPERLINK("https://omim.org/entry/603689", "603689")</f>
        <v/>
      </c>
      <c r="J766">
        <f>HYPERLINK("https://omim.org/entry/613765", "613765")</f>
        <v/>
      </c>
      <c r="K766">
        <f>HYPERLINK("https://omim.org/entry/604145", "604145")</f>
        <v/>
      </c>
      <c r="L766">
        <f>HYPERLINK("https://omim.org/entry/600334", "600334")</f>
        <v/>
      </c>
      <c r="M766">
        <f>HYPERLINK("https://omim.org/entry/608807", "608807")</f>
        <v/>
      </c>
      <c r="N766">
        <f>HYPERLINK("https://omim.org/entry/611705", "611705")</f>
        <v/>
      </c>
      <c r="O766" t="inlineStr">
        <is>
          <t>.</t>
        </is>
      </c>
    </row>
    <row r="767">
      <c r="A767" t="inlineStr">
        <is>
          <t>TTR</t>
        </is>
      </c>
      <c r="B767" t="inlineStr">
        <is>
          <t>0.130835841006919</t>
        </is>
      </c>
      <c r="C767" t="inlineStr">
        <is>
          <t>transthyretin</t>
        </is>
      </c>
      <c r="D767" t="inlineStr">
        <is>
          <t xml:space="preserve">FUNCTION: Thyroid hormone-binding protein. Probably transports thyroxine from the bloodstream to the brain. {ECO:0000269|PubMed:3714052}.; </t>
        </is>
      </c>
      <c r="E767" t="inlineStr">
        <is>
          <t xml:space="preserve">DISEASE: Amyloidosis, transthyretin-related (AMYL-TTR) [MIM:105210]: A hereditary generalized amyloidosis due to transthyretin amyloid deposition. Protein fibrils can form in different tissues leading to amyloid polyneuropathies, amyloidotic cardiomyopathy, carpal tunnel syndrome, systemic senile amyloidosis. The disease includes leptomeningeal amyloidosis that is characterized by primary involvement of the central nervous system. Neuropathologic examination shows amyloid in the walls of leptomeningeal vessels, in pia arachnoid, and subpial deposits. Some patients also develop vitreous amyloid deposition that leads to visual impairment (oculoleptomeningeal amyloidosis). Clinical features include seizures, stroke-like episodes, dementia, psychomotor deterioration, variable amyloid deposition in the vitreous humor. {ECO:0000269|PubMed:10036587, ECO:0000269|PubMed:10071047, ECO:0000269|PubMed:10211412, ECO:0000269|PubMed:10436378, ECO:0000269|PubMed:10439117, ECO:0000269|PubMed:10611950, ECO:0000269|PubMed:10627135, ECO:0000269|PubMed:10694917, ECO:0000269|PubMed:10842705, ECO:0000269|PubMed:10842718, ECO:0000269|PubMed:10882995, ECO:0000269|PubMed:11445644, ECO:0000269|PubMed:11866053, ECO:0000269|PubMed:12050338, ECO:0000269|PubMed:12557757, ECO:0000269|PubMed:12771253, ECO:0000269|PubMed:1301926, ECO:0000269|PubMed:1351039, ECO:0000269|PubMed:1362222, ECO:0000269|PubMed:1436517, ECO:0000269|PubMed:1517749, ECO:0000269|PubMed:1520326, ECO:0000269|PubMed:1520336, ECO:0000269|PubMed:15214015, ECO:0000269|PubMed:15217993, ECO:0000269|PubMed:1544214, ECO:0000269|PubMed:15478468, ECO:0000269|PubMed:1570831, ECO:0000269|PubMed:1656975, ECO:0000269|PubMed:1734866, ECO:0000269|PubMed:17453626, ECO:0000269|PubMed:17503405, ECO:0000269|PubMed:17577687, ECO:0000269|PubMed:17635579, ECO:0000269|PubMed:1932142, ECO:0000269|PubMed:2046936, ECO:0000269|PubMed:2161654, ECO:0000269|PubMed:23317988, ECO:0000269|PubMed:2363717, ECO:0000269|PubMed:2891727, ECO:0000269|PubMed:3022108, ECO:0000269|PubMed:3135807, ECO:0000269|PubMed:3722385, ECO:0000269|PubMed:3818577, ECO:0000269|PubMed:6487335, ECO:0000269|PubMed:6583672, ECO:0000269|PubMed:6651852, ECO:0000269|PubMed:7655883, ECO:0000269|PubMed:7850982, ECO:0000269|PubMed:7910950, ECO:0000269|PubMed:7914929, ECO:0000269|PubMed:7923855, ECO:0000269|PubMed:8019560, ECO:0000269|PubMed:8038017, ECO:0000269|PubMed:8081397, ECO:0000269|PubMed:8095302, ECO:0000269|PubMed:8133316, ECO:0000269|PubMed:8257997, ECO:0000269|PubMed:8352764, ECO:0000269|PubMed:8579098, ECO:0000269|PubMed:8990019, ECO:0000269|PubMed:9066351, ECO:0000269|PubMed:9605286, ECO:0000269|Ref.90}. Note=The disease is caused by mutations affecting the gene represented in this entry.; DISEASE: Hyperthyroxinemia, dystransthyretinemic (DTTRH) [MIM:145680]: A condition characterized by elevation of total and free thyroxine in healthy, euthyroid persons without detectable binding protein abnormalities. {ECO:0000269|PubMed:1979335}. Note=The disease is caused by mutations affecting the gene represented in this entry.; DISEASE: Carpal tunnel syndrome 1 (CTS1) [MIM:115430]: A condition characterized by entrapment of the median nerve within the carpal tunnel. Symptoms include burning pain and paresthesias involving the ventral surface of the hand and fingers which may radiate proximally. Impairment of sensation in the distribution of the median nerve and thenar muscle atrophy may occur. This condition may be associated with repetitive occupational trauma, wrist injuries, amyloid neuropathies, rheumatoid arthritis. {ECO:0000269|PubMed:8309582}. Note=The disease is caused by mutations affecting the gene represented in this entry.; </t>
        </is>
      </c>
      <c r="F767" t="inlineStr">
        <is>
          <t xml:space="preserve">TISSUE SPECIFICITY: Detected in serum and cerebrospinal fluid (at protein level). Highly expressed in choroid plexus epithelial cells. Detected in retina pigment epithelium and liver. {ECO:0000269|PubMed:10328977, ECO:0000269|PubMed:3714052}.; </t>
        </is>
      </c>
      <c r="G767" t="inlineStr">
        <is>
          <t>unclassifiable (Anatomical System);meninges;ovary;islets of Langerhans;hypothalamus;salivary gland;intestine;pharynx;colon;blood;skin;breast;prostate;pia mater;lung;visual apparatus;hippocampus;liver;dura mater;kidney;brain;bladder;</t>
        </is>
      </c>
      <c r="H767" t="inlineStr">
        <is>
          <t>amygdala;whole brain;thalamus;fetal liver;pancreas;cerebellum peduncles;hypothalamus;beta cell islets;liver;caudate nucleus;cerebellum;</t>
        </is>
      </c>
      <c r="I767">
        <f>HYPERLINK("https://omim.org/entry/105210", "105210")</f>
        <v/>
      </c>
      <c r="J767">
        <f>HYPERLINK("https://omim.org/entry/145680", "145680")</f>
        <v/>
      </c>
      <c r="K767">
        <f>HYPERLINK("https://omim.org/entry/115430", "115430")</f>
        <v/>
      </c>
      <c r="L767" t="inlineStr">
        <is>
          <t>.</t>
        </is>
      </c>
      <c r="M767" t="inlineStr">
        <is>
          <t>.</t>
        </is>
      </c>
      <c r="N767" t="inlineStr">
        <is>
          <t>.</t>
        </is>
      </c>
      <c r="O767" t="inlineStr">
        <is>
          <t>.</t>
        </is>
      </c>
    </row>
    <row r="768">
      <c r="A768" t="inlineStr">
        <is>
          <t>TUBB3</t>
        </is>
      </c>
      <c r="B768" t="inlineStr">
        <is>
          <t>0.960789307391211</t>
        </is>
      </c>
      <c r="C768" t="inlineStr">
        <is>
          <t>tubulin beta 3 class III</t>
        </is>
      </c>
      <c r="D768" t="inlineStr">
        <is>
          <t xml:space="preserve">FUNCTION: Tubulin is the major constituent of microtubules. It binds two moles of GTP, one at an exchangeable site on the beta chain and one at a non-exchangeable site on the alpha chain. TUBB3 plays a critical role in proper axon guidance and mantainance. {ECO:0000269|PubMed:20074521}.; </t>
        </is>
      </c>
      <c r="E768" t="inlineStr">
        <is>
          <t xml:space="preserve">DISEASE: Fibrosis of extraocular muscles, congenital, 3A (CFEOM3A) [MIM:600638]: A congenital ocular motility disorder marked by restrictive ophthalmoplegia affecting extraocular muscles innervated by the oculomotor and/or trochlear nerves. It is clinically characterized by anchoring of the eyes in downward gaze, ptosis, and backward tilt of the head. Congenital fibrosis of extraocular muscles type 3 presents as a non-progressive, autosomal dominant disorder with variable expression. Patients may be bilaterally or unilaterally affected, and their oculo-motility defects range from complete ophthalmoplegia (with the eyes fixed in a hypo- and exotropic position), to mild asymptomatic restrictions of ocular movement. Ptosis, refractive error, amblyopia, and compensatory head positions are associated with the more severe forms of the disorder. In some cases, the ocular phenotype is accompanied by additional features including developmental delay, corpus callosum agenesis, basal ganglia dysmorphism, facial weakness, polyneuropathy. {ECO:0000269|PubMed:20074521}. Note=The disease is caused by mutations affecting the gene represented in this entry.; DISEASE: Cortical dysplasia, complex, with other brain malformations 1 (CDCBM1) [MIM:614039]: A disorder of aberrant neuronal migration and disturbed axonal guidance. Affected individuals have mild to severe mental retardation, strabismus, axial hypotonia, and spasticity. Brain imaging shows variable malformations of cortical development, including polymicrogyria, gyral disorganization, and fusion of the basal ganglia, as well as thin corpus callosum, hypoplastic brainstem, and dysplastic cerebellar vermis. Extraocular muscles are not involved. {ECO:0000269|PubMed:20829227}. Note=The disease is caused by mutations affecting the gene represented in this entry.; </t>
        </is>
      </c>
      <c r="F768" t="inlineStr">
        <is>
          <t xml:space="preserve">TISSUE SPECIFICITY: Expression is primarily restricted to central and peripheral nervous system. Greatly increased expression in most cancerous tissues. {ECO:0000269|PubMed:14736079, ECO:0000269|PubMed:20191564}.; </t>
        </is>
      </c>
      <c r="G768" t="inlineStr">
        <is>
          <t>unclassifiable (Anatomical System);lymph node;ovary;hypothalamus;sympathetic chain;colon;skin;skeletal muscle;uterus;pancreas;prostate;lung;frontal lobe;bone;visual apparatus;liver;testis;head and neck;kidney;spinal ganglion;brain;stomach;peripheral nerve;</t>
        </is>
      </c>
      <c r="H768" t="inlineStr">
        <is>
          <t>.</t>
        </is>
      </c>
      <c r="I768">
        <f>HYPERLINK("https://omim.org/entry/600638", "600638")</f>
        <v/>
      </c>
      <c r="J768">
        <f>HYPERLINK("https://omim.org/entry/614039", "614039")</f>
        <v/>
      </c>
      <c r="K768" t="inlineStr">
        <is>
          <t>.</t>
        </is>
      </c>
      <c r="L768" t="inlineStr">
        <is>
          <t>.</t>
        </is>
      </c>
      <c r="M768" t="inlineStr">
        <is>
          <t>.</t>
        </is>
      </c>
      <c r="N768" t="inlineStr">
        <is>
          <t>.</t>
        </is>
      </c>
      <c r="O768" t="inlineStr">
        <is>
          <t>.</t>
        </is>
      </c>
    </row>
    <row r="769">
      <c r="A769" t="inlineStr">
        <is>
          <t>TULP4</t>
        </is>
      </c>
      <c r="B769" t="inlineStr">
        <is>
          <t>0.99993680345815</t>
        </is>
      </c>
      <c r="C769" t="inlineStr">
        <is>
          <t>tubby like protein 4</t>
        </is>
      </c>
      <c r="D769" t="inlineStr">
        <is>
          <t xml:space="preserve">FUNCTION: May be a substrate-recognition component of a SCF-like ECS (Elongin-Cullin-SOCS-box protein) E3 ubiquitin ligase complex which mediates the ubiquitination and subsequent proteasomal degradation of target proteins. {ECO:0000250}.; </t>
        </is>
      </c>
      <c r="E769" t="inlineStr">
        <is>
          <t>.</t>
        </is>
      </c>
      <c r="F769" t="inlineStr">
        <is>
          <t xml:space="preserve">TISSUE SPECIFICITY: Expressed mainly in the brain, skeletal muscle, testis and kidney.; </t>
        </is>
      </c>
      <c r="G769" t="inlineStr">
        <is>
          <t>.</t>
        </is>
      </c>
      <c r="H769" t="inlineStr">
        <is>
          <t>.</t>
        </is>
      </c>
      <c r="I769" t="inlineStr">
        <is>
          <t>.</t>
        </is>
      </c>
      <c r="J769" t="inlineStr">
        <is>
          <t>.</t>
        </is>
      </c>
      <c r="K769" t="inlineStr">
        <is>
          <t>.</t>
        </is>
      </c>
      <c r="L769" t="inlineStr">
        <is>
          <t>.</t>
        </is>
      </c>
      <c r="M769" t="inlineStr">
        <is>
          <t>.</t>
        </is>
      </c>
      <c r="N769" t="inlineStr">
        <is>
          <t>.</t>
        </is>
      </c>
      <c r="O769" t="inlineStr">
        <is>
          <t>.</t>
        </is>
      </c>
    </row>
    <row r="770">
      <c r="A770" t="inlineStr">
        <is>
          <t>TXLNG</t>
        </is>
      </c>
      <c r="B770" t="inlineStr">
        <is>
          <t>0.992209565527669</t>
        </is>
      </c>
      <c r="C770" t="inlineStr">
        <is>
          <t>taxilin gamma</t>
        </is>
      </c>
      <c r="D770" t="inlineStr">
        <is>
          <t xml:space="preserve">FUNCTION: May be involved in intracellular vesicle traffic. Inhibits ATF4-mediated transcription, possibly by dimerizing with ATF4 to form inactive dimers that cannot bind DNA. May be involved in regulating bone mass density through an ATF4-dependent pathway. May be involved in cell cycle progression. {ECO:0000269|PubMed:15911876, ECO:0000269|PubMed:18068885}.; </t>
        </is>
      </c>
      <c r="E770" t="inlineStr">
        <is>
          <t>.</t>
        </is>
      </c>
      <c r="F770" t="inlineStr">
        <is>
          <t xml:space="preserve">TISSUE SPECIFICITY: Ubiquitously expressed. Expressed at high level in heart and skeletal muscle. Expressed in brain, placenta, lung, liver, kidney and pancreas. {ECO:0000269|PubMed:15184072}.; </t>
        </is>
      </c>
      <c r="G770" t="inlineStr">
        <is>
          <t>.</t>
        </is>
      </c>
      <c r="H770" t="inlineStr">
        <is>
          <t>.</t>
        </is>
      </c>
      <c r="I770" t="inlineStr">
        <is>
          <t>.</t>
        </is>
      </c>
      <c r="J770" t="inlineStr">
        <is>
          <t>.</t>
        </is>
      </c>
      <c r="K770" t="inlineStr">
        <is>
          <t>.</t>
        </is>
      </c>
      <c r="L770" t="inlineStr">
        <is>
          <t>.</t>
        </is>
      </c>
      <c r="M770" t="inlineStr">
        <is>
          <t>.</t>
        </is>
      </c>
      <c r="N770" t="inlineStr">
        <is>
          <t>.</t>
        </is>
      </c>
      <c r="O770" t="inlineStr">
        <is>
          <t>.</t>
        </is>
      </c>
    </row>
    <row r="771">
      <c r="A771" t="inlineStr">
        <is>
          <t>TYRO3</t>
        </is>
      </c>
      <c r="B771" t="inlineStr">
        <is>
          <t>0.761822542682681</t>
        </is>
      </c>
      <c r="C771" t="inlineStr">
        <is>
          <t>TYRO3 protein tyrosine kinase</t>
        </is>
      </c>
      <c r="D771" t="inlineStr">
        <is>
          <t xml:space="preserve">FUNCTION: Receptor tyrosine kinase that transduces signals from the extracellular matrix into the cytoplasm by binding to several ligands including TULP1 or GAS6. Regulates many physiological processes including cell survival, migration and differentiation. Ligand binding at the cell surface induces dimerization and autophosphorylation of TYRO3 on its intracellular domain that provides docking sites for downstream signaling molecules. Following activation by ligand, interacts with PIK3R1 and thereby enhances PI3-kinase activity. Activates the AKT survival pathway, including nuclear translocation of NF-kappa-B and up-regulation of transcription of NF-kappa-B-regulated genes. TYRO3 signaling plays a role in various processes such as neuron protection from excitotoxic injury, platelet aggregation and cytoskeleton reorganization. Plays also an important role in inhibition of Toll-like receptors (TLRs)-mediated innate immune response by activating STAT1, which selectively induces production of suppressors of cytokine signaling SOCS1 and SOCS3. {ECO:0000269|PubMed:20546121}.; </t>
        </is>
      </c>
      <c r="E771" t="inlineStr">
        <is>
          <t>.</t>
        </is>
      </c>
      <c r="F771" t="inlineStr">
        <is>
          <t xml:space="preserve">TISSUE SPECIFICITY: Abundant in the brain and lower levels in other tissues.; </t>
        </is>
      </c>
      <c r="G771" t="inlineStr">
        <is>
          <t>ovary;sympathetic chain;colon;fovea centralis;choroid;skin;retina;uterus;optic nerve;frontal lobe;endometrium;synovium;bone;testis;brain;unclassifiable (Anatomical System);heart;adrenal cortex;lens;pancreas;lung;placenta;macula lutea;hippocampus;visual apparatus;liver;spleen;head and neck;cervix;kidney;stomach;</t>
        </is>
      </c>
      <c r="H771" t="inlineStr">
        <is>
          <t>amygdala;dorsal root ganglion;whole brain;superior cervical ganglion;medulla oblongata;occipital lobe;cerebellum peduncles;temporal lobe;caudate nucleus;pons;subthalamic nucleus;prefrontal cortex;testis;globus pallidus;parietal lobe;cingulate cortex;cerebellum;</t>
        </is>
      </c>
      <c r="I771" t="inlineStr">
        <is>
          <t>.</t>
        </is>
      </c>
      <c r="J771" t="inlineStr">
        <is>
          <t>.</t>
        </is>
      </c>
      <c r="K771" t="inlineStr">
        <is>
          <t>.</t>
        </is>
      </c>
      <c r="L771" t="inlineStr">
        <is>
          <t>.</t>
        </is>
      </c>
      <c r="M771" t="inlineStr">
        <is>
          <t>.</t>
        </is>
      </c>
      <c r="N771" t="inlineStr">
        <is>
          <t>.</t>
        </is>
      </c>
      <c r="O771" t="inlineStr">
        <is>
          <t>.</t>
        </is>
      </c>
    </row>
    <row r="772">
      <c r="A772" t="inlineStr">
        <is>
          <t>TYW5</t>
        </is>
      </c>
      <c r="B772" t="inlineStr">
        <is>
          <t>2.19729035112119e-07</t>
        </is>
      </c>
      <c r="C772" t="inlineStr">
        <is>
          <t>tRNA-yW synthesizing protein 5</t>
        </is>
      </c>
      <c r="D772" t="inlineStr">
        <is>
          <t xml:space="preserve">FUNCTION: tRNA hydroxylase that acts as a component of the wybutosine biosynthesis pathway. Wybutosine is a hyper modified guanosine with a tricyclic base found at the 3'-position adjacent to the anticodon of eukaryotic phenylalanine tRNA. Catalyzes the hydroxylation of 7-(a-amino-a-carboxypropyl)wyosine (yW-72) into undermodified hydroxywybutosine (OHyW*). OHyW* being further transformed into hydroxywybutosine (OHyW) by LCMT2/TYW4. OHyW is a derivative of wybutosine found in higher eukaryotes. {ECO:0000269|PubMed:20739293}.; </t>
        </is>
      </c>
      <c r="E772" t="inlineStr">
        <is>
          <t>.</t>
        </is>
      </c>
      <c r="F772" t="inlineStr">
        <is>
          <t>.</t>
        </is>
      </c>
      <c r="G772" t="inlineStr">
        <is>
          <t>medulla oblongata;ovary;salivary gland;intestine;colon;parathyroid;skin;retina;uterus;prostate;whole body;cochlea;thyroid;bone;testis;brain;bladder;unclassifiable (Anatomical System);cartilage;heart;pharynx;blood;skeletal muscle;breast;lung;placenta;visual apparatus;liver;spleen;cervix;kidney;mammary gland;stomach;</t>
        </is>
      </c>
      <c r="H772" t="inlineStr">
        <is>
          <t>dorsal root ganglion;subthalamic nucleus;superior cervical ganglion;testis - seminiferous tubule;globus pallidus;ciliary ganglion;atrioventricular node;trigeminal ganglion;skeletal muscle;skin;</t>
        </is>
      </c>
      <c r="I772" t="inlineStr">
        <is>
          <t>.</t>
        </is>
      </c>
      <c r="J772" t="inlineStr">
        <is>
          <t>.</t>
        </is>
      </c>
      <c r="K772" t="inlineStr">
        <is>
          <t>.</t>
        </is>
      </c>
      <c r="L772" t="inlineStr">
        <is>
          <t>.</t>
        </is>
      </c>
      <c r="M772" t="inlineStr">
        <is>
          <t>.</t>
        </is>
      </c>
      <c r="N772" t="inlineStr">
        <is>
          <t>.</t>
        </is>
      </c>
      <c r="O772" t="inlineStr">
        <is>
          <t>.</t>
        </is>
      </c>
    </row>
    <row r="773">
      <c r="A773" t="inlineStr">
        <is>
          <t>U2SURP</t>
        </is>
      </c>
      <c r="B773" t="inlineStr">
        <is>
          <t>0.999999613278695</t>
        </is>
      </c>
      <c r="C773" t="inlineStr">
        <is>
          <t>U2 snRNP-associated SURP domain containing</t>
        </is>
      </c>
      <c r="D773" t="inlineStr">
        <is>
          <t>.</t>
        </is>
      </c>
      <c r="E773" t="inlineStr">
        <is>
          <t>.</t>
        </is>
      </c>
      <c r="F773" t="inlineStr">
        <is>
          <t>.</t>
        </is>
      </c>
      <c r="G773" t="inlineStr">
        <is>
          <t>ovary;skin;bone marrow;retina;prostate;optic nerve;endometrium;thyroid;amniotic fluid;germinal center;bladder;brain;heart;cartilage;spinal cord;adrenal cortex;pharynx;blood;lens;skeletal muscle;breast;trabecular meshwork;visual apparatus;macula lutea;liver;cervix;spleen;mammary gland;salivary gland;intestine;colon;parathyroid;choroid;fovea centralis;uterus;whole body;pituitary gland;testis;pineal gland;unclassifiable (Anatomical System);lymph node;lacrimal gland;lung;adrenal gland;nasopharynx;placenta;duodenum;kidney;stomach;aorta;</t>
        </is>
      </c>
      <c r="H773" t="inlineStr">
        <is>
          <t>amygdala;ciliary ganglion;</t>
        </is>
      </c>
      <c r="I773" t="inlineStr">
        <is>
          <t>.</t>
        </is>
      </c>
      <c r="J773" t="inlineStr">
        <is>
          <t>.</t>
        </is>
      </c>
      <c r="K773" t="inlineStr">
        <is>
          <t>.</t>
        </is>
      </c>
      <c r="L773" t="inlineStr">
        <is>
          <t>.</t>
        </is>
      </c>
      <c r="M773" t="inlineStr">
        <is>
          <t>.</t>
        </is>
      </c>
      <c r="N773" t="inlineStr">
        <is>
          <t>.</t>
        </is>
      </c>
      <c r="O773" t="inlineStr">
        <is>
          <t>.</t>
        </is>
      </c>
    </row>
    <row r="774">
      <c r="A774" t="inlineStr">
        <is>
          <t>UBE4B</t>
        </is>
      </c>
      <c r="B774" t="inlineStr">
        <is>
          <t>0.999987413556799</t>
        </is>
      </c>
      <c r="C774" t="inlineStr">
        <is>
          <t>ubiquitination factor E4B</t>
        </is>
      </c>
      <c r="D774" t="inlineStr">
        <is>
          <t xml:space="preserve">FUNCTION: Ubiquitin-protein ligase that probably functions as an E3 ligase in conjunction with specific E1 and E2 ligases. May also function as an E4 ligase mediating the assembly of polyubiquitin chains on substrates ubiquitinated by another E3 ubiquitin ligase. {ECO:0000250|UniProtKB:P54860, ECO:0000250|UniProtKB:Q9ES00}.; </t>
        </is>
      </c>
      <c r="E774" t="inlineStr">
        <is>
          <t>.</t>
        </is>
      </c>
      <c r="F774" t="inlineStr">
        <is>
          <t xml:space="preserve">TISSUE SPECIFICITY: Highest expression in ovary, testis, heart and skeletal muscle. Expression is low in colon, thymus and peripheral blood leukocytes. Almost undetectable in lung and spleen. {ECO:0000269|PubMed:11802788}.; </t>
        </is>
      </c>
      <c r="G774" t="inlineStr">
        <is>
          <t>ovary;colon;parathyroid;fovea centralis;choroid;skin;retina;bone marrow;uterus;prostate;optic nerve;whole body;frontal lobe;cochlea;endometrium;bone;thyroid;iris;testis;germinal center;brain;bladder;unclassifiable (Anatomical System);cartilage;heart;islets of Langerhans;blood;lens;skeletal muscle;breast;pancreas;lung;adrenal gland;placenta;macula lutea;visual apparatus;hypopharynx;liver;spleen;head and neck;cervix;kidney;mammary gland;stomach;aorta;</t>
        </is>
      </c>
      <c r="H774" t="inlineStr">
        <is>
          <t>superior cervical ganglion;ciliary ganglion;atrioventricular node;pons;trigeminal ganglion;skeletal muscle;</t>
        </is>
      </c>
      <c r="I774" t="inlineStr">
        <is>
          <t>.</t>
        </is>
      </c>
      <c r="J774" t="inlineStr">
        <is>
          <t>.</t>
        </is>
      </c>
      <c r="K774" t="inlineStr">
        <is>
          <t>.</t>
        </is>
      </c>
      <c r="L774" t="inlineStr">
        <is>
          <t>.</t>
        </is>
      </c>
      <c r="M774" t="inlineStr">
        <is>
          <t>.</t>
        </is>
      </c>
      <c r="N774" t="inlineStr">
        <is>
          <t>.</t>
        </is>
      </c>
      <c r="O774" t="inlineStr">
        <is>
          <t>.</t>
        </is>
      </c>
    </row>
    <row r="775">
      <c r="A775" t="inlineStr">
        <is>
          <t>UBL7</t>
        </is>
      </c>
      <c r="B775" t="inlineStr">
        <is>
          <t>0.0277554399688677</t>
        </is>
      </c>
      <c r="C775" t="inlineStr">
        <is>
          <t>ubiquitin like 7</t>
        </is>
      </c>
      <c r="D775" t="inlineStr">
        <is>
          <t>.</t>
        </is>
      </c>
      <c r="E775" t="inlineStr">
        <is>
          <t>.</t>
        </is>
      </c>
      <c r="F775" t="inlineStr">
        <is>
          <t xml:space="preserve">TISSUE SPECIFICITY: Ubiquitous. Highly expressed in heart, skeletal muscle, testis, thyroid and adrenal gland. {ECO:0000269|PubMed:12644319}.; </t>
        </is>
      </c>
      <c r="G775" t="inlineStr">
        <is>
          <t>lymphoreticular;medulla oblongata;ovary;colon;parathyroid;choroid;skin;retina;bone marrow;uterus;prostate;optic nerve;whole body;endometrium;larynx;bone;iris;pituitary gland;testis;germinal center;brain;bladder;unclassifiable (Anatomical System);cartilage;heart;islets of Langerhans;muscle;blood;lens;skeletal muscle;breast;pancreas;lung;placenta;visual apparatus;hippocampus;alveolus;liver;spleen;head and neck;cervix;kidney;mammary gland;stomach;thymus;</t>
        </is>
      </c>
      <c r="H775" t="inlineStr">
        <is>
          <t>temporal lobe;ciliary ganglion;pons;parietal lobe;</t>
        </is>
      </c>
      <c r="I775" t="inlineStr">
        <is>
          <t>.</t>
        </is>
      </c>
      <c r="J775" t="inlineStr">
        <is>
          <t>.</t>
        </is>
      </c>
      <c r="K775" t="inlineStr">
        <is>
          <t>.</t>
        </is>
      </c>
      <c r="L775" t="inlineStr">
        <is>
          <t>.</t>
        </is>
      </c>
      <c r="M775" t="inlineStr">
        <is>
          <t>.</t>
        </is>
      </c>
      <c r="N775" t="inlineStr">
        <is>
          <t>.</t>
        </is>
      </c>
      <c r="O775" t="inlineStr">
        <is>
          <t>.</t>
        </is>
      </c>
    </row>
    <row r="776">
      <c r="A776" t="inlineStr">
        <is>
          <t>UBP1</t>
        </is>
      </c>
      <c r="B776" t="inlineStr">
        <is>
          <t>0.999799486559086</t>
        </is>
      </c>
      <c r="C776" t="inlineStr">
        <is>
          <t>upstream binding protein 1 (LBP-1a)</t>
        </is>
      </c>
      <c r="D776" t="inlineStr">
        <is>
          <t xml:space="preserve">FUNCTION: Functions as a transcriptional activator in a promoter context-dependent manner. Modulates the placental expression of CYP11A1. Involved in regulation of the alpha-globin gene in erythroid cells. Activation of the alpha-globin promoter in erythroid cells is via synergistic interaction with TFCP2 (By similarity). Involved in regulation of the alpha-globin gene in erythroid cells. Binds strongly to sequences around the HIV-1 initiation site and weakly over the TATA-box. Represses HIV-1 transcription by inhibiting the binding of TFIID to the TATA-box. {ECO:0000250, ECO:0000269|PubMed:10644752, ECO:0000269|PubMed:2006421, ECO:0000269|PubMed:8114710}.; </t>
        </is>
      </c>
      <c r="E776" t="inlineStr">
        <is>
          <t>.</t>
        </is>
      </c>
      <c r="F776" t="inlineStr">
        <is>
          <t xml:space="preserve">TISSUE SPECIFICITY: Expressed in adrenal tissue, JEG-3, NCI-H295A, Hep-G2 and HeLa cell lines. {ECO:0000269|PubMed:10644752}.; </t>
        </is>
      </c>
      <c r="G776" t="inlineStr">
        <is>
          <t>ovary;salivary gland;developmental;colon;parathyroid;skin;retina;bone marrow;uterus;prostate;whole body;cochlea;endometrium;bone;thyroid;testis;germinal center;spinal ganglion;brain;unclassifiable (Anatomical System);lymph node;cartilage;heart;islets of Langerhans;hypothalamus;adrenal cortex;skeletal muscle;breast;bile duct;pancreas;lung;mesenchyma;trabecular meshwork;placenta;visual apparatus;hippocampus;amnion;duodenum;liver;spleen;cervix;kidney;mammary gland;stomach;aorta;cerebellum;</t>
        </is>
      </c>
      <c r="H776" t="inlineStr">
        <is>
          <t>superior cervical ganglion;</t>
        </is>
      </c>
      <c r="I776" t="inlineStr">
        <is>
          <t>.</t>
        </is>
      </c>
      <c r="J776" t="inlineStr">
        <is>
          <t>.</t>
        </is>
      </c>
      <c r="K776" t="inlineStr">
        <is>
          <t>.</t>
        </is>
      </c>
      <c r="L776" t="inlineStr">
        <is>
          <t>.</t>
        </is>
      </c>
      <c r="M776" t="inlineStr">
        <is>
          <t>.</t>
        </is>
      </c>
      <c r="N776" t="inlineStr">
        <is>
          <t>.</t>
        </is>
      </c>
      <c r="O776" t="inlineStr">
        <is>
          <t>.</t>
        </is>
      </c>
    </row>
    <row r="777">
      <c r="A777" t="inlineStr">
        <is>
          <t>UBR1</t>
        </is>
      </c>
      <c r="B777" t="inlineStr">
        <is>
          <t>0.319889980799525</t>
        </is>
      </c>
      <c r="C777" t="inlineStr">
        <is>
          <t>ubiquitin protein ligase E3 component n-recognin 1</t>
        </is>
      </c>
      <c r="D777" t="inlineStr">
        <is>
          <t xml:space="preserve">FUNCTION: E3 ubiquitin-protein ligase which is a component of the N-end rule pathway. Recognizes and binds to proteins bearing specific N-terminal residues that are destabilizing according to the N-end rule, leading to their ubiquitination and subsequent degradation. May be involved in pancreatic homeostasis. Binds leucine and is a negative regulator of the leucine-mTOR signaling pathway, thereby controlling cell growth. {ECO:0000269|PubMed:15548684, ECO:0000269|PubMed:16311597, ECO:0000269|PubMed:20298436, ECO:0000269|PubMed:20835242}.; </t>
        </is>
      </c>
      <c r="E777" t="inlineStr">
        <is>
          <t xml:space="preserve">DISEASE: Johanson-Blizzard syndrome (JBS) [MIM:243800]: This disorder includes congenital exocrine pancreatic insufficiency, multiple malformations such as nasal wing aplasia, and frequent mental retardation. Pancreas of individuals with JBS do not express UBR1 and show intrauterine-onset destructive pancreatitis. {ECO:0000269|PubMed:16311597}. Note=The disease is caused by mutations affecting the gene represented in this entry.; </t>
        </is>
      </c>
      <c r="F777" t="inlineStr">
        <is>
          <t xml:space="preserve">TISSUE SPECIFICITY: Broadly expressed, with highest levels in skeletal muscle, kidney and pancreas. Present in acinar cells of the pancreas (at protein level). {ECO:0000269|PubMed:15548684, ECO:0000269|PubMed:16311597, ECO:0000269|PubMed:9653112}.; </t>
        </is>
      </c>
      <c r="G777" t="inlineStr">
        <is>
          <t>unclassifiable (Anatomical System);ovary;heart;islets of Langerhans;salivary gland;intestine;pharynx;colon;blood;skin;skeletal muscle;retina;uterus;bile duct;prostate;pancreas;frontal lobe;bone;thyroid;placenta;visual apparatus;liver;testis;spleen;kidney;brain;mammary gland;bladder;</t>
        </is>
      </c>
      <c r="H777" t="inlineStr">
        <is>
          <t>dorsal root ganglion;superior cervical ganglion;appendix;globus pallidus;ciliary ganglion;atrioventricular node;trigeminal ganglion;cerebellum;</t>
        </is>
      </c>
      <c r="I777">
        <f>HYPERLINK("https://omim.org/entry/243800", "243800")</f>
        <v/>
      </c>
      <c r="J777" t="inlineStr">
        <is>
          <t>.</t>
        </is>
      </c>
      <c r="K777" t="inlineStr">
        <is>
          <t>.</t>
        </is>
      </c>
      <c r="L777" t="inlineStr">
        <is>
          <t>.</t>
        </is>
      </c>
      <c r="M777" t="inlineStr">
        <is>
          <t>.</t>
        </is>
      </c>
      <c r="N777" t="inlineStr">
        <is>
          <t>.</t>
        </is>
      </c>
      <c r="O777" t="inlineStr">
        <is>
          <t>.</t>
        </is>
      </c>
    </row>
    <row r="778">
      <c r="A778" t="inlineStr">
        <is>
          <t>UBR2</t>
        </is>
      </c>
      <c r="B778" t="inlineStr">
        <is>
          <t>0.999999880132158</t>
        </is>
      </c>
      <c r="C778" t="inlineStr">
        <is>
          <t>ubiquitin protein ligase E3 component n-recognin 2</t>
        </is>
      </c>
      <c r="D778" t="inlineStr">
        <is>
          <t xml:space="preserve">FUNCTION: E3 ubiquitin-protein ligase which is a component of the N-end rule pathway. Recognizes and binds to proteins bearing specific N-terminal residues that are destabilizing according to the N-end rule, leading to their ubiquitination and subsequent degradation. Plays a critical role in chromatin inactivation and chromosome-wide transcriptional silencing during meiosis via ubiquitination of histone H2A. Binds leucine and is a negative regulator of the leucine-mTOR signaling pathway, thereby controlling cell growth. {ECO:0000269|PubMed:15548684, ECO:0000269|PubMed:20298436, ECO:0000269|PubMed:20835242}.; </t>
        </is>
      </c>
      <c r="E778" t="inlineStr">
        <is>
          <t>.</t>
        </is>
      </c>
      <c r="F778" t="inlineStr">
        <is>
          <t xml:space="preserve">TISSUE SPECIFICITY: Broadly expressed, with highest levels in skeletal muscle, kidney and pancreas. Present in acinar cells of the pancreas (at protein level). {ECO:0000269|PubMed:15548684, ECO:0000269|PubMed:16311597}.; </t>
        </is>
      </c>
      <c r="G778" t="inlineStr">
        <is>
          <t>.</t>
        </is>
      </c>
      <c r="H778" t="inlineStr">
        <is>
          <t>.</t>
        </is>
      </c>
      <c r="I778" t="inlineStr">
        <is>
          <t>.</t>
        </is>
      </c>
      <c r="J778" t="inlineStr">
        <is>
          <t>.</t>
        </is>
      </c>
      <c r="K778" t="inlineStr">
        <is>
          <t>.</t>
        </is>
      </c>
      <c r="L778" t="inlineStr">
        <is>
          <t>.</t>
        </is>
      </c>
      <c r="M778" t="inlineStr">
        <is>
          <t>.</t>
        </is>
      </c>
      <c r="N778" t="inlineStr">
        <is>
          <t>.</t>
        </is>
      </c>
      <c r="O778" t="inlineStr">
        <is>
          <t>.</t>
        </is>
      </c>
    </row>
    <row r="779">
      <c r="A779" t="inlineStr">
        <is>
          <t>UCHL1</t>
        </is>
      </c>
      <c r="B779" t="inlineStr">
        <is>
          <t>0.972670211212399</t>
        </is>
      </c>
      <c r="C779" t="inlineStr">
        <is>
          <t>ubiquitin C-terminal hydrolase L1</t>
        </is>
      </c>
      <c r="D779" t="inlineStr">
        <is>
          <t xml:space="preserve">FUNCTION: Ubiquitin-protein hydrolase involved both in the processing of ubiquitin precursors and of ubiquitinated proteins. This enzyme is a thiol protease that recognizes and hydrolyzes a peptide bond at the C-terminal glycine of ubiquitin. Also binds to free monoubiquitin and may prevent its degradation in lysosomes. The homodimer may have ATP-independent ubiquitin ligase activity. {ECO:0000269|PubMed:12408865, ECO:0000269|PubMed:9790970}.; </t>
        </is>
      </c>
      <c r="E779" t="inlineStr">
        <is>
          <t xml:space="preserve">DISEASE: Parkinson disease 5 (PARK5) [MIM:613643]: A complex neurodegenerative disorder with manifestations ranging from typical Parkinson disease to dementia with Lewy bodies. Clinical features include parkinsonian symptoms (resting tremor, rigidity, postural instability and bradykinesia), dementia, diffuse Lewy body pathology, autonomic dysfunction, hallucinations and paranoia. {ECO:0000269|PubMed:9774100}. Note=The disease is caused by mutations affecting the gene represented in this entry.; DISEASE: Neurodegeneration with optic atrophy, childhood-onset (NDGOA) [MIM:615491]: A progressive neurodegenerative syndrome characterized by childhood onset blindness, cerebellar ataxia, nystagmus, dorsal column dysfuction, and spasticity with upper motor neuron dysfunction. {ECO:0000269|PubMed:23359680}. Note=The disease is caused by mutations affecting the gene represented in this entry.; </t>
        </is>
      </c>
      <c r="F779" t="inlineStr">
        <is>
          <t xml:space="preserve">TISSUE SPECIFICITY: Found in neuronal cell bodies and processes throughout the neocortex (at protein level). Expressed in neurons and cells of the diffuse neuroendocrine system and their tumors. Weakly expressed in ovary. Down-regulated in brains from Parkinson disease and Alzheimer disease patients. {ECO:0000269|PubMed:14722078, ECO:0000269|PubMed:9790970}.; </t>
        </is>
      </c>
      <c r="G779" t="inlineStr">
        <is>
          <t>ovary;sympathetic chain;colon;skin;retina;prostate;optic nerve;frontal lobe;endometrium;testis;brain;unclassifiable (Anatomical System);lymph node;heart;cartilage;islets of Langerhans;hypothalamus;muscle;bile duct;lung;adrenal gland;trabecular meshwork;hippocampus;visual apparatus;liver;kidney;stomach;cerebellum;</t>
        </is>
      </c>
      <c r="H779" t="inlineStr">
        <is>
          <t>whole brain;dorsal root ganglion;amygdala;medulla oblongata;occipital lobe;thalamus;hypothalamus;temporal lobe;spinal cord;caudate nucleus;pons;subthalamic nucleus;fetal brain;prefrontal cortex;globus pallidus;ciliary ganglion;trigeminal ganglion;cingulate cortex;parietal lobe;</t>
        </is>
      </c>
      <c r="I779">
        <f>HYPERLINK("https://omim.org/entry/613643", "613643")</f>
        <v/>
      </c>
      <c r="J779">
        <f>HYPERLINK("https://omim.org/entry/615491", "615491")</f>
        <v/>
      </c>
      <c r="K779" t="inlineStr">
        <is>
          <t>.</t>
        </is>
      </c>
      <c r="L779" t="inlineStr">
        <is>
          <t>.</t>
        </is>
      </c>
      <c r="M779" t="inlineStr">
        <is>
          <t>.</t>
        </is>
      </c>
      <c r="N779" t="inlineStr">
        <is>
          <t>.</t>
        </is>
      </c>
      <c r="O779" t="inlineStr">
        <is>
          <t>.</t>
        </is>
      </c>
    </row>
    <row r="780">
      <c r="A780" t="inlineStr">
        <is>
          <t>UMODL1</t>
        </is>
      </c>
      <c r="B780" t="inlineStr">
        <is>
          <t>2.27450532319603e-24</t>
        </is>
      </c>
      <c r="C780" t="inlineStr">
        <is>
          <t>uromodulin like 1</t>
        </is>
      </c>
      <c r="D780" t="inlineStr">
        <is>
          <t>.</t>
        </is>
      </c>
      <c r="E780" t="inlineStr">
        <is>
          <t>.</t>
        </is>
      </c>
      <c r="F780" t="inlineStr">
        <is>
          <t xml:space="preserve">TISSUE SPECIFICITY: Isoform 4 is expressed at low level in kidney, testis and fetal thymus. Isoform 3 is expressed at low level in prostate, testis and fetal thymus. {ECO:0000269|PubMed:15194491}.; </t>
        </is>
      </c>
      <c r="G780" t="inlineStr">
        <is>
          <t>.</t>
        </is>
      </c>
      <c r="H780" t="inlineStr">
        <is>
          <t>.</t>
        </is>
      </c>
      <c r="I780" t="inlineStr">
        <is>
          <t>.</t>
        </is>
      </c>
      <c r="J780" t="inlineStr">
        <is>
          <t>.</t>
        </is>
      </c>
      <c r="K780" t="inlineStr">
        <is>
          <t>.</t>
        </is>
      </c>
      <c r="L780" t="inlineStr">
        <is>
          <t>.</t>
        </is>
      </c>
      <c r="M780" t="inlineStr">
        <is>
          <t>.</t>
        </is>
      </c>
      <c r="N780" t="inlineStr">
        <is>
          <t>.</t>
        </is>
      </c>
      <c r="O780" t="inlineStr">
        <is>
          <t>.</t>
        </is>
      </c>
    </row>
    <row r="781">
      <c r="A781" t="inlineStr">
        <is>
          <t>UNC93A</t>
        </is>
      </c>
      <c r="B781" t="inlineStr">
        <is>
          <t>1.37725514829586e-06</t>
        </is>
      </c>
      <c r="C781" t="inlineStr">
        <is>
          <t>unc-93 homolog A (C. elegans)</t>
        </is>
      </c>
      <c r="D781" t="inlineStr">
        <is>
          <t>.</t>
        </is>
      </c>
      <c r="E781" t="inlineStr">
        <is>
          <t>.</t>
        </is>
      </c>
      <c r="F781" t="inlineStr">
        <is>
          <t xml:space="preserve">TISSUE SPECIFICITY: Expressed in testis, small intestine, spleen, prostate and ovary. {ECO:0000269|PubMed:12381271}.; </t>
        </is>
      </c>
      <c r="G781" t="inlineStr">
        <is>
          <t>unclassifiable (Anatomical System);lung;heart;liver;spleen;stomach;</t>
        </is>
      </c>
      <c r="H781" t="inlineStr">
        <is>
          <t>.</t>
        </is>
      </c>
      <c r="I781" t="inlineStr">
        <is>
          <t>.</t>
        </is>
      </c>
      <c r="J781" t="inlineStr">
        <is>
          <t>.</t>
        </is>
      </c>
      <c r="K781" t="inlineStr">
        <is>
          <t>.</t>
        </is>
      </c>
      <c r="L781" t="inlineStr">
        <is>
          <t>.</t>
        </is>
      </c>
      <c r="M781" t="inlineStr">
        <is>
          <t>.</t>
        </is>
      </c>
      <c r="N781" t="inlineStr">
        <is>
          <t>.</t>
        </is>
      </c>
      <c r="O781" t="inlineStr">
        <is>
          <t>.</t>
        </is>
      </c>
    </row>
    <row r="782">
      <c r="A782" t="inlineStr">
        <is>
          <t>URGCP</t>
        </is>
      </c>
      <c r="B782" t="inlineStr">
        <is>
          <t>0.207220454111315</t>
        </is>
      </c>
      <c r="C782" t="inlineStr">
        <is>
          <t>upregulator of cell proliferation</t>
        </is>
      </c>
      <c r="D782" t="inlineStr">
        <is>
          <t xml:space="preserve">FUNCTION: May be involved in cell cycle progression through the regulation of cyclin D1 expression. May participate in the development of hepatocellular carcinoma (HCC) by promoting hepatocellular growth and survival. May play an important role in development of gastric cancer. {ECO:0000269|PubMed:12082552, ECO:0000269|PubMed:17217616}.; </t>
        </is>
      </c>
      <c r="E782" t="inlineStr">
        <is>
          <t>.</t>
        </is>
      </c>
      <c r="F782" t="inlineStr">
        <is>
          <t xml:space="preserve">TISSUE SPECIFICITY: Strongly expressed in hepatitis B virus- infected liver and in HCC cells. Also highly expressed in well- differentiated gastric cancer tissues and various gastric cancer cell lines. {ECO:0000269|PubMed:12082552, ECO:0000269|PubMed:17217616}.; </t>
        </is>
      </c>
      <c r="G782" t="inlineStr">
        <is>
          <t>myocardium;ovary;salivary gland;intestine;colon;parathyroid;fovea centralis;choroid;skin;retina;uterus;prostate;optic nerve;endometrium;larynx;bone;thyroid;iris;pituitary gland;brain;bladder;unclassifiable (Anatomical System);lymph node;heart;lacrimal gland;islets of Langerhans;muscle;pharynx;blood;lens;skeletal muscle;breast;pancreas;lung;placenta;macula lutea;visual apparatus;alveolus;duodenum;liver;spleen;head and neck;kidney;mammary gland;stomach;peripheral nerve;</t>
        </is>
      </c>
      <c r="H782" t="inlineStr">
        <is>
          <t>superior cervical ganglion;prefrontal cortex;appendix;atrioventricular node;trigeminal ganglion;cingulate cortex;</t>
        </is>
      </c>
      <c r="I782" t="inlineStr">
        <is>
          <t>.</t>
        </is>
      </c>
      <c r="J782" t="inlineStr">
        <is>
          <t>.</t>
        </is>
      </c>
      <c r="K782" t="inlineStr">
        <is>
          <t>.</t>
        </is>
      </c>
      <c r="L782" t="inlineStr">
        <is>
          <t>.</t>
        </is>
      </c>
      <c r="M782" t="inlineStr">
        <is>
          <t>.</t>
        </is>
      </c>
      <c r="N782" t="inlineStr">
        <is>
          <t>.</t>
        </is>
      </c>
      <c r="O782" t="inlineStr">
        <is>
          <t>.</t>
        </is>
      </c>
    </row>
    <row r="783">
      <c r="A783" t="inlineStr">
        <is>
          <t>USP19</t>
        </is>
      </c>
      <c r="B783" t="inlineStr">
        <is>
          <t>0.999991981492882</t>
        </is>
      </c>
      <c r="C783" t="inlineStr">
        <is>
          <t>ubiquitin specific peptidase 19</t>
        </is>
      </c>
      <c r="D783" t="inlineStr">
        <is>
          <t xml:space="preserve">FUNCTION: Deubiquitinating enzyme that regulates the degradation of various proteins. Deubiquitinates and prevents proteasomal degradation of RNF123 which in turn stimulates CDKN1B ubiquitin- dependent degradation thereby playing a role in cell proliferation. Involved in decreased protein synthesis in atrophying skeletal muscle. Modulates transcription of major myofibrillar proteins. Also involved in turnover of endoplasmic- reticulum-associated degradation (ERAD) substrates. Regulates the stability of BIRC2/c-IAP1 and BIRC3/c-IAP2 by preventing their ubiquitination. Required for cells to mount an appropriate response to hypoxia and rescues HIF1A from degradation in a non- catalytic manner. Plays an important role in 17 beta-estradiol (E2)-inhibited myogenesis. Decreases the levels of ubiquitinated proteins during skeletal muscle formation and acts to repress myogenesis. Exhibits a preference towards 'Lys-63'-linked Ubiquitin chains. {ECO:0000269|PubMed:19465887, ECO:0000269|PubMed:21849505, ECO:0000269|PubMed:22128162, ECO:0000269|PubMed:22689415}.; </t>
        </is>
      </c>
      <c r="E783" t="inlineStr">
        <is>
          <t>.</t>
        </is>
      </c>
      <c r="F783" t="inlineStr">
        <is>
          <t>.</t>
        </is>
      </c>
      <c r="G783" t="inlineStr">
        <is>
          <t>ovary;colon;parathyroid;fovea centralis;choroid;skin;retina;bone marrow;uterus;optic nerve;frontal lobe;endometrium;bone;pituitary gland;testis;germinal center;brain;unclassifiable (Anatomical System);heart;cartilage;islets of Langerhans;muscle;lens;skeletal muscle;breast;pancreas;lung;placenta;macula lutea;liver;spleen;cervix;kidney;mammary gland;stomach;peripheral nerve;cerebellum;</t>
        </is>
      </c>
      <c r="H783" t="inlineStr">
        <is>
          <t>superior cervical ganglion;temporal lobe;atrioventricular node;trigeminal ganglion;parietal lobe;skeletal muscle;</t>
        </is>
      </c>
      <c r="I783" t="inlineStr">
        <is>
          <t>.</t>
        </is>
      </c>
      <c r="J783" t="inlineStr">
        <is>
          <t>.</t>
        </is>
      </c>
      <c r="K783" t="inlineStr">
        <is>
          <t>.</t>
        </is>
      </c>
      <c r="L783" t="inlineStr">
        <is>
          <t>.</t>
        </is>
      </c>
      <c r="M783" t="inlineStr">
        <is>
          <t>.</t>
        </is>
      </c>
      <c r="N783" t="inlineStr">
        <is>
          <t>.</t>
        </is>
      </c>
      <c r="O783" t="inlineStr">
        <is>
          <t>.</t>
        </is>
      </c>
    </row>
    <row r="784">
      <c r="A784" t="inlineStr">
        <is>
          <t>USP24</t>
        </is>
      </c>
      <c r="B784" t="inlineStr">
        <is>
          <t>0.999999998496473</t>
        </is>
      </c>
      <c r="C784" t="inlineStr">
        <is>
          <t>ubiquitin specific peptidase 24</t>
        </is>
      </c>
      <c r="D784" t="inlineStr">
        <is>
          <t xml:space="preserve">FUNCTION: Protease that can remove conjugated ubiquitin from target proteins and polyubiquitin chains. Deubiquitinates DDB2, preventing its proteasomal degradation. {ECO:0000269|PubMed:23159851}.; </t>
        </is>
      </c>
      <c r="E784" t="inlineStr">
        <is>
          <t>.</t>
        </is>
      </c>
      <c r="F784" t="inlineStr">
        <is>
          <t>.</t>
        </is>
      </c>
      <c r="G784" t="inlineStr">
        <is>
          <t>colon;parathyroid;skin;retina;uterus;prostate;whole body;endometrium;bone;thyroid;pituitary gland;testis;germinal center;ciliary body;brain;bladder;gall bladder;unclassifiable (Anatomical System);cartilage;heart;tongue;islets of Langerhans;hypothalamus;spinal cord;blood;skeletal muscle;breast;pancreas;lung;nasopharynx;placenta;visual apparatus;duodenum;liver;spleen;head and neck;kidney;mammary gland;stomach;aorta;</t>
        </is>
      </c>
      <c r="H784" t="inlineStr">
        <is>
          <t>superior cervical ganglion;globus pallidus;ciliary ganglion;pons;atrioventricular node;trigeminal ganglion;parietal lobe;skeletal muscle;</t>
        </is>
      </c>
      <c r="I784" t="inlineStr">
        <is>
          <t>.</t>
        </is>
      </c>
      <c r="J784" t="inlineStr">
        <is>
          <t>.</t>
        </is>
      </c>
      <c r="K784" t="inlineStr">
        <is>
          <t>.</t>
        </is>
      </c>
      <c r="L784" t="inlineStr">
        <is>
          <t>.</t>
        </is>
      </c>
      <c r="M784" t="inlineStr">
        <is>
          <t>.</t>
        </is>
      </c>
      <c r="N784" t="inlineStr">
        <is>
          <t>.</t>
        </is>
      </c>
      <c r="O784" t="inlineStr">
        <is>
          <t>.</t>
        </is>
      </c>
    </row>
    <row r="785">
      <c r="A785" t="inlineStr">
        <is>
          <t>USP45</t>
        </is>
      </c>
      <c r="B785" t="inlineStr">
        <is>
          <t>8.69749163787703e-14</t>
        </is>
      </c>
      <c r="C785" t="inlineStr">
        <is>
          <t>ubiquitin specific peptidase 45</t>
        </is>
      </c>
      <c r="D785" t="inlineStr">
        <is>
          <t>.</t>
        </is>
      </c>
      <c r="E785" t="inlineStr">
        <is>
          <t>.</t>
        </is>
      </c>
      <c r="F785" t="inlineStr">
        <is>
          <t xml:space="preserve">TISSUE SPECIFICITY: Broadly expressed, with highest levels in ovary, skeletal muscle and spleen. {ECO:0000269|PubMed:14715245}.; </t>
        </is>
      </c>
      <c r="G785" t="inlineStr">
        <is>
          <t>colon;parathyroid;skin;retina;uterus;prostate;whole body;endometrium;bone;testis;germinal center;brain;unclassifiable (Anatomical System);lymph node;cartilage;heart;tongue;islets of Langerhans;lung;adrenal gland;placenta;hippocampus;amnion;head and neck;kidney;stomach;aorta;</t>
        </is>
      </c>
      <c r="H785" t="inlineStr">
        <is>
          <t>dorsal root ganglion;superior cervical ganglion;globus pallidus;appendix;ciliary ganglion;atrioventricular node;trigeminal ganglion;skin;skeletal muscle;</t>
        </is>
      </c>
      <c r="I785" t="inlineStr">
        <is>
          <t>.</t>
        </is>
      </c>
      <c r="J785" t="inlineStr">
        <is>
          <t>.</t>
        </is>
      </c>
      <c r="K785" t="inlineStr">
        <is>
          <t>.</t>
        </is>
      </c>
      <c r="L785" t="inlineStr">
        <is>
          <t>.</t>
        </is>
      </c>
      <c r="M785" t="inlineStr">
        <is>
          <t>.</t>
        </is>
      </c>
      <c r="N785" t="inlineStr">
        <is>
          <t>.</t>
        </is>
      </c>
      <c r="O785" t="inlineStr">
        <is>
          <t>.</t>
        </is>
      </c>
    </row>
    <row r="786">
      <c r="A786" t="inlineStr">
        <is>
          <t>USP48</t>
        </is>
      </c>
      <c r="B786" t="inlineStr">
        <is>
          <t>0.999997429389181</t>
        </is>
      </c>
      <c r="C786" t="inlineStr">
        <is>
          <t>ubiquitin specific peptidase 48</t>
        </is>
      </c>
      <c r="D786" t="inlineStr">
        <is>
          <t xml:space="preserve">FUNCTION: Recognizes and hydrolyzes the peptide bond at the C- terminal Gly of ubiquitin. Involved in the processing of poly- ubiquitin precursors as well as that of ubiquitinated proteins. May be involved in the regulation of NF-kappa-B activation by TNF receptor superfamily via its interactions with RELA and TRAF2. May also play a regulatory role at postsynaptic sites. {ECO:0000269|PubMed:16214042}.; </t>
        </is>
      </c>
      <c r="E786" t="inlineStr">
        <is>
          <t>.</t>
        </is>
      </c>
      <c r="F786" t="inlineStr">
        <is>
          <t xml:space="preserve">TISSUE SPECIFICITY: Widely expressed. {ECO:0000269|PubMed:14715245, ECO:0000269|PubMed:15354349, ECO:0000269|PubMed:16214042}.; </t>
        </is>
      </c>
      <c r="G786" t="inlineStr">
        <is>
          <t>ovary;colon;skin;retina;uterus;prostate;whole body;frontal lobe;endometrium;larynx;bone;thyroid;testis;germinal center;brain;unclassifiable (Anatomical System);cartilage;heart;tongue;islets of Langerhans;muscle;adrenal cortex;blood;skeletal muscle;breast;pancreas;lung;placenta;visual apparatus;liver;spleen;head and neck;kidney;stomach;</t>
        </is>
      </c>
      <c r="H786" t="inlineStr">
        <is>
          <t>dorsal root ganglion;medulla oblongata;superior cervical ganglion;subthalamic nucleus;fetal brain;prefrontal cortex;globus pallidus;ciliary ganglion;caudate nucleus;trigeminal ganglion;parietal lobe;cingulate cortex;</t>
        </is>
      </c>
      <c r="I786" t="inlineStr">
        <is>
          <t>.</t>
        </is>
      </c>
      <c r="J786" t="inlineStr">
        <is>
          <t>.</t>
        </is>
      </c>
      <c r="K786" t="inlineStr">
        <is>
          <t>.</t>
        </is>
      </c>
      <c r="L786" t="inlineStr">
        <is>
          <t>.</t>
        </is>
      </c>
      <c r="M786" t="inlineStr">
        <is>
          <t>.</t>
        </is>
      </c>
      <c r="N786" t="inlineStr">
        <is>
          <t>.</t>
        </is>
      </c>
      <c r="O786" t="inlineStr">
        <is>
          <t>.</t>
        </is>
      </c>
    </row>
    <row r="787">
      <c r="A787" t="inlineStr">
        <is>
          <t>UTP6</t>
        </is>
      </c>
      <c r="B787" t="inlineStr">
        <is>
          <t>4.82881497097119e-06</t>
        </is>
      </c>
      <c r="C787" t="inlineStr">
        <is>
          <t>UTP6, small subunit processome component</t>
        </is>
      </c>
      <c r="D787" t="inlineStr">
        <is>
          <t xml:space="preserve">FUNCTION: Involved in nucleolar processing of pre-18S ribosomal RNA. {ECO:0000250}.; </t>
        </is>
      </c>
      <c r="E787" t="inlineStr">
        <is>
          <t>.</t>
        </is>
      </c>
      <c r="F787" t="inlineStr">
        <is>
          <t>.</t>
        </is>
      </c>
      <c r="G787" t="inlineStr">
        <is>
          <t>medulla oblongata;ovary;salivary gland;intestine;colon;parathyroid;skin;bone marrow;uterus;prostate;endometrium;thyroid;testis;brain;unclassifiable (Anatomical System);lymph node;lacrimal gland;spinal cord;urinary;pharynx;blood;skeletal muscle;breast;pancreas;lung;cornea;placenta;visual apparatus;liver;head and neck;cervix;kidney;mammary gland;stomach;</t>
        </is>
      </c>
      <c r="H787" t="inlineStr">
        <is>
          <t>medulla oblongata;superior cervical ganglion;testis - seminiferous tubule;temporal lobe;testis;pons;trigeminal ganglion;skeletal muscle;</t>
        </is>
      </c>
      <c r="I787" t="inlineStr">
        <is>
          <t>.</t>
        </is>
      </c>
      <c r="J787" t="inlineStr">
        <is>
          <t>.</t>
        </is>
      </c>
      <c r="K787" t="inlineStr">
        <is>
          <t>.</t>
        </is>
      </c>
      <c r="L787" t="inlineStr">
        <is>
          <t>.</t>
        </is>
      </c>
      <c r="M787" t="inlineStr">
        <is>
          <t>.</t>
        </is>
      </c>
      <c r="N787" t="inlineStr">
        <is>
          <t>.</t>
        </is>
      </c>
      <c r="O787" t="inlineStr">
        <is>
          <t>.</t>
        </is>
      </c>
    </row>
    <row r="788">
      <c r="A788" t="inlineStr">
        <is>
          <t>VARS</t>
        </is>
      </c>
      <c r="B788" t="inlineStr">
        <is>
          <t>0.67979413526559</t>
        </is>
      </c>
      <c r="C788" t="inlineStr">
        <is>
          <t>valyl-tRNA synthetase</t>
        </is>
      </c>
      <c r="D788" t="inlineStr">
        <is>
          <t>.</t>
        </is>
      </c>
      <c r="E788" t="inlineStr">
        <is>
          <t>.</t>
        </is>
      </c>
      <c r="F788" t="inlineStr">
        <is>
          <t>.</t>
        </is>
      </c>
      <c r="G788" t="inlineStr">
        <is>
          <t>.</t>
        </is>
      </c>
      <c r="H788" t="inlineStr">
        <is>
          <t>.</t>
        </is>
      </c>
      <c r="I788" t="inlineStr">
        <is>
          <t>.</t>
        </is>
      </c>
      <c r="J788" t="inlineStr">
        <is>
          <t>.</t>
        </is>
      </c>
      <c r="K788" t="inlineStr">
        <is>
          <t>.</t>
        </is>
      </c>
      <c r="L788" t="inlineStr">
        <is>
          <t>.</t>
        </is>
      </c>
      <c r="M788" t="inlineStr">
        <is>
          <t>.</t>
        </is>
      </c>
      <c r="N788" t="inlineStr">
        <is>
          <t>.</t>
        </is>
      </c>
      <c r="O788" t="inlineStr">
        <is>
          <t>.</t>
        </is>
      </c>
    </row>
    <row r="789">
      <c r="A789" t="inlineStr">
        <is>
          <t>VAV3</t>
        </is>
      </c>
      <c r="B789" t="inlineStr">
        <is>
          <t>0.0200593234937473</t>
        </is>
      </c>
      <c r="C789" t="inlineStr">
        <is>
          <t>vav guanine nucleotide exchange factor 3</t>
        </is>
      </c>
      <c r="D789" t="inlineStr">
        <is>
          <t xml:space="preserve">FUNCTION: Exchange factor for GTP-binding proteins RhoA, RhoG and, to a lesser extent, Rac1. Binds physically to the nucleotide-free states of those GTPases. Plays an important role in angiogenesis. Its recruitment by phosphorylated EPHA2 is critical for EFNA1- induced RAC1 GTPase activation and vascular endothelial cell migration and assembly (By similarity). May be important for integrin-mediated signaling, at least in some cell types. In osteoclasts, along with SYK tyrosine kinase, required for signaling through integrin alpha-v/beta-1 (ITAGV-ITGB1), a crucial event for osteoclast proper cytoskeleton organization and function. This signaling pathway involves RAC1, but not RHO, activation. Necessary for proper wound healing. In the course of wound healing, required for the phagocytotic cup formation preceding macrophage phagocytosis of apoptotic neutrophils. Responsible for integrin beta-2 (ITGB2)-mediated macrophage adhesion and, to a lesser extent, contributes to beta-3 (ITGB3)- mediated adhesion. Does not affect integrin beta-1 (ITGB1)- mediated adhesion (By similarity). {ECO:0000250}.; </t>
        </is>
      </c>
      <c r="E789" t="inlineStr">
        <is>
          <t>.</t>
        </is>
      </c>
      <c r="F789" t="inlineStr">
        <is>
          <t xml:space="preserve">TISSUE SPECIFICITY: Isoform 1 and isoform 3 are widely expressed; both are expressed at very low levels in skeletal muscle. In keratinocytes, isoform 1 is less abundant than isoform 3. Isoform 3 is detected at very low levels, if any, in adrenal gland, bone marrow, spleen, fetal brain and spinal chord; in these tissues, isoform 1 is readily detectable. {ECO:0000269|PubMed:11094073, ECO:0000269|PubMed:9705494}.; </t>
        </is>
      </c>
      <c r="G789" t="inlineStr">
        <is>
          <t>unclassifiable (Anatomical System);placenta;liver;spleen;germinal center;skeletal muscle;</t>
        </is>
      </c>
      <c r="H789" t="inlineStr">
        <is>
          <t>dorsal root ganglion;superior cervical ganglion;tongue;placenta;kidney;trigeminal ganglion;skeletal muscle;</t>
        </is>
      </c>
      <c r="I789" t="inlineStr">
        <is>
          <t>.</t>
        </is>
      </c>
      <c r="J789" t="inlineStr">
        <is>
          <t>.</t>
        </is>
      </c>
      <c r="K789" t="inlineStr">
        <is>
          <t>.</t>
        </is>
      </c>
      <c r="L789" t="inlineStr">
        <is>
          <t>.</t>
        </is>
      </c>
      <c r="M789" t="inlineStr">
        <is>
          <t>.</t>
        </is>
      </c>
      <c r="N789" t="inlineStr">
        <is>
          <t>.</t>
        </is>
      </c>
      <c r="O789" t="inlineStr">
        <is>
          <t>.</t>
        </is>
      </c>
    </row>
    <row r="790">
      <c r="A790" t="inlineStr">
        <is>
          <t>VCL</t>
        </is>
      </c>
      <c r="B790" t="inlineStr">
        <is>
          <t>0.994870401764453</t>
        </is>
      </c>
      <c r="C790" t="inlineStr">
        <is>
          <t>vinculin</t>
        </is>
      </c>
      <c r="D790" t="inlineStr">
        <is>
          <t xml:space="preserve">FUNCTION: Actin filament (F-actin)-binding protein involved in cell-matrix adhesion and cell-cell adhesion. Regulates cell- surface E-cadherin expression and potentiates mechanosensing by the E-cadherin complex. May also play important roles in cell morphology and locomotion. {ECO:0000269|PubMed:20484056}.; </t>
        </is>
      </c>
      <c r="E790" t="inlineStr">
        <is>
          <t xml:space="preserve">DISEASE: Cardiomyopathy, dilated 1W (CMD1W) [MIM:611407]: A disorder characterized by ventricular dilation and impaired systolic function, resulting in congestive heart failure and arrhythmia. Patients are at risk of premature death. {ECO:0000269|PubMed:11815424, ECO:0000269|PubMed:16236538}. Note=The disease is caused by mutations affecting the gene represented in this entry.; DISEASE: Cardiomyopathy, familial hypertrophic 15 (CMH15) [MIM:613255]: A hereditary heart disorder characterized by ventricular hypertrophy, which is usually asymmetric and often involves the interventricular septum. The symptoms include dyspnea, syncope, collapse, palpitations, and chest pain. They can be readily provoked by exercise. The disorder has inter- and intrafamilial variability ranging from benign to malignant forms with high risk of cardiac failure and sudden cardiac death. {ECO:0000269|PubMed:16712796}. Note=The disease is caused by mutations affecting the gene represented in this entry.; </t>
        </is>
      </c>
      <c r="F790" t="inlineStr">
        <is>
          <t xml:space="preserve">TISSUE SPECIFICITY: Metavinculin is muscle-specific.; </t>
        </is>
      </c>
      <c r="G790" t="inlineStr">
        <is>
          <t>smooth muscle;ovary;skin;bone marrow;retina;prostate;optic nerve;endometrium;thyroid;amniotic fluid;germinal center;bladder;brain;heart;cartilage;tongue;blood;lens;skeletal muscle;breast;visual apparatus;macula lutea;liver;spleen;cervix;mammary gland;peripheral nerve;colon;parathyroid;fovea centralis;choroid;uterus;oesophagus;larynx;bone;testis;spinal ganglion;artery;unclassifiable (Anatomical System);lymph node;islets of Langerhans;bile duct;pancreas;lung;adrenal gland;nasopharynx;placenta;duodenum;amnion;head and neck;kidney;stomach;aorta;</t>
        </is>
      </c>
      <c r="H790" t="inlineStr">
        <is>
          <t>dorsal root ganglion;uterus;superior cervical ganglion;adipose tissue;testis - seminiferous tubule;testis;ciliary ganglion;trigeminal ganglion;</t>
        </is>
      </c>
      <c r="I790">
        <f>HYPERLINK("https://omim.org/entry/611407", "611407")</f>
        <v/>
      </c>
      <c r="J790">
        <f>HYPERLINK("https://omim.org/entry/613255", "613255")</f>
        <v/>
      </c>
      <c r="K790" t="inlineStr">
        <is>
          <t>.</t>
        </is>
      </c>
      <c r="L790" t="inlineStr">
        <is>
          <t>.</t>
        </is>
      </c>
      <c r="M790" t="inlineStr">
        <is>
          <t>.</t>
        </is>
      </c>
      <c r="N790" t="inlineStr">
        <is>
          <t>.</t>
        </is>
      </c>
      <c r="O790" t="inlineStr">
        <is>
          <t>.</t>
        </is>
      </c>
    </row>
    <row r="791">
      <c r="A791" t="inlineStr">
        <is>
          <t>VPS13D</t>
        </is>
      </c>
      <c r="B791" t="inlineStr">
        <is>
          <t>0.999992132395372</t>
        </is>
      </c>
      <c r="C791" t="inlineStr">
        <is>
          <t>vacuolar protein sorting 13 homolog D (S. cerevisiae)</t>
        </is>
      </c>
      <c r="D791" t="inlineStr">
        <is>
          <t>.</t>
        </is>
      </c>
      <c r="E791" t="inlineStr">
        <is>
          <t>.</t>
        </is>
      </c>
      <c r="F791" t="inlineStr">
        <is>
          <t xml:space="preserve">TISSUE SPECIFICITY: Widely expressed. {ECO:0000269|PubMed:15498460}.; </t>
        </is>
      </c>
      <c r="G791" t="inlineStr">
        <is>
          <t>ovary;colon;parathyroid;fovea centralis;choroid;skin;retina;bone marrow;uterus;prostate;optic nerve;atrium;whole body;frontal lobe;oesophagus;endometrium;bone;thyroid;testis;germinal center;brain;unclassifiable (Anatomical System);amygdala;cartilage;heart;nervous;islets of Langerhans;hypothalamus;blood;lens;skeletal muscle;breast;pancreas;lung;nasopharynx;placenta;macula lutea;visual apparatus;hypopharynx;alveolus;liver;spleen;head and neck;kidney;mammary gland;stomach;</t>
        </is>
      </c>
      <c r="H791" t="inlineStr">
        <is>
          <t>amygdala;subthalamic nucleus;superior cervical ganglion;prefrontal cortex;globus pallidus;ciliary ganglion;atrioventricular node;trigeminal ganglion;parietal lobe;skeletal muscle;</t>
        </is>
      </c>
      <c r="I791" t="inlineStr">
        <is>
          <t>.</t>
        </is>
      </c>
      <c r="J791" t="inlineStr">
        <is>
          <t>.</t>
        </is>
      </c>
      <c r="K791" t="inlineStr">
        <is>
          <t>.</t>
        </is>
      </c>
      <c r="L791" t="inlineStr">
        <is>
          <t>.</t>
        </is>
      </c>
      <c r="M791" t="inlineStr">
        <is>
          <t>.</t>
        </is>
      </c>
      <c r="N791" t="inlineStr">
        <is>
          <t>.</t>
        </is>
      </c>
      <c r="O791" t="inlineStr">
        <is>
          <t>.</t>
        </is>
      </c>
    </row>
    <row r="792">
      <c r="A792" t="inlineStr">
        <is>
          <t>VSTM2L</t>
        </is>
      </c>
      <c r="B792" t="inlineStr">
        <is>
          <t>0.362003649087479</t>
        </is>
      </c>
      <c r="C792" t="inlineStr">
        <is>
          <t>V-set and transmembrane domain containing 2 like</t>
        </is>
      </c>
      <c r="D792" t="inlineStr">
        <is>
          <t>.</t>
        </is>
      </c>
      <c r="E792" t="inlineStr">
        <is>
          <t>.</t>
        </is>
      </c>
      <c r="F792" t="inlineStr">
        <is>
          <t>.</t>
        </is>
      </c>
      <c r="G792" t="inlineStr">
        <is>
          <t>.</t>
        </is>
      </c>
      <c r="H792" t="inlineStr">
        <is>
          <t>.</t>
        </is>
      </c>
      <c r="I792" t="inlineStr">
        <is>
          <t>.</t>
        </is>
      </c>
      <c r="J792" t="inlineStr">
        <is>
          <t>.</t>
        </is>
      </c>
      <c r="K792" t="inlineStr">
        <is>
          <t>.</t>
        </is>
      </c>
      <c r="L792" t="inlineStr">
        <is>
          <t>.</t>
        </is>
      </c>
      <c r="M792" t="inlineStr">
        <is>
          <t>.</t>
        </is>
      </c>
      <c r="N792" t="inlineStr">
        <is>
          <t>.</t>
        </is>
      </c>
      <c r="O792" t="inlineStr">
        <is>
          <t>.</t>
        </is>
      </c>
    </row>
    <row r="793">
      <c r="A793" t="inlineStr">
        <is>
          <t>VWDE</t>
        </is>
      </c>
      <c r="B793" t="inlineStr">
        <is>
          <t>.</t>
        </is>
      </c>
      <c r="C793" t="inlineStr">
        <is>
          <t>von Willebrand factor D and EGF domains</t>
        </is>
      </c>
      <c r="D793" t="inlineStr">
        <is>
          <t>.</t>
        </is>
      </c>
      <c r="E793" t="inlineStr">
        <is>
          <t>.</t>
        </is>
      </c>
      <c r="F793" t="inlineStr">
        <is>
          <t>.</t>
        </is>
      </c>
      <c r="G793" t="inlineStr">
        <is>
          <t>unclassifiable (Anatomical System);whole body;umbilical cord;islets of Langerhans;urinary;blood;</t>
        </is>
      </c>
      <c r="H793" t="inlineStr">
        <is>
          <t>dorsal root ganglion;superior cervical ganglion;globus pallidus;ciliary ganglion;atrioventricular node;</t>
        </is>
      </c>
      <c r="I793" t="inlineStr">
        <is>
          <t>.</t>
        </is>
      </c>
      <c r="J793" t="inlineStr">
        <is>
          <t>.</t>
        </is>
      </c>
      <c r="K793" t="inlineStr">
        <is>
          <t>.</t>
        </is>
      </c>
      <c r="L793" t="inlineStr">
        <is>
          <t>.</t>
        </is>
      </c>
      <c r="M793" t="inlineStr">
        <is>
          <t>.</t>
        </is>
      </c>
      <c r="N793" t="inlineStr">
        <is>
          <t>.</t>
        </is>
      </c>
      <c r="O793" t="inlineStr">
        <is>
          <t>.</t>
        </is>
      </c>
    </row>
    <row r="794">
      <c r="A794" t="inlineStr">
        <is>
          <t>VWF</t>
        </is>
      </c>
      <c r="B794" t="inlineStr">
        <is>
          <t>1.52411378256046e-11</t>
        </is>
      </c>
      <c r="C794" t="inlineStr">
        <is>
          <t>von Willebrand factor</t>
        </is>
      </c>
      <c r="D794" t="inlineStr">
        <is>
          <t xml:space="preserve">FUNCTION: Important in the maintenance of hemostasis, it promotes adhesion of platelets to the sites of vascular injury by forming a molecular bridge between sub-endothelial collagen matrix and platelet-surface receptor complex GPIb-IX-V. Also acts as a chaperone for coagulation factor VIII, delivering it to the site of injury, stabilizing its heterodimeric structure and protecting it from premature clearance from plasma.; </t>
        </is>
      </c>
      <c r="E794" t="inlineStr">
        <is>
          <t xml:space="preserve">DISEASE: von Willebrand disease 1 (VWD1) [MIM:193400]: A common hemorrhagic disorder due to defects in von Willebrand factor protein and resulting in impaired platelet aggregation. Von Willebrand disease type 1 is characterized by partial quantitative deficiency of circulating von Willebrand factor, that is otherwise structurally and functionally normal. Clinical manifestations are mucocutaneous bleeding, such as epistaxis and menorrhagia, and prolonged bleeding after surgery or trauma. {ECO:0000269|PubMed:10887119, ECO:0000269|PubMed:11698279}. Note=The disease is caused by mutations affecting the gene represented in this entry.; DISEASE: von Willebrand disease 2 (VWD2) [MIM:613554]: A hemorrhagic disorder due to defects in von Willebrand factor protein and resulting in altered platelet aggregation. Von Willebrand disease type 2 is characterized by qualitative deficiency and functional anomalies of von Willebrand factor. It is divided in different subtypes including 2A, 2B, 2M and 2N (Normandy variant). The mutant VWF protein in types 2A, 2B and 2M are defective in their platelet-dependent function, whereas the mutant protein in type 2N is defective in its ability to bind factor VIII. Clinical manifestations are mucocutaneous bleeding, such as epistaxis and menorrhagia, and prolonged bleeding after surgery or trauma. {ECO:0000269|PubMed:12406074, ECO:0000269|PubMed:1409710, ECO:0000269|PubMed:1419803, ECO:0000269|PubMed:1419804, ECO:0000269|PubMed:1420817, ECO:0000269|PubMed:1429668, ECO:0000269|PubMed:1672694, ECO:0000269|PubMed:1673047, ECO:0000269|PubMed:1729889, ECO:0000269|PubMed:1761120, ECO:0000269|PubMed:1832934, ECO:0000269|PubMed:1906179, ECO:0000269|PubMed:2010538, ECO:0000269|PubMed:2011604, ECO:0000269|PubMed:21592258, ECO:0000269|PubMed:2786201, ECO:0000269|PubMed:7620154, ECO:0000269|PubMed:7734373, ECO:0000269|PubMed:7789955, ECO:0000269|PubMed:8011991, ECO:0000269|PubMed:8123843, ECO:0000269|PubMed:8123844, ECO:0000269|PubMed:8338947, ECO:0000269|PubMed:8348943, ECO:0000269|PubMed:8376405, ECO:0000269|PubMed:8435341, ECO:0000269|PubMed:8486782, ECO:0000269|PubMed:8547152, ECO:0000269|PubMed:8622978}. Note=The disease is caused by mutations affecting the gene represented in this entry.; DISEASE: von Willebrand disease 3 (VWD3) [MIM:277480]: A severe hemorrhagic disorder due to a total or near total absence of von Willebrand factor in the plasma and cellular compartments, also leading to a profound deficiency of plasmatic factor VIII. Bleeding usually starts in infancy and can include epistaxis, recurrent mucocutaneous bleeding, excessive bleeding after minor trauma, and hemarthroses. {ECO:0000269|PubMed:10887119, ECO:0000269|PubMed:7989040, ECO:0000269|PubMed:8088787}. Note=The disease is caused by mutations affecting the gene represented in this entry.; </t>
        </is>
      </c>
      <c r="F794" t="inlineStr">
        <is>
          <t xml:space="preserve">TISSUE SPECIFICITY: Plasma.; </t>
        </is>
      </c>
      <c r="G794" t="inlineStr">
        <is>
          <t>myocardium;smooth muscle;ovary;sympathetic chain;bone marrow;retina;prostate;optic nerve;frontal lobe;endometrium;thyroid;brain;tonsil;amygdala;heart;cartilage;adrenal cortex;blood;lens;skeletal muscle;breast;epididymis;visual apparatus;macula lutea;liver;spleen;mammary gland;peripheral nerve;colon;parathyroid;choroid;fovea centralis;vein;uterus;oesophagus;larynx;bone;testis;spinal ganglion;unclassifiable (Anatomical System);islets of Langerhans;muscle;pancreas;lung;nasopharynx;placenta;hypopharynx;head and neck;kidney;stomach;aorta;thymus;cerebellum;</t>
        </is>
      </c>
      <c r="H794" t="inlineStr">
        <is>
          <t>.</t>
        </is>
      </c>
      <c r="I794">
        <f>HYPERLINK("https://omim.org/entry/193400", "193400")</f>
        <v/>
      </c>
      <c r="J794">
        <f>HYPERLINK("https://omim.org/entry/613554", "613554")</f>
        <v/>
      </c>
      <c r="K794">
        <f>HYPERLINK("https://omim.org/entry/277480", "277480")</f>
        <v/>
      </c>
      <c r="L794" t="inlineStr">
        <is>
          <t>.</t>
        </is>
      </c>
      <c r="M794" t="inlineStr">
        <is>
          <t>.</t>
        </is>
      </c>
      <c r="N794" t="inlineStr">
        <is>
          <t>.</t>
        </is>
      </c>
      <c r="O794" t="inlineStr">
        <is>
          <t>.</t>
        </is>
      </c>
    </row>
    <row r="795">
      <c r="A795" t="inlineStr">
        <is>
          <t>WDPCP</t>
        </is>
      </c>
      <c r="B795" t="inlineStr">
        <is>
          <t>2.32411054871015e-09</t>
        </is>
      </c>
      <c r="C795" t="inlineStr">
        <is>
          <t>WD repeat containing planar cell polarity effector</t>
        </is>
      </c>
      <c r="D795" t="inlineStr">
        <is>
          <t xml:space="preserve">FUNCTION: Probable effector of the planar cell polarity signaling pathway which regulates the septin cytoskeleton in both ciliogenesis and collective cell movements. {ECO:0000250}.; </t>
        </is>
      </c>
      <c r="E795" t="inlineStr">
        <is>
          <t xml:space="preserve">DISEASE: Bardet-Biedl syndrome 15 (BBS15) [MIM:615992]: A syndrome characterized by usually severe pigmentary retinopathy, early- onset obesity, polydactyly, hypogenitalism, renal malformation and mental retardation. Secondary features include diabetes mellitus, hypertension and congenital heart disease. Bardet-Biedl syndrome inheritance is autosomal recessive, but three mutated alleles (two at one locus, and a third at a second locus) may be required for clinical manifestation of some forms of the disease. {ECO:0000269|PubMed:20671153}. Note=The disease is caused by mutations affecting the gene represented in this entry.; DISEASE: Congenital heart defects, hamartomas of tongue, and polysyndactyly (CHDTHP) [MIM:217085]: A disease characterized by a constellation of anomalies including tongue hamartomas, polysyndactyly, and congenital heart defects such as atrioventricular canal and coarctation of the aorta. {ECO:0000269|PubMed:25427950}. Note=The disease is caused by mutations affecting the gene represented in this entry.; DISEASE: Note=Mutations in WDPCP may act as modifiers of the phenotypic expression of Bardet-Biedl syndrome and Meckel syndrome by interacting in trans with primary BBS and MKS loci. {ECO:0000269|PubMed:20671153}.; </t>
        </is>
      </c>
      <c r="F795" t="inlineStr">
        <is>
          <t>.</t>
        </is>
      </c>
      <c r="G795" t="inlineStr">
        <is>
          <t>unclassifiable (Anatomical System);medulla oblongata;heart;ovary;urinary;parathyroid;skeletal muscle;skin;uterus;lung;placenta;testis;mammary gland;brain;</t>
        </is>
      </c>
      <c r="H795" t="inlineStr">
        <is>
          <t>.</t>
        </is>
      </c>
      <c r="I795">
        <f>HYPERLINK("https://omim.org/entry/615992", "615992")</f>
        <v/>
      </c>
      <c r="J795">
        <f>HYPERLINK("https://omim.org/entry/217085", "217085")</f>
        <v/>
      </c>
      <c r="K795" t="inlineStr">
        <is>
          <t>.</t>
        </is>
      </c>
      <c r="L795" t="inlineStr">
        <is>
          <t>.</t>
        </is>
      </c>
      <c r="M795" t="inlineStr">
        <is>
          <t>.</t>
        </is>
      </c>
      <c r="N795" t="inlineStr">
        <is>
          <t>.</t>
        </is>
      </c>
      <c r="O795" t="inlineStr">
        <is>
          <t>.</t>
        </is>
      </c>
    </row>
    <row r="796">
      <c r="A796" t="inlineStr">
        <is>
          <t>WDR72</t>
        </is>
      </c>
      <c r="B796" t="inlineStr">
        <is>
          <t>1.62243924822237e-16</t>
        </is>
      </c>
      <c r="C796" t="inlineStr">
        <is>
          <t>WD repeat domain 72</t>
        </is>
      </c>
      <c r="D796" t="inlineStr">
        <is>
          <t>.</t>
        </is>
      </c>
      <c r="E796" t="inlineStr">
        <is>
          <t xml:space="preserve">DISEASE: Amelogenesis imperfecta, hypomaturation type, 2A3 (AI2A3) [MIM:613211]: A defect of enamel formation. The disorder involves both primary and secondary dentitions. The teeth have a shiny agar jelly appearance and the enamel is softer than normal. Brown pigment is present in middle layers of enamel. {ECO:0000269|PubMed:19853237}. Note=The disease is caused by mutations affecting the gene represented in this entry.; </t>
        </is>
      </c>
      <c r="F796" t="inlineStr">
        <is>
          <t>.</t>
        </is>
      </c>
      <c r="G796" t="inlineStr">
        <is>
          <t>unclassifiable (Anatomical System);colon;uterus;pancreas;lung;endometrium;larynx;liver;testis;head and neck;kidney;bladder;stomach;thymus;</t>
        </is>
      </c>
      <c r="H796" t="inlineStr">
        <is>
          <t>dorsal root ganglion;superior cervical ganglion;ciliary ganglion;atrioventricular node;trigeminal ganglion;skeletal muscle;</t>
        </is>
      </c>
      <c r="I796">
        <f>HYPERLINK("https://omim.org/entry/613211", "613211")</f>
        <v/>
      </c>
      <c r="J796" t="inlineStr">
        <is>
          <t>.</t>
        </is>
      </c>
      <c r="K796" t="inlineStr">
        <is>
          <t>.</t>
        </is>
      </c>
      <c r="L796" t="inlineStr">
        <is>
          <t>.</t>
        </is>
      </c>
      <c r="M796" t="inlineStr">
        <is>
          <t>.</t>
        </is>
      </c>
      <c r="N796" t="inlineStr">
        <is>
          <t>.</t>
        </is>
      </c>
      <c r="O796" t="inlineStr">
        <is>
          <t>.</t>
        </is>
      </c>
    </row>
    <row r="797">
      <c r="A797" t="inlineStr">
        <is>
          <t>WHSC1</t>
        </is>
      </c>
      <c r="B797" t="inlineStr">
        <is>
          <t>0.999999325434983</t>
        </is>
      </c>
      <c r="C797" t="inlineStr">
        <is>
          <t>Wolf-Hirschhorn syndrome candidate 1</t>
        </is>
      </c>
      <c r="D797" t="inlineStr">
        <is>
          <t xml:space="preserve">FUNCTION: Histone methyltransferase with histone H3 'Lys-27' (H3K27me) methyltransferase activity. Isoform RE-IIBP may act as a transcription regulator that binds DNA and suppresses IL5 transcription through HDAC recruitment. {ECO:0000269|PubMed:11152655, ECO:0000269|PubMed:16115125, ECO:0000269|PubMed:18172012}.; </t>
        </is>
      </c>
      <c r="E797" t="inlineStr">
        <is>
          <t xml:space="preserve">DISEASE: Note=WHSC1 is located in the Wolf-Hirschhorn syndrome (WHS) critical region. WHS results from by sub-telomeric deletions in the short arm of chromosome 4. WHSC1 is deleted in every case, however deletion of linked genes contributes to both the severity of the core characteristics and the presence of the additional syndromic problems.; </t>
        </is>
      </c>
      <c r="F797" t="inlineStr">
        <is>
          <t xml:space="preserve">TISSUE SPECIFICITY: Widely expressed. {ECO:0000269|PubMed:9618163}.; </t>
        </is>
      </c>
      <c r="G797" t="inlineStr">
        <is>
          <t>medulla oblongata;ovary;skin;bone marrow;retina;prostate;optic nerve;frontal lobe;endometrium;thyroid;germinal center;brain;bladder;heart;cartilage;pharynx;blood;lens;skeletal muscle;breast;macula lutea;visual apparatus;liver;cervix;spleen;salivary gland;intestine;colon;parathyroid;fovea centralis;choroid;vein;uterus;whole body;oesophagus;bone;testis;spinal ganglion;unclassifiable (Anatomical System);lymph node;islets of Langerhans;muscle;pancreas;lung;placenta;duodenum;hypopharynx;head and neck;kidney;stomach;thymus;cerebellum;</t>
        </is>
      </c>
      <c r="H797" t="inlineStr">
        <is>
          <t>superior cervical ganglion;fetal liver;testis - interstitial;testis;parietal lobe;skeletal muscle;thymus;</t>
        </is>
      </c>
      <c r="I797" t="inlineStr">
        <is>
          <t>.</t>
        </is>
      </c>
      <c r="J797" t="inlineStr">
        <is>
          <t>.</t>
        </is>
      </c>
      <c r="K797" t="inlineStr">
        <is>
          <t>.</t>
        </is>
      </c>
      <c r="L797" t="inlineStr">
        <is>
          <t>.</t>
        </is>
      </c>
      <c r="M797" t="inlineStr">
        <is>
          <t>.</t>
        </is>
      </c>
      <c r="N797" t="inlineStr">
        <is>
          <t>.</t>
        </is>
      </c>
      <c r="O797" t="inlineStr">
        <is>
          <t>.</t>
        </is>
      </c>
    </row>
    <row r="798">
      <c r="A798" t="inlineStr">
        <is>
          <t>WSCD1</t>
        </is>
      </c>
      <c r="B798" t="inlineStr">
        <is>
          <t>2.91261764619966e-06</t>
        </is>
      </c>
      <c r="C798" t="inlineStr">
        <is>
          <t>WSC domain containing 1</t>
        </is>
      </c>
      <c r="D798" t="inlineStr">
        <is>
          <t>.</t>
        </is>
      </c>
      <c r="E798" t="inlineStr">
        <is>
          <t>.</t>
        </is>
      </c>
      <c r="F798" t="inlineStr">
        <is>
          <t>.</t>
        </is>
      </c>
      <c r="G798" t="inlineStr">
        <is>
          <t>unclassifiable (Anatomical System);amygdala;ovary;salivary gland;muscle;intestine;pharynx;colon;blood;vein;skin;breast;prostate;lung;frontal lobe;visual apparatus;liver;testis;kidney;brain;bladder;</t>
        </is>
      </c>
      <c r="H798" t="inlineStr">
        <is>
          <t>uterus corpus;occipital lobe;thalamus;superior cervical ganglion;cerebellum peduncles;spinal cord;ciliary ganglion;cerebellum;</t>
        </is>
      </c>
      <c r="I798" t="inlineStr">
        <is>
          <t>.</t>
        </is>
      </c>
      <c r="J798" t="inlineStr">
        <is>
          <t>.</t>
        </is>
      </c>
      <c r="K798" t="inlineStr">
        <is>
          <t>.</t>
        </is>
      </c>
      <c r="L798" t="inlineStr">
        <is>
          <t>.</t>
        </is>
      </c>
      <c r="M798" t="inlineStr">
        <is>
          <t>.</t>
        </is>
      </c>
      <c r="N798" t="inlineStr">
        <is>
          <t>.</t>
        </is>
      </c>
      <c r="O798" t="inlineStr">
        <is>
          <t>.</t>
        </is>
      </c>
    </row>
    <row r="799">
      <c r="A799" t="inlineStr">
        <is>
          <t>XIRP2</t>
        </is>
      </c>
      <c r="B799" t="inlineStr">
        <is>
          <t>2.85559362075031e-37</t>
        </is>
      </c>
      <c r="C799" t="inlineStr">
        <is>
          <t>xin actin binding repeat containing 2</t>
        </is>
      </c>
      <c r="D799" t="inlineStr">
        <is>
          <t xml:space="preserve">FUNCTION: Protects actin filaments from depolymerization. {ECO:0000269|PubMed:15454575}.; </t>
        </is>
      </c>
      <c r="E799" t="inlineStr">
        <is>
          <t>.</t>
        </is>
      </c>
      <c r="F799" t="inlineStr">
        <is>
          <t>.</t>
        </is>
      </c>
      <c r="G799" t="inlineStr">
        <is>
          <t>unclassifiable (Anatomical System);myocardium;heart;ovary;spinal cord;skin;skeletal muscle;uterus;lung;larynx;thyroid;alveolus;liver;testis;head and neck;peripheral nerve;</t>
        </is>
      </c>
      <c r="H799" t="inlineStr">
        <is>
          <t>superior cervical ganglion;ciliary ganglion;atrioventricular node;trigeminal ganglion;skeletal muscle;</t>
        </is>
      </c>
      <c r="I799" t="inlineStr">
        <is>
          <t>.</t>
        </is>
      </c>
      <c r="J799" t="inlineStr">
        <is>
          <t>.</t>
        </is>
      </c>
      <c r="K799" t="inlineStr">
        <is>
          <t>.</t>
        </is>
      </c>
      <c r="L799" t="inlineStr">
        <is>
          <t>.</t>
        </is>
      </c>
      <c r="M799" t="inlineStr">
        <is>
          <t>.</t>
        </is>
      </c>
      <c r="N799" t="inlineStr">
        <is>
          <t>.</t>
        </is>
      </c>
      <c r="O799" t="inlineStr">
        <is>
          <t>.</t>
        </is>
      </c>
    </row>
    <row r="800">
      <c r="A800" t="inlineStr">
        <is>
          <t>ZAN</t>
        </is>
      </c>
      <c r="B800" t="inlineStr">
        <is>
          <t>1.56059061227021e-43</t>
        </is>
      </c>
      <c r="C800" t="inlineStr">
        <is>
          <t>zonadhesin (gene/pseudogene)</t>
        </is>
      </c>
      <c r="D800" t="inlineStr">
        <is>
          <t xml:space="preserve">FUNCTION: Binds in a species-specific manner to the zona pellucida of the egg. May be involved in gamete recognition and/or signaling.; </t>
        </is>
      </c>
      <c r="E800" t="inlineStr">
        <is>
          <t>.</t>
        </is>
      </c>
      <c r="F800" t="inlineStr">
        <is>
          <t xml:space="preserve">TISSUE SPECIFICITY: In testis, primarily in haploid spermatids.; </t>
        </is>
      </c>
      <c r="G800" t="inlineStr">
        <is>
          <t>.</t>
        </is>
      </c>
      <c r="H800" t="inlineStr">
        <is>
          <t>.</t>
        </is>
      </c>
      <c r="I800" t="inlineStr">
        <is>
          <t>.</t>
        </is>
      </c>
      <c r="J800" t="inlineStr">
        <is>
          <t>.</t>
        </is>
      </c>
      <c r="K800" t="inlineStr">
        <is>
          <t>.</t>
        </is>
      </c>
      <c r="L800" t="inlineStr">
        <is>
          <t>.</t>
        </is>
      </c>
      <c r="M800" t="inlineStr">
        <is>
          <t>.</t>
        </is>
      </c>
      <c r="N800" t="inlineStr">
        <is>
          <t>.</t>
        </is>
      </c>
      <c r="O800" t="inlineStr">
        <is>
          <t>.</t>
        </is>
      </c>
    </row>
    <row r="801">
      <c r="A801" t="inlineStr">
        <is>
          <t>ZBTB25</t>
        </is>
      </c>
      <c r="B801" t="inlineStr">
        <is>
          <t>3.31068569517812e-05</t>
        </is>
      </c>
      <c r="C801" t="inlineStr">
        <is>
          <t>zinc finger and BTB domain containing 25</t>
        </is>
      </c>
      <c r="D801" t="inlineStr">
        <is>
          <t xml:space="preserve">FUNCTION: May be involved in transcriptional regulation.; </t>
        </is>
      </c>
      <c r="E801" t="inlineStr">
        <is>
          <t>.</t>
        </is>
      </c>
      <c r="F801" t="inlineStr">
        <is>
          <t xml:space="preserve">TISSUE SPECIFICITY: Expressed mainly in hematopoietic cells and testis.; </t>
        </is>
      </c>
      <c r="G801" t="inlineStr">
        <is>
          <t>unclassifiable (Anatomical System);cartilage;ovary;heart;salivary gland;intestine;pharynx;colon;blood;skin;breast;uterus;bile duct;prostate;lung;visual apparatus;liver;kidney;brain;bladder;</t>
        </is>
      </c>
      <c r="H801" t="inlineStr">
        <is>
          <t>dorsal root ganglion;superior cervical ganglion;atrioventricular node;trigeminal ganglion;</t>
        </is>
      </c>
      <c r="I801" t="inlineStr">
        <is>
          <t>.</t>
        </is>
      </c>
      <c r="J801" t="inlineStr">
        <is>
          <t>.</t>
        </is>
      </c>
      <c r="K801" t="inlineStr">
        <is>
          <t>.</t>
        </is>
      </c>
      <c r="L801" t="inlineStr">
        <is>
          <t>.</t>
        </is>
      </c>
      <c r="M801" t="inlineStr">
        <is>
          <t>.</t>
        </is>
      </c>
      <c r="N801" t="inlineStr">
        <is>
          <t>.</t>
        </is>
      </c>
      <c r="O801" t="inlineStr">
        <is>
          <t>.</t>
        </is>
      </c>
    </row>
    <row r="802">
      <c r="A802" t="inlineStr">
        <is>
          <t>ZBTB7A</t>
        </is>
      </c>
      <c r="B802" t="inlineStr">
        <is>
          <t>.</t>
        </is>
      </c>
      <c r="C802" t="inlineStr">
        <is>
          <t>zinc finger and BTB domain containing 7A</t>
        </is>
      </c>
      <c r="D802" t="inlineStr">
        <is>
          <t xml:space="preserve">FUNCTION: Plays a key role in the instruction of early lymphoid progenitors to develop into B lineage by repressing T-cell instructive Notch signals (By similarity). Specifically represses the transcription of the CDKN2A gene. Efficiently abrogates E2F1- dependent CDKN2A transactivation/de-repression. Binds to the consensus sequence 5'-[GA][CA]GACCCCCCCCC-3' (By similarity). {ECO:0000250}.; </t>
        </is>
      </c>
      <c r="E802" t="inlineStr">
        <is>
          <t>.</t>
        </is>
      </c>
      <c r="F802" t="inlineStr">
        <is>
          <t xml:space="preserve">TISSUE SPECIFICITY: Widely expressed. In normal thymus, expressed in medullary epithelial cells and Hassle's corpuscles (at protein level). In tonsil, expressed in squamous epithelium and germinal center lymphocytes (at protein level). Up-regulated in a subset of lymphomas, as well as in a subset of breast, lung, colon, prostate and bladder carcinomas (at protein level). {ECO:0000269|PubMed:15662416, ECO:0000269|PubMed:9927193}.; </t>
        </is>
      </c>
      <c r="G802" t="inlineStr">
        <is>
          <t>ovary;colon;parathyroid;fovea centralis;choroid;skin;retina;bone marrow;uterus;prostate;optic nerve;cochlea;synovium;bone;thyroid;testis;germinal center;brain;pineal gland;unclassifiable (Anatomical System);lymph node;cartilage;heart;islets of Langerhans;muscle;adrenal cortex;blood;lens;pancreas;lung;placenta;macula lutea;hippocampus;liver;spleen;kidney;mammary gland;stomach;thymus;</t>
        </is>
      </c>
      <c r="H802" t="inlineStr">
        <is>
          <t>dorsal root ganglion;superior cervical ganglion;medulla oblongata;cerebellum peduncles;temporal lobe;pons;atrioventricular node;skeletal muscle;prefrontal cortex;globus pallidus;ciliary ganglion;trigeminal ganglion;parietal lobe;cingulate cortex;</t>
        </is>
      </c>
      <c r="I802" t="inlineStr">
        <is>
          <t>.</t>
        </is>
      </c>
      <c r="J802" t="inlineStr">
        <is>
          <t>.</t>
        </is>
      </c>
      <c r="K802" t="inlineStr">
        <is>
          <t>.</t>
        </is>
      </c>
      <c r="L802" t="inlineStr">
        <is>
          <t>.</t>
        </is>
      </c>
      <c r="M802" t="inlineStr">
        <is>
          <t>.</t>
        </is>
      </c>
      <c r="N802" t="inlineStr">
        <is>
          <t>.</t>
        </is>
      </c>
      <c r="O802" t="inlineStr">
        <is>
          <t>.</t>
        </is>
      </c>
    </row>
    <row r="803">
      <c r="A803" t="inlineStr">
        <is>
          <t>ZFHX3</t>
        </is>
      </c>
      <c r="B803" t="inlineStr">
        <is>
          <t>0.999999999859262</t>
        </is>
      </c>
      <c r="C803" t="inlineStr">
        <is>
          <t>zinc finger homeobox 3</t>
        </is>
      </c>
      <c r="D803" t="inlineStr">
        <is>
          <t xml:space="preserve">FUNCTION: Transcriptional regulator which can act as an activator or a repressor. Inhibits the enhancer element of the AFP gene by binding to its AT-rich core sequence. In concert with SMAD- dependent TGF-beta signaling can repress the transcription of AFP via its interaction with SMAD2/3 (PubMed:25105025). Regulates the circadian locomotor rhythms via transcriptional activation of neuropeptidergic genes which are essential for intercellular synchrony and rhythm amplitude in the suprachiasmatic nucleus (SCN) of the brain (By similarity). Regulator of myoblasts differentiation through the binding to the AT-rich sequence of MYF6 promoter and promoter repression (PubMed:11312261). Down- regulates the MUC5AC promoter in gastric cancer (PubMed:17330845). In association with RUNX3, upregulates CDKN1A promoter activity following TGF-beta stimulation (PubMed:20599712). Inhibits estrogen receptor (ESR1) function by selectively competing with coactivator NCOA3 for binding to ESR1 in ESR1-positive breast cancer cells (PubMed:20720010). {ECO:0000250|UniProtKB:Q61329, ECO:0000269|PubMed:11312261, ECO:0000269|PubMed:17330845, ECO:0000269|PubMed:20599712, ECO:0000269|PubMed:20720010, ECO:0000269|PubMed:25105025}.; </t>
        </is>
      </c>
      <c r="E803" t="inlineStr">
        <is>
          <t>.</t>
        </is>
      </c>
      <c r="F803" t="inlineStr">
        <is>
          <t xml:space="preserve">TISSUE SPECIFICITY: Not found in normal gastric mucosa but found in gastric carcinoma cells (at protein level). Expression is higher in ER-positive breast tumors than ER-negative breast tumors (at protein level). {ECO:0000269|PubMed:17330845, ECO:0000269|PubMed:20599712, ECO:0000269|PubMed:20720010, ECO:0000269|PubMed:22452784}.; </t>
        </is>
      </c>
      <c r="G803" t="inlineStr">
        <is>
          <t>ovary;colon;fovea centralis;choroid;skin;retina;uterus;prostate;optic nerve;frontal lobe;endometrium;thyroid;bone;iris;testis;germinal center;pineal gland;brain;tonsil;unclassifiable (Anatomical System);heart;lens;breast;lung;placenta;macula lutea;visual apparatus;spleen;head and neck;cervix;kidney;mammary gland;</t>
        </is>
      </c>
      <c r="H803" t="inlineStr">
        <is>
          <t>prostate;superior cervical ganglion;fetal thyroid;</t>
        </is>
      </c>
      <c r="I803" t="inlineStr">
        <is>
          <t>.</t>
        </is>
      </c>
      <c r="J803" t="inlineStr">
        <is>
          <t>.</t>
        </is>
      </c>
      <c r="K803" t="inlineStr">
        <is>
          <t>.</t>
        </is>
      </c>
      <c r="L803" t="inlineStr">
        <is>
          <t>.</t>
        </is>
      </c>
      <c r="M803" t="inlineStr">
        <is>
          <t>.</t>
        </is>
      </c>
      <c r="N803" t="inlineStr">
        <is>
          <t>.</t>
        </is>
      </c>
      <c r="O803" t="inlineStr">
        <is>
          <t>.</t>
        </is>
      </c>
    </row>
    <row r="804">
      <c r="A804" t="inlineStr">
        <is>
          <t>ZFHX4</t>
        </is>
      </c>
      <c r="B804" t="inlineStr">
        <is>
          <t>0.999999642290115</t>
        </is>
      </c>
      <c r="C804" t="inlineStr">
        <is>
          <t>zinc finger homeobox 4</t>
        </is>
      </c>
      <c r="D804" t="inlineStr">
        <is>
          <t xml:space="preserve">FUNCTION: May play a role in neural and muscle differentiation (By similarity). May be involved in transcriptional regulation. {ECO:0000250}.; </t>
        </is>
      </c>
      <c r="E804" t="inlineStr">
        <is>
          <t>.</t>
        </is>
      </c>
      <c r="F804" t="inlineStr">
        <is>
          <t xml:space="preserve">TISSUE SPECIFICITY: Expressed in brain, skeletal muscle and liver. Very low expression in stomach.; </t>
        </is>
      </c>
      <c r="G804" t="inlineStr">
        <is>
          <t>colon;choroid;fovea centralis;skin;retina;uterus;prostate;optic nerve;whole body;frontal lobe;larynx;thyroid;bone;testis;brain;unclassifiable (Anatomical System);heart;cartilage;lens;lung;placenta;macula lutea;liver;duodenum;spleen;head and neck;</t>
        </is>
      </c>
      <c r="H804" t="inlineStr">
        <is>
          <t>dorsal root ganglion;superior cervical ganglion;appendix;globus pallidus;ciliary ganglion;atrioventricular node;pons;trigeminal ganglion;skeletal muscle;parietal lobe;</t>
        </is>
      </c>
      <c r="I804" t="inlineStr">
        <is>
          <t>.</t>
        </is>
      </c>
      <c r="J804" t="inlineStr">
        <is>
          <t>.</t>
        </is>
      </c>
      <c r="K804" t="inlineStr">
        <is>
          <t>.</t>
        </is>
      </c>
      <c r="L804" t="inlineStr">
        <is>
          <t>.</t>
        </is>
      </c>
      <c r="M804" t="inlineStr">
        <is>
          <t>.</t>
        </is>
      </c>
      <c r="N804" t="inlineStr">
        <is>
          <t>.</t>
        </is>
      </c>
      <c r="O804" t="inlineStr">
        <is>
          <t>.</t>
        </is>
      </c>
    </row>
    <row r="805">
      <c r="A805" t="inlineStr">
        <is>
          <t>ZFPM1</t>
        </is>
      </c>
      <c r="B805" t="inlineStr">
        <is>
          <t>0.0314918366014913</t>
        </is>
      </c>
      <c r="C805" t="inlineStr">
        <is>
          <t>zinc finger protein, FOG family member 1</t>
        </is>
      </c>
      <c r="D805" t="inlineStr">
        <is>
          <t xml:space="preserve">FUNCTION: Transcription regulator that plays an essential role in erythroid and megakaryocytic cell differentiation. Essential cofactor that acts via the formation of a heterodimer with transcription factors of the GATA family GATA1, GATA2 and GATA3. Such heterodimer can both activate or repress transcriptional activity, depending on the cell and promoter context. The heterodimer formed with GATA proteins is essential to activate expression of genes such as NFE2, ITGA2B, alpha- and beta-globin, while it represses expression of KLF1. May be involved in regulation of some genes in gonads. May also be involved in cardiac development, in a non-redundant way with ZFPM2/FOG2 (By similarity). {ECO:0000250}.; </t>
        </is>
      </c>
      <c r="E805" t="inlineStr">
        <is>
          <t>.</t>
        </is>
      </c>
      <c r="F805" t="inlineStr">
        <is>
          <t xml:space="preserve">TISSUE SPECIFICITY: Mainly expressed in hematopoietic tissues. Also expressed in adult cerebellum, stomach, lymph node, liver and pancreas. Expressed in fetal heart, liver and spleen. {ECO:0000269|PubMed:12483298}.; </t>
        </is>
      </c>
      <c r="G805" t="inlineStr">
        <is>
          <t>unclassifiable (Anatomical System);pancreas;lung;ovary;testis;blood;kidney;retina;</t>
        </is>
      </c>
      <c r="H805" t="inlineStr">
        <is>
          <t>dorsal root ganglion;superior cervical ganglion;globus pallidus;ciliary ganglion;atrioventricular node;trigeminal ganglion;skeletal muscle;</t>
        </is>
      </c>
      <c r="I805" t="inlineStr">
        <is>
          <t>.</t>
        </is>
      </c>
      <c r="J805" t="inlineStr">
        <is>
          <t>.</t>
        </is>
      </c>
      <c r="K805" t="inlineStr">
        <is>
          <t>.</t>
        </is>
      </c>
      <c r="L805" t="inlineStr">
        <is>
          <t>.</t>
        </is>
      </c>
      <c r="M805" t="inlineStr">
        <is>
          <t>.</t>
        </is>
      </c>
      <c r="N805" t="inlineStr">
        <is>
          <t>.</t>
        </is>
      </c>
      <c r="O805" t="inlineStr">
        <is>
          <t>.</t>
        </is>
      </c>
    </row>
    <row r="806">
      <c r="A806" t="inlineStr">
        <is>
          <t>ZGPAT</t>
        </is>
      </c>
      <c r="B806" t="inlineStr">
        <is>
          <t>2.80185523268214e-05</t>
        </is>
      </c>
      <c r="C806" t="inlineStr">
        <is>
          <t>zinc finger CCCH-type and G-patch domain containing</t>
        </is>
      </c>
      <c r="D806" t="inlineStr">
        <is>
          <t xml:space="preserve">FUNCTION: Transcription repressor that specifically binds the 5'- GGAG[GA]A[GA]A-3' consensus sequence. Represses transcription by recruiting the chromatin multiprotein complex NuRD to target promoters. Negatively regulates expression of EGFR, a gene involved in cell proliferation, survival and migration. Its ability to repress genes of the EGFR pathway suggest it may act as a tumor suppressor. Able to suppress breast carcinogenesis. {ECO:0000269|PubMed:19644445}.; </t>
        </is>
      </c>
      <c r="E806" t="inlineStr">
        <is>
          <t>.</t>
        </is>
      </c>
      <c r="F806" t="inlineStr">
        <is>
          <t xml:space="preserve">TISSUE SPECIFICITY: Widely expressed. {ECO:0000269|PubMed:19644445}.; </t>
        </is>
      </c>
      <c r="G806" t="inlineStr">
        <is>
          <t>ovary;colon;fovea centralis;choroid;skin;retina;bone marrow;uterus;prostate;optic nerve;whole body;frontal lobe;bone;testis;germinal center;brain;unclassifiable (Anatomical System);heart;lacrimal gland;islets of Langerhans;hypothalamus;blood;lens;skeletal muscle;pancreas;lung;placenta;macula lutea;visual apparatus;hippocampus;liver;spleen;cervix;kidney;mammary gland;stomach;</t>
        </is>
      </c>
      <c r="H806" t="inlineStr">
        <is>
          <t>liver;globus pallidus;kidney;skeletal muscle;</t>
        </is>
      </c>
      <c r="I806" t="inlineStr">
        <is>
          <t>.</t>
        </is>
      </c>
      <c r="J806" t="inlineStr">
        <is>
          <t>.</t>
        </is>
      </c>
      <c r="K806" t="inlineStr">
        <is>
          <t>.</t>
        </is>
      </c>
      <c r="L806" t="inlineStr">
        <is>
          <t>.</t>
        </is>
      </c>
      <c r="M806" t="inlineStr">
        <is>
          <t>.</t>
        </is>
      </c>
      <c r="N806" t="inlineStr">
        <is>
          <t>.</t>
        </is>
      </c>
      <c r="O806" t="inlineStr">
        <is>
          <t>.</t>
        </is>
      </c>
    </row>
    <row r="807">
      <c r="A807" t="inlineStr">
        <is>
          <t>ZMYND8</t>
        </is>
      </c>
      <c r="B807" t="inlineStr">
        <is>
          <t>0.999997106368404</t>
        </is>
      </c>
      <c r="C807" t="inlineStr">
        <is>
          <t>zinc finger MYND-type containing 8</t>
        </is>
      </c>
      <c r="D807" t="inlineStr">
        <is>
          <t>.</t>
        </is>
      </c>
      <c r="E807" t="inlineStr">
        <is>
          <t>.</t>
        </is>
      </c>
      <c r="F807" t="inlineStr">
        <is>
          <t xml:space="preserve">TISSUE SPECIFICITY: Expressed in all tissues examined with highest expression in brain, lung, pancreas, and placenta. Expressed in cutaneous T-cell lymphomas (CTCL).; </t>
        </is>
      </c>
      <c r="G807" t="inlineStr">
        <is>
          <t>myocardium;ovary;sympathetic chain;skin;bone marrow;retina;prostate;optic nerve;frontal lobe;cochlea;endometrium;thyroid;amniotic fluid;germinal center;brain;heart;cartilage;spinal cord;pharynx;blood;lens;skeletal muscle;breast;visual apparatus;macula lutea;alveolus;liver;cervix;spleen;mammary gland;salivary gland;intestine;colon;parathyroid;choroid;fovea centralis;uterus;whole body;larynx;bone;pituitary gland;testis;dura mater;unclassifiable (Anatomical System);meninges;lymph node;islets of Langerhans;pancreas;lung;pia mater;cornea;adrenal gland;placenta;head and neck;kidney;stomach;</t>
        </is>
      </c>
      <c r="H807" t="inlineStr">
        <is>
          <t>amygdala;dorsal root ganglion;superior cervical ganglion;medulla oblongata;adrenal cortex;atrioventricular node;pons;skeletal muscle;subthalamic nucleus;testis - seminiferous tubule;prefrontal cortex;globus pallidus;ciliary ganglion;trigeminal ganglion;cingulate cortex;parietal lobe;</t>
        </is>
      </c>
      <c r="I807" t="inlineStr">
        <is>
          <t>.</t>
        </is>
      </c>
      <c r="J807" t="inlineStr">
        <is>
          <t>.</t>
        </is>
      </c>
      <c r="K807" t="inlineStr">
        <is>
          <t>.</t>
        </is>
      </c>
      <c r="L807" t="inlineStr">
        <is>
          <t>.</t>
        </is>
      </c>
      <c r="M807" t="inlineStr">
        <is>
          <t>.</t>
        </is>
      </c>
      <c r="N807" t="inlineStr">
        <is>
          <t>.</t>
        </is>
      </c>
      <c r="O807" t="inlineStr">
        <is>
          <t>.</t>
        </is>
      </c>
    </row>
    <row r="808">
      <c r="A808" t="inlineStr">
        <is>
          <t>ZNF195</t>
        </is>
      </c>
      <c r="B808" t="inlineStr">
        <is>
          <t>0.731668924641439</t>
        </is>
      </c>
      <c r="C808" t="inlineStr">
        <is>
          <t>zinc finger protein 195</t>
        </is>
      </c>
      <c r="D808" t="inlineStr">
        <is>
          <t xml:space="preserve">FUNCTION: May be involved in transcriptional regulation.; </t>
        </is>
      </c>
      <c r="E808" t="inlineStr">
        <is>
          <t>.</t>
        </is>
      </c>
      <c r="F808" t="inlineStr">
        <is>
          <t xml:space="preserve">TISSUE SPECIFICITY: Expressed in adult heart, brain, placenta, skeletal muscle and pancreas, and in fetal lung, kidney and brain. There is little expression in adult lung, liver and kidney.; </t>
        </is>
      </c>
      <c r="G808" t="inlineStr">
        <is>
          <t>unclassifiable (Anatomical System);lymphoreticular;ovary;heart;islets of Langerhans;colon;skin;uterus;prostate;lung;endometrium;epididymis;nasopharynx;bone;thyroid;placenta;liver;testis;head and neck;kidney;brain;mammary gland;stomach;</t>
        </is>
      </c>
      <c r="H808" t="inlineStr">
        <is>
          <t>subthalamic nucleus;testis - interstitial;superior cervical ganglion;ciliary ganglion;trigeminal ganglion;cingulate cortex;skeletal muscle;</t>
        </is>
      </c>
      <c r="I808" t="inlineStr">
        <is>
          <t>.</t>
        </is>
      </c>
      <c r="J808" t="inlineStr">
        <is>
          <t>.</t>
        </is>
      </c>
      <c r="K808" t="inlineStr">
        <is>
          <t>.</t>
        </is>
      </c>
      <c r="L808" t="inlineStr">
        <is>
          <t>.</t>
        </is>
      </c>
      <c r="M808" t="inlineStr">
        <is>
          <t>.</t>
        </is>
      </c>
      <c r="N808" t="inlineStr">
        <is>
          <t>.</t>
        </is>
      </c>
      <c r="O808" t="inlineStr">
        <is>
          <t>.</t>
        </is>
      </c>
    </row>
    <row r="809">
      <c r="A809" t="inlineStr">
        <is>
          <t>ZNF208</t>
        </is>
      </c>
      <c r="B809" t="inlineStr">
        <is>
          <t>5.00161251193924e-20</t>
        </is>
      </c>
      <c r="C809" t="inlineStr">
        <is>
          <t>zinc finger protein 208</t>
        </is>
      </c>
      <c r="D809" t="inlineStr">
        <is>
          <t xml:space="preserve">FUNCTION: May be involved in transcriptional regulation.; </t>
        </is>
      </c>
      <c r="E809" t="inlineStr">
        <is>
          <t>.</t>
        </is>
      </c>
      <c r="F809" t="inlineStr">
        <is>
          <t xml:space="preserve">TISSUE SPECIFICITY: Ubiquitous.; </t>
        </is>
      </c>
      <c r="G809" t="inlineStr">
        <is>
          <t>.</t>
        </is>
      </c>
      <c r="H809" t="inlineStr">
        <is>
          <t>.</t>
        </is>
      </c>
      <c r="I809" t="inlineStr">
        <is>
          <t>.</t>
        </is>
      </c>
      <c r="J809" t="inlineStr">
        <is>
          <t>.</t>
        </is>
      </c>
      <c r="K809" t="inlineStr">
        <is>
          <t>.</t>
        </is>
      </c>
      <c r="L809" t="inlineStr">
        <is>
          <t>.</t>
        </is>
      </c>
      <c r="M809" t="inlineStr">
        <is>
          <t>.</t>
        </is>
      </c>
      <c r="N809" t="inlineStr">
        <is>
          <t>.</t>
        </is>
      </c>
      <c r="O809" t="inlineStr">
        <is>
          <t>.</t>
        </is>
      </c>
    </row>
    <row r="810">
      <c r="A810" t="inlineStr">
        <is>
          <t>ZNF43</t>
        </is>
      </c>
      <c r="B810" t="inlineStr">
        <is>
          <t>2.14784246985067e-08</t>
        </is>
      </c>
      <c r="C810" t="inlineStr">
        <is>
          <t>zinc finger protein 43</t>
        </is>
      </c>
      <c r="D810" t="inlineStr">
        <is>
          <t xml:space="preserve">FUNCTION: May be involved in transcriptional regulation.; </t>
        </is>
      </c>
      <c r="E810" t="inlineStr">
        <is>
          <t>.</t>
        </is>
      </c>
      <c r="F810" t="inlineStr">
        <is>
          <t xml:space="preserve">TISSUE SPECIFICITY: T- and B-cell lines.; </t>
        </is>
      </c>
      <c r="G810" t="inlineStr">
        <is>
          <t>epididymis;</t>
        </is>
      </c>
      <c r="H810" t="inlineStr">
        <is>
          <t>dorsal root ganglion;superior cervical ganglion;testis - interstitial;trigeminal ganglion;</t>
        </is>
      </c>
      <c r="I810" t="inlineStr">
        <is>
          <t>.</t>
        </is>
      </c>
      <c r="J810" t="inlineStr">
        <is>
          <t>.</t>
        </is>
      </c>
      <c r="K810" t="inlineStr">
        <is>
          <t>.</t>
        </is>
      </c>
      <c r="L810" t="inlineStr">
        <is>
          <t>.</t>
        </is>
      </c>
      <c r="M810" t="inlineStr">
        <is>
          <t>.</t>
        </is>
      </c>
      <c r="N810" t="inlineStr">
        <is>
          <t>.</t>
        </is>
      </c>
      <c r="O810" t="inlineStr">
        <is>
          <t>.</t>
        </is>
      </c>
    </row>
    <row r="811">
      <c r="A811" t="inlineStr">
        <is>
          <t>ZNF468</t>
        </is>
      </c>
      <c r="B811" t="inlineStr">
        <is>
          <t>4.58040583827181e-12</t>
        </is>
      </c>
      <c r="C811" t="inlineStr">
        <is>
          <t>zinc finger protein 468</t>
        </is>
      </c>
      <c r="D811" t="inlineStr">
        <is>
          <t xml:space="preserve">FUNCTION: May be involved in transcriptional regulation.; </t>
        </is>
      </c>
      <c r="E811" t="inlineStr">
        <is>
          <t>.</t>
        </is>
      </c>
      <c r="F811" t="inlineStr">
        <is>
          <t xml:space="preserve">TISSUE SPECIFICITY: Isoform 1 and isoform 2 are highly expressed in placenta, pancreas, and small intestine. Lower expression in colon, ovary, testis, prostate, thymus, spleen, kidney, and liver. No expression detected in heart and brain. {ECO:0000269|PubMed:16144304}.; </t>
        </is>
      </c>
      <c r="G811" t="inlineStr">
        <is>
          <t>uterus;whole body;cartilage;liver;testis;spleen;germinal center;spinal ganglion;</t>
        </is>
      </c>
      <c r="H811" t="inlineStr">
        <is>
          <t>.</t>
        </is>
      </c>
      <c r="I811" t="inlineStr">
        <is>
          <t>.</t>
        </is>
      </c>
      <c r="J811" t="inlineStr">
        <is>
          <t>.</t>
        </is>
      </c>
      <c r="K811" t="inlineStr">
        <is>
          <t>.</t>
        </is>
      </c>
      <c r="L811" t="inlineStr">
        <is>
          <t>.</t>
        </is>
      </c>
      <c r="M811" t="inlineStr">
        <is>
          <t>.</t>
        </is>
      </c>
      <c r="N811" t="inlineStr">
        <is>
          <t>.</t>
        </is>
      </c>
      <c r="O811" t="inlineStr">
        <is>
          <t>.</t>
        </is>
      </c>
    </row>
    <row r="812">
      <c r="A812" t="inlineStr">
        <is>
          <t>ZNF541</t>
        </is>
      </c>
      <c r="B812" t="inlineStr">
        <is>
          <t>.</t>
        </is>
      </c>
      <c r="C812" t="inlineStr">
        <is>
          <t>zinc finger protein 541</t>
        </is>
      </c>
      <c r="D812" t="inlineStr">
        <is>
          <t xml:space="preserve">FUNCTION: Component of some chromatin remodeling multiprotein complex that plays a role during spermatogenesis. {ECO:0000250|UniProtKB:Q0GGX2}.; </t>
        </is>
      </c>
      <c r="E812" t="inlineStr">
        <is>
          <t>.</t>
        </is>
      </c>
      <c r="F812" t="inlineStr">
        <is>
          <t>.</t>
        </is>
      </c>
      <c r="G812" t="inlineStr">
        <is>
          <t>unclassifiable (Anatomical System);lung;liver;testis;spleen;kidney;skin;</t>
        </is>
      </c>
      <c r="H812" t="inlineStr">
        <is>
          <t>dorsal root ganglion;superior cervical ganglion;testis - interstitial;testis - seminiferous tubule;testis;ciliary ganglion;atrioventricular node;trigeminal ganglion;skeletal muscle;</t>
        </is>
      </c>
      <c r="I812" t="inlineStr">
        <is>
          <t>.</t>
        </is>
      </c>
      <c r="J812" t="inlineStr">
        <is>
          <t>.</t>
        </is>
      </c>
      <c r="K812" t="inlineStr">
        <is>
          <t>.</t>
        </is>
      </c>
      <c r="L812" t="inlineStr">
        <is>
          <t>.</t>
        </is>
      </c>
      <c r="M812" t="inlineStr">
        <is>
          <t>.</t>
        </is>
      </c>
      <c r="N812" t="inlineStr">
        <is>
          <t>.</t>
        </is>
      </c>
      <c r="O812" t="inlineStr">
        <is>
          <t>.</t>
        </is>
      </c>
    </row>
    <row r="813">
      <c r="A813" t="inlineStr">
        <is>
          <t>ZNF594</t>
        </is>
      </c>
      <c r="B813" t="inlineStr">
        <is>
          <t>1.13967591329678e-10</t>
        </is>
      </c>
      <c r="C813" t="inlineStr">
        <is>
          <t>zinc finger protein 594</t>
        </is>
      </c>
      <c r="D813" t="inlineStr">
        <is>
          <t xml:space="preserve">FUNCTION: May be involved in transcriptional regulation. {ECO:0000250}.; </t>
        </is>
      </c>
      <c r="E813" t="inlineStr">
        <is>
          <t>.</t>
        </is>
      </c>
      <c r="F813" t="inlineStr">
        <is>
          <t>.</t>
        </is>
      </c>
      <c r="G813" t="inlineStr">
        <is>
          <t>.</t>
        </is>
      </c>
      <c r="H813" t="inlineStr">
        <is>
          <t>.</t>
        </is>
      </c>
      <c r="I813" t="inlineStr">
        <is>
          <t>.</t>
        </is>
      </c>
      <c r="J813" t="inlineStr">
        <is>
          <t>.</t>
        </is>
      </c>
      <c r="K813" t="inlineStr">
        <is>
          <t>.</t>
        </is>
      </c>
      <c r="L813" t="inlineStr">
        <is>
          <t>.</t>
        </is>
      </c>
      <c r="M813" t="inlineStr">
        <is>
          <t>.</t>
        </is>
      </c>
      <c r="N813" t="inlineStr">
        <is>
          <t>.</t>
        </is>
      </c>
      <c r="O813" t="inlineStr">
        <is>
          <t>.</t>
        </is>
      </c>
    </row>
    <row r="814">
      <c r="A814" t="inlineStr">
        <is>
          <t>ZNF599</t>
        </is>
      </c>
      <c r="B814" t="inlineStr">
        <is>
          <t>4.70007785154845e-07</t>
        </is>
      </c>
      <c r="C814" t="inlineStr">
        <is>
          <t>zinc finger protein 599</t>
        </is>
      </c>
      <c r="D814" t="inlineStr">
        <is>
          <t xml:space="preserve">FUNCTION: May be involved in transcriptional regulation.; </t>
        </is>
      </c>
      <c r="E814" t="inlineStr">
        <is>
          <t>.</t>
        </is>
      </c>
      <c r="F814" t="inlineStr">
        <is>
          <t>.</t>
        </is>
      </c>
      <c r="G814" t="inlineStr">
        <is>
          <t>ovary;colon;parathyroid;choroid;fovea centralis;skin;bone marrow;retina;uterus;prostate;optic nerve;endometrium;bone;testis;brain;unclassifiable (Anatomical System);heart;cartilage;islets of Langerhans;lens;lung;placenta;visual apparatus;macula lutea;kidney;mammary gland;</t>
        </is>
      </c>
      <c r="H814" t="inlineStr">
        <is>
          <t>superior cervical ganglion;globus pallidus;ciliary ganglion;skeletal muscle;</t>
        </is>
      </c>
      <c r="I814" t="inlineStr">
        <is>
          <t>.</t>
        </is>
      </c>
      <c r="J814" t="inlineStr">
        <is>
          <t>.</t>
        </is>
      </c>
      <c r="K814" t="inlineStr">
        <is>
          <t>.</t>
        </is>
      </c>
      <c r="L814" t="inlineStr">
        <is>
          <t>.</t>
        </is>
      </c>
      <c r="M814" t="inlineStr">
        <is>
          <t>.</t>
        </is>
      </c>
      <c r="N814" t="inlineStr">
        <is>
          <t>.</t>
        </is>
      </c>
      <c r="O814" t="inlineStr">
        <is>
          <t>.</t>
        </is>
      </c>
    </row>
    <row r="815">
      <c r="A815" t="inlineStr">
        <is>
          <t>ZNF608</t>
        </is>
      </c>
      <c r="B815" t="inlineStr">
        <is>
          <t>0.999968158467997</t>
        </is>
      </c>
      <c r="C815" t="inlineStr">
        <is>
          <t>zinc finger protein 608</t>
        </is>
      </c>
      <c r="D815" t="inlineStr">
        <is>
          <t>.</t>
        </is>
      </c>
      <c r="E815" t="inlineStr">
        <is>
          <t>.</t>
        </is>
      </c>
      <c r="F815" t="inlineStr">
        <is>
          <t>.</t>
        </is>
      </c>
      <c r="G815" t="inlineStr">
        <is>
          <t>unclassifiable (Anatomical System);lymph node;cartilage;heart;ovary;islets of Langerhans;colon;parathyroid;skin;skeletal muscle;breast;uterus;prostate;lung;frontal lobe;larynx;bone;thyroid;placenta;testis;head and neck;germinal center;kidney;brain;stomach;</t>
        </is>
      </c>
      <c r="H815" t="inlineStr">
        <is>
          <t>.</t>
        </is>
      </c>
      <c r="I815" t="inlineStr">
        <is>
          <t>.</t>
        </is>
      </c>
      <c r="J815" t="inlineStr">
        <is>
          <t>.</t>
        </is>
      </c>
      <c r="K815" t="inlineStr">
        <is>
          <t>.</t>
        </is>
      </c>
      <c r="L815" t="inlineStr">
        <is>
          <t>.</t>
        </is>
      </c>
      <c r="M815" t="inlineStr">
        <is>
          <t>.</t>
        </is>
      </c>
      <c r="N815" t="inlineStr">
        <is>
          <t>.</t>
        </is>
      </c>
      <c r="O815" t="inlineStr">
        <is>
          <t>.</t>
        </is>
      </c>
    </row>
    <row r="816">
      <c r="A816" t="inlineStr">
        <is>
          <t>ZNF629</t>
        </is>
      </c>
      <c r="B816" t="inlineStr">
        <is>
          <t>0.992317751805668</t>
        </is>
      </c>
      <c r="C816" t="inlineStr">
        <is>
          <t>zinc finger protein 629</t>
        </is>
      </c>
      <c r="D816" t="inlineStr">
        <is>
          <t xml:space="preserve">FUNCTION: May be involved in transcriptional regulation.; </t>
        </is>
      </c>
      <c r="E816" t="inlineStr">
        <is>
          <t>.</t>
        </is>
      </c>
      <c r="F816" t="inlineStr">
        <is>
          <t>.</t>
        </is>
      </c>
      <c r="G816" t="inlineStr">
        <is>
          <t>unclassifiable (Anatomical System);uterus;lung;duodenum;spleen;brain;skeletal muscle;</t>
        </is>
      </c>
      <c r="H816" t="inlineStr">
        <is>
          <t>superior cervical ganglion;pons;skeletal muscle;parietal lobe;</t>
        </is>
      </c>
      <c r="I816" t="inlineStr">
        <is>
          <t>.</t>
        </is>
      </c>
      <c r="J816" t="inlineStr">
        <is>
          <t>.</t>
        </is>
      </c>
      <c r="K816" t="inlineStr">
        <is>
          <t>.</t>
        </is>
      </c>
      <c r="L816" t="inlineStr">
        <is>
          <t>.</t>
        </is>
      </c>
      <c r="M816" t="inlineStr">
        <is>
          <t>.</t>
        </is>
      </c>
      <c r="N816" t="inlineStr">
        <is>
          <t>.</t>
        </is>
      </c>
      <c r="O816" t="inlineStr">
        <is>
          <t>.</t>
        </is>
      </c>
    </row>
    <row r="817">
      <c r="A817" t="inlineStr">
        <is>
          <t>ZNF66</t>
        </is>
      </c>
      <c r="B817" t="inlineStr">
        <is>
          <t>5.45295491875167e-17</t>
        </is>
      </c>
      <c r="C817" t="inlineStr">
        <is>
          <t>zinc finger protein 66</t>
        </is>
      </c>
      <c r="D817" t="inlineStr">
        <is>
          <t xml:space="preserve">FUNCTION: May be involved in transcriptional regulation. {ECO:0000250}.; </t>
        </is>
      </c>
      <c r="E817" t="inlineStr">
        <is>
          <t>.</t>
        </is>
      </c>
      <c r="F817" t="inlineStr">
        <is>
          <t>.</t>
        </is>
      </c>
      <c r="G817" t="inlineStr">
        <is>
          <t>.</t>
        </is>
      </c>
      <c r="H817" t="inlineStr">
        <is>
          <t>.</t>
        </is>
      </c>
      <c r="I817" t="inlineStr">
        <is>
          <t>.</t>
        </is>
      </c>
      <c r="J817" t="inlineStr">
        <is>
          <t>.</t>
        </is>
      </c>
      <c r="K817" t="inlineStr">
        <is>
          <t>.</t>
        </is>
      </c>
      <c r="L817" t="inlineStr">
        <is>
          <t>.</t>
        </is>
      </c>
      <c r="M817" t="inlineStr">
        <is>
          <t>.</t>
        </is>
      </c>
      <c r="N817" t="inlineStr">
        <is>
          <t>.</t>
        </is>
      </c>
      <c r="O817" t="inlineStr">
        <is>
          <t>.</t>
        </is>
      </c>
    </row>
    <row r="818">
      <c r="A818" t="inlineStr">
        <is>
          <t>ZNF668</t>
        </is>
      </c>
      <c r="B818" t="inlineStr">
        <is>
          <t>0.26889237334633</t>
        </is>
      </c>
      <c r="C818" t="inlineStr">
        <is>
          <t>zinc finger protein 668</t>
        </is>
      </c>
      <c r="D818" t="inlineStr">
        <is>
          <t xml:space="preserve">FUNCTION: May be involved in transcriptional regulation. {ECO:0000250}.; </t>
        </is>
      </c>
      <c r="E818" t="inlineStr">
        <is>
          <t>.</t>
        </is>
      </c>
      <c r="F818" t="inlineStr">
        <is>
          <t>.</t>
        </is>
      </c>
      <c r="G818" t="inlineStr">
        <is>
          <t>ovary;colon;parathyroid;fovea centralis;choroid;skin;retina;bone marrow;uterus;prostate;optic nerve;whole body;frontal lobe;endometrium;bone;testis;germinal center;brain;tonsil;unclassifiable (Anatomical System);heart;islets of Langerhans;blood;lens;lung;placenta;macula lutea;duodenum;hypopharynx;liver;head and neck;kidney;stomach;thymus;</t>
        </is>
      </c>
      <c r="H818" t="inlineStr">
        <is>
          <t>trigeminal ganglion;</t>
        </is>
      </c>
      <c r="I818" t="inlineStr">
        <is>
          <t>.</t>
        </is>
      </c>
      <c r="J818" t="inlineStr">
        <is>
          <t>.</t>
        </is>
      </c>
      <c r="K818" t="inlineStr">
        <is>
          <t>.</t>
        </is>
      </c>
      <c r="L818" t="inlineStr">
        <is>
          <t>.</t>
        </is>
      </c>
      <c r="M818" t="inlineStr">
        <is>
          <t>.</t>
        </is>
      </c>
      <c r="N818" t="inlineStr">
        <is>
          <t>.</t>
        </is>
      </c>
      <c r="O818" t="inlineStr">
        <is>
          <t>.</t>
        </is>
      </c>
    </row>
    <row r="819">
      <c r="A819" t="inlineStr">
        <is>
          <t>ZNF710</t>
        </is>
      </c>
      <c r="B819" t="inlineStr">
        <is>
          <t>0.943123584694422</t>
        </is>
      </c>
      <c r="C819" t="inlineStr">
        <is>
          <t>zinc finger protein 710</t>
        </is>
      </c>
      <c r="D819" t="inlineStr">
        <is>
          <t xml:space="preserve">FUNCTION: May be involved in transcriptional regulation.; </t>
        </is>
      </c>
      <c r="E819" t="inlineStr">
        <is>
          <t>.</t>
        </is>
      </c>
      <c r="F819" t="inlineStr">
        <is>
          <t>.</t>
        </is>
      </c>
      <c r="G819" t="inlineStr">
        <is>
          <t>ovary;colon;parathyroid;choroid;fovea centralis;skin;bone marrow;retina;uterus;optic nerve;thyroid;testis;brain;unclassifiable (Anatomical System);heart;blood;lens;breast;pancreas;lung;placenta;visual apparatus;macula lutea;cervix;stomach;peripheral nerve;thymus;</t>
        </is>
      </c>
      <c r="H819" t="inlineStr">
        <is>
          <t>superior cervical ganglion;atrioventricular node;skeletal muscle;</t>
        </is>
      </c>
      <c r="I819" t="inlineStr">
        <is>
          <t>.</t>
        </is>
      </c>
      <c r="J819" t="inlineStr">
        <is>
          <t>.</t>
        </is>
      </c>
      <c r="K819" t="inlineStr">
        <is>
          <t>.</t>
        </is>
      </c>
      <c r="L819" t="inlineStr">
        <is>
          <t>.</t>
        </is>
      </c>
      <c r="M819" t="inlineStr">
        <is>
          <t>.</t>
        </is>
      </c>
      <c r="N819" t="inlineStr">
        <is>
          <t>.</t>
        </is>
      </c>
      <c r="O819" t="inlineStr">
        <is>
          <t>.</t>
        </is>
      </c>
    </row>
    <row r="820">
      <c r="A820" t="inlineStr">
        <is>
          <t>ZNF76</t>
        </is>
      </c>
      <c r="B820" t="inlineStr">
        <is>
          <t>5.07288621916122e-16</t>
        </is>
      </c>
      <c r="C820" t="inlineStr">
        <is>
          <t>zinc finger protein 76</t>
        </is>
      </c>
      <c r="D820" t="inlineStr">
        <is>
          <t xml:space="preserve">FUNCTION: May be involved in transcriptional regulation.; </t>
        </is>
      </c>
      <c r="E820" t="inlineStr">
        <is>
          <t>.</t>
        </is>
      </c>
      <c r="F820" t="inlineStr">
        <is>
          <t xml:space="preserve">TISSUE SPECIFICITY: Testis.; </t>
        </is>
      </c>
      <c r="G820" t="inlineStr">
        <is>
          <t>colon;fovea centralis;choroid;skin;retina;bone marrow;uterus;prostate;optic nerve;whole body;frontal lobe;endometrium;bone;thyroid;pituitary gland;testis;germinal center;spinal ganglion;brain;tonsil;unclassifiable (Anatomical System);lymph node;cartilage;islets of Langerhans;urinary;blood;lens;skeletal muscle;lung;epididymis;placenta;macula lutea;visual apparatus;liver;spleen;cervix;kidney;mammary gland;stomach;</t>
        </is>
      </c>
      <c r="H820" t="inlineStr">
        <is>
          <t>dorsal root ganglion;superior cervical ganglion;ciliary ganglion;trigeminal ganglion;skeletal muscle;</t>
        </is>
      </c>
      <c r="I820" t="inlineStr">
        <is>
          <t>.</t>
        </is>
      </c>
      <c r="J820" t="inlineStr">
        <is>
          <t>.</t>
        </is>
      </c>
      <c r="K820" t="inlineStr">
        <is>
          <t>.</t>
        </is>
      </c>
      <c r="L820" t="inlineStr">
        <is>
          <t>.</t>
        </is>
      </c>
      <c r="M820" t="inlineStr">
        <is>
          <t>.</t>
        </is>
      </c>
      <c r="N820" t="inlineStr">
        <is>
          <t>.</t>
        </is>
      </c>
      <c r="O820" t="inlineStr">
        <is>
          <t>.</t>
        </is>
      </c>
    </row>
    <row r="821">
      <c r="A821" t="inlineStr">
        <is>
          <t>ZNF876P</t>
        </is>
      </c>
      <c r="B821" t="inlineStr">
        <is>
          <t>.</t>
        </is>
      </c>
      <c r="C821" t="inlineStr">
        <is>
          <t>zinc finger protein 876, pseudogene</t>
        </is>
      </c>
      <c r="D821" t="inlineStr">
        <is>
          <t xml:space="preserve">FUNCTION: May be involved in transcriptional regulation. {ECO:0000250}.; </t>
        </is>
      </c>
      <c r="E821" t="inlineStr">
        <is>
          <t>.</t>
        </is>
      </c>
      <c r="F821" t="inlineStr">
        <is>
          <t>.</t>
        </is>
      </c>
      <c r="G821" t="inlineStr">
        <is>
          <t>frontal lobe;adrenal gland;spinal cord;</t>
        </is>
      </c>
      <c r="H821" t="inlineStr">
        <is>
          <t>dorsal root ganglion;superior cervical ganglion;globus pallidus;appendix;ciliary ganglion;pons;atrioventricular node;trigeminal ganglion;skin;</t>
        </is>
      </c>
      <c r="I821" t="inlineStr">
        <is>
          <t>.</t>
        </is>
      </c>
      <c r="J821" t="inlineStr">
        <is>
          <t>.</t>
        </is>
      </c>
      <c r="K821" t="inlineStr">
        <is>
          <t>.</t>
        </is>
      </c>
      <c r="L821" t="inlineStr">
        <is>
          <t>.</t>
        </is>
      </c>
      <c r="M821" t="inlineStr">
        <is>
          <t>.</t>
        </is>
      </c>
      <c r="N821" t="inlineStr">
        <is>
          <t>.</t>
        </is>
      </c>
      <c r="O821" t="inlineStr">
        <is>
          <t>.</t>
        </is>
      </c>
    </row>
    <row r="822">
      <c r="A822" t="inlineStr">
        <is>
          <t>ZXDA</t>
        </is>
      </c>
      <c r="B822" t="inlineStr">
        <is>
          <t>0.00521089549915299</t>
        </is>
      </c>
      <c r="C822" t="inlineStr">
        <is>
          <t>zinc finger, X-linked, duplicated A</t>
        </is>
      </c>
      <c r="D822" t="inlineStr">
        <is>
          <t xml:space="preserve">FUNCTION: Cooperates with CIITA to promote transcription of MHC class I and MHC class II genes. {ECO:0000269|PubMed:17493635}.; </t>
        </is>
      </c>
      <c r="E822" t="inlineStr">
        <is>
          <t>.</t>
        </is>
      </c>
      <c r="F822" t="inlineStr">
        <is>
          <t xml:space="preserve">TISSUE SPECIFICITY: May be expressed in brain, heart, kidney, liver, lung, muscle and placenta. {ECO:0000269|PubMed:8268913}.; </t>
        </is>
      </c>
      <c r="G822" t="inlineStr">
        <is>
          <t>unclassifiable (Anatomical System);breast;islets of Langerhans;placenta;liver;colon;kidney;vein;skeletal muscle;</t>
        </is>
      </c>
      <c r="H822" t="inlineStr">
        <is>
          <t>dorsal root ganglion;superior cervical ganglion;medulla oblongata;temporal lobe;ciliary ganglion;atrioventricular node;trigeminal ganglion;</t>
        </is>
      </c>
      <c r="I822" t="inlineStr">
        <is>
          <t>.</t>
        </is>
      </c>
      <c r="J822" t="inlineStr">
        <is>
          <t>.</t>
        </is>
      </c>
      <c r="K822" t="inlineStr">
        <is>
          <t>.</t>
        </is>
      </c>
      <c r="L822" t="inlineStr">
        <is>
          <t>.</t>
        </is>
      </c>
      <c r="M822" t="inlineStr">
        <is>
          <t>.</t>
        </is>
      </c>
      <c r="N822" t="inlineStr">
        <is>
          <t>.</t>
        </is>
      </c>
      <c r="O822" t="inlineStr">
        <is>
          <t>.</t>
        </is>
      </c>
    </row>
    <row r="823">
      <c r="A823" t="inlineStr">
        <is>
          <t>ZZEF1</t>
        </is>
      </c>
      <c r="B823" t="inlineStr">
        <is>
          <t>0.999923090647574</t>
        </is>
      </c>
      <c r="C823" t="inlineStr">
        <is>
          <t>zinc finger ZZ-type and EF-hand domain containing 1</t>
        </is>
      </c>
      <c r="D823" t="inlineStr">
        <is>
          <t>.</t>
        </is>
      </c>
      <c r="E823" t="inlineStr">
        <is>
          <t>.</t>
        </is>
      </c>
      <c r="F823" t="inlineStr">
        <is>
          <t xml:space="preserve">TISSUE SPECIFICITY: Expressed at low levels in cerebellum. {ECO:0000269|PubMed:15519529}.; </t>
        </is>
      </c>
      <c r="G823" t="inlineStr">
        <is>
          <t>.</t>
        </is>
      </c>
      <c r="H823" t="inlineStr">
        <is>
          <t>.</t>
        </is>
      </c>
      <c r="I823" t="inlineStr">
        <is>
          <t>.</t>
        </is>
      </c>
      <c r="J823" t="inlineStr">
        <is>
          <t>.</t>
        </is>
      </c>
      <c r="K823" t="inlineStr">
        <is>
          <t>.</t>
        </is>
      </c>
      <c r="L823" t="inlineStr">
        <is>
          <t>.</t>
        </is>
      </c>
      <c r="M823" t="inlineStr">
        <is>
          <t>.</t>
        </is>
      </c>
      <c r="N823" t="inlineStr">
        <is>
          <t>.</t>
        </is>
      </c>
      <c r="O823" t="inlineStr">
        <is>
          <t>.</t>
        </is>
      </c>
    </row>
  </sheetData>
  <pageMargins left="0.75" right="0.75" top="1" bottom="1" header="0.5" footer="0.5"/>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openpyxl</dc:creator>
  <dcterms:created xmlns:dcterms="http://purl.org/dc/terms/" xmlns:xsi="http://www.w3.org/2001/XMLSchema-instance" xsi:type="dcterms:W3CDTF">2023-06-14T14:22:20Z</dcterms:created>
  <dcterms:modified xmlns:dcterms="http://purl.org/dc/terms/" xmlns:xsi="http://www.w3.org/2001/XMLSchema-instance" xsi:type="dcterms:W3CDTF">2023-06-14T14:22:20Z</dcterms:modified>
</cp:coreProperties>
</file>