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ariants" sheetId="1" state="visible" r:id="rId2"/>
    <sheet name="Gene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<sst xmlns="http://schemas.openxmlformats.org/spreadsheetml/2006/main" count="15251" uniqueCount="3278">
  <si>
    <t xml:space="preserve">Comment</t>
  </si>
  <si>
    <t xml:space="preserve">UCSC</t>
  </si>
  <si>
    <t xml:space="preserve">Chr</t>
  </si>
  <si>
    <t xml:space="preserve">Start</t>
  </si>
  <si>
    <t xml:space="preserve">End</t>
  </si>
  <si>
    <t xml:space="preserve">Ref</t>
  </si>
  <si>
    <t xml:space="preserve">Alt</t>
  </si>
  <si>
    <t xml:space="preserve">VCF.QUAL</t>
  </si>
  <si>
    <t xml:space="preserve">VCF.DP</t>
  </si>
  <si>
    <t xml:space="preserve">VCF.AD</t>
  </si>
  <si>
    <t xml:space="preserve">HGMD</t>
  </si>
  <si>
    <t xml:space="preserve">avsnp150</t>
  </si>
  <si>
    <t xml:space="preserve">AnnoFit.GeneName</t>
  </si>
  <si>
    <t xml:space="preserve">AnnoFit.Func</t>
  </si>
  <si>
    <t xml:space="preserve">AnnoFit.ExonicFunc</t>
  </si>
  <si>
    <t xml:space="preserve">AnnoFit.Details</t>
  </si>
  <si>
    <t xml:space="preserve">AnnoFit.PopFreqMax</t>
  </si>
  <si>
    <t xml:space="preserve">non_topmed_AF_popmax</t>
  </si>
  <si>
    <t xml:space="preserve">non_neuro_AF_popmax</t>
  </si>
  <si>
    <t xml:space="preserve">non_cancer_AF_popmax</t>
  </si>
  <si>
    <t xml:space="preserve">controls_AF_popmax</t>
  </si>
  <si>
    <t xml:space="preserve">AnnoFit.ExonPred</t>
  </si>
  <si>
    <t xml:space="preserve">AnnoFit.SplicePred</t>
  </si>
  <si>
    <t xml:space="preserve">regsnp_disease</t>
  </si>
  <si>
    <t xml:space="preserve">regsnp_splicing_site</t>
  </si>
  <si>
    <t xml:space="preserve">AnnoFit.Conservation</t>
  </si>
  <si>
    <t xml:space="preserve">InterVar_automated</t>
  </si>
  <si>
    <t xml:space="preserve">CLNSIG</t>
  </si>
  <si>
    <t xml:space="preserve">VCF.GT</t>
  </si>
  <si>
    <t xml:space="preserve">Annofit.Compound</t>
  </si>
  <si>
    <t xml:space="preserve">pLi</t>
  </si>
  <si>
    <t xml:space="preserve">Gene_full_name</t>
  </si>
  <si>
    <t xml:space="preserve">Function_description</t>
  </si>
  <si>
    <t xml:space="preserve">Disease_description</t>
  </si>
  <si>
    <t xml:space="preserve">GIAB_Problems</t>
  </si>
  <si>
    <t xml:space="preserve">ENCODE_Blacklist</t>
  </si>
  <si>
    <t xml:space="preserve">UCSC_UnusualRegions</t>
  </si>
  <si>
    <t xml:space="preserve">NCBI_Problems</t>
  </si>
  <si>
    <t xml:space="preserve">chr2</t>
  </si>
  <si>
    <t xml:space="preserve">C</t>
  </si>
  <si>
    <t xml:space="preserve">T</t>
  </si>
  <si>
    <t xml:space="preserve">1387.64</t>
  </si>
  <si>
    <t xml:space="preserve">107</t>
  </si>
  <si>
    <t xml:space="preserve">51,56</t>
  </si>
  <si>
    <t xml:space="preserve">CM940329</t>
  </si>
  <si>
    <t xml:space="preserve">exonic</t>
  </si>
  <si>
    <t xml:space="preserve">nonsynonymous SNV</t>
  </si>
  <si>
    <t xml:space="preserve">CYP27A1:NM_000784:exon2:c.C409T:p.R137W;CYP27A1:uc002viz.4:exon2:c.C409T:p.R137W;ENSG00000135929:ENST00000258415:exon2:c.C409T:p.R137W,ENSG00000135929:ENST00000411688:exon2:c.C127T:p.R43W</t>
  </si>
  <si>
    <t xml:space="preserve">10/12</t>
  </si>
  <si>
    <t xml:space="preserve">.</t>
  </si>
  <si>
    <t xml:space="preserve">2/7</t>
  </si>
  <si>
    <t xml:space="preserve">Uncertain significance</t>
  </si>
  <si>
    <t xml:space="preserve">Conflicting_interpretations_of_pathogenicity</t>
  </si>
  <si>
    <t xml:space="preserve">0/1</t>
  </si>
  <si>
    <t xml:space="preserve">1</t>
  </si>
  <si>
    <t xml:space="preserve">3.89681875061633e-11</t>
  </si>
  <si>
    <t xml:space="preserve">cytochrome P450 family 27 subfamily A member 1</t>
  </si>
  <si>
    <t xml:space="preserve">FUNCTION: Catalyzes the first step in the oxidation of the side chain of sterol intermediates; the 27-hydroxylation of 5-beta- cholestane-3-alpha,7-alpha,12-alpha-triol. Has also a vitamin D3- 25-hydroxylase activity.; </t>
  </si>
  <si>
    <t xml:space="preserve">DISEASE: Cerebrotendinous xanthomatosis (CTX) [MIM:213700]: Rare sterol storage disorder characterized clinically by progressive neurologic dysfunction, premature atherosclerosis, and cataracts. {ECO:0000269|PubMed:12000359, ECO:0000269|PubMed:2019602, ECO:0000269|PubMed:7915755, ECO:0000269|PubMed:9186905, ECO:0000269|PubMed:9790667}. Note=The disease is caused by mutations affecting the gene represented in this entry.; </t>
  </si>
  <si>
    <t xml:space="preserve">chr17</t>
  </si>
  <si>
    <t xml:space="preserve">G</t>
  </si>
  <si>
    <t xml:space="preserve">A</t>
  </si>
  <si>
    <t xml:space="preserve">1276.64</t>
  </si>
  <si>
    <t xml:space="preserve">136</t>
  </si>
  <si>
    <t xml:space="preserve">79,57</t>
  </si>
  <si>
    <t xml:space="preserve">CM132353</t>
  </si>
  <si>
    <t xml:space="preserve">SGSM2:NM_001098509:exon23:c.G2986A:p.V996I,SGSM2:NM_014853:exon24:c.G3121A:p.V1041I;SGSM2:uc002fuq.3:exon5:c.G472A:p.V158I,SGSM2:uc002fun.4:exon23:c.G2986A:p.V996I,SGSM2:uc002fum.4:exon24:c.G3121A:p.V1041I;ENSG00000141258:ENST00000426855:exon23:c.G2986A:p.V996I,ENSG00000141258:ENST00000268989:exon24:c.G3121A:p.V1041I</t>
  </si>
  <si>
    <t xml:space="preserve">5/10</t>
  </si>
  <si>
    <t xml:space="preserve">6/7</t>
  </si>
  <si>
    <t xml:space="preserve">5.55963371668394e-08</t>
  </si>
  <si>
    <t xml:space="preserve">small G protein signaling modulator 2</t>
  </si>
  <si>
    <t xml:space="preserve">chr14</t>
  </si>
  <si>
    <t xml:space="preserve">1851.64</t>
  </si>
  <si>
    <t xml:space="preserve">155</t>
  </si>
  <si>
    <t xml:space="preserve">81,74</t>
  </si>
  <si>
    <t xml:space="preserve">CM1312594</t>
  </si>
  <si>
    <t xml:space="preserve">PCK2:NM_001291556:exon10:c.G1354A:p.G452S,PCK2:NM_001308054:exon10:c.G1354A:p.G452S,PCK2:NM_004563:exon10:c.G1756A:p.G586S;PCK2:uc001wlu.4:exon9:c.G1258A:p.G420S,PCK2:uc001wlt.3:exon10:c.G1756A:p.G586S,PCK2:uc010tnw.2:exon10:c.G1354A:p.G452S,PCK2:uc010tnx.2:exon10:c.G1354A:p.G452S;ENSG00000100889:ENST00000558096:exon9:c.G1258A:p.G420S,ENSG00000100889:ENST00000216780:exon10:c.G1756A:p.G586S,ENSG00000100889:ENST00000545054:exon10:c.G1354A:p.G452S,ENSG00000100889:ENST00000561286:exon10:c.G1354A:p.G452S</t>
  </si>
  <si>
    <t xml:space="preserve">7/11</t>
  </si>
  <si>
    <t xml:space="preserve">3/7</t>
  </si>
  <si>
    <t xml:space="preserve">Likely benign</t>
  </si>
  <si>
    <t xml:space="preserve">Uncertain_significance</t>
  </si>
  <si>
    <t xml:space="preserve">2.18697220904741e-17</t>
  </si>
  <si>
    <t xml:space="preserve">phosphoenolpyruvate carboxykinase 2, mitochondrial</t>
  </si>
  <si>
    <t xml:space="preserve">FUNCTION: Catalyzes the conversion of oxaloacetate (OAA) to phosphoenolpyruvate (PEP), the rate-limiting step in the metabolic pathway that produces glucose from lactate and other precursors derived from the citric acid cycle. {ECO:0000250}.; </t>
  </si>
  <si>
    <t xml:space="preserve">DISEASE: Mitochondrial phosphoenolpyruvate carboxykinase deficiency (M-PEPCKD) [MIM:261650]: Metabolic disorder resulting from impaired gluconeogenesis. It is a rare disease with less than 10 cases reported in the literature. Clinical characteristics include hypotonia, hepatomegaly, failure to thrive, lactic acidosis and hypoglycemia. Autopsy reveals fatty infiltration of both the liver and kidneys. The disorder is transmitted as an autosomal recessive trait. Note=The disease is caused by mutations affecting the gene represented in this entry.; </t>
  </si>
  <si>
    <t xml:space="preserve">chr11</t>
  </si>
  <si>
    <t xml:space="preserve">1544.64</t>
  </si>
  <si>
    <t xml:space="preserve">130</t>
  </si>
  <si>
    <t xml:space="preserve">64,66</t>
  </si>
  <si>
    <t xml:space="preserve">CM114224</t>
  </si>
  <si>
    <t xml:space="preserve">MYO7A:NM_000260:exon27:c.G3476T:p.G1159V,MYO7A:NM_001127180:exon27:c.G3476T:p.G1159V,MYO7A:NM_001369365:exon28:c.G3443T:p.G1148V;MYO7A:uc009yut.1:exon7:c.G1109T:p.G370V,MYO7A:uc001oyd.3:exon11:c.G1496T:p.G499V,MYO7A:uc001oyb.2:exon27:c.G3476T:p.G1159V,MYO7A:uc001oyc.2:exon27:c.G3476T:p.G1159V,MYO7A:uc010rsl.2:exon27:c.G3476T:p.G1159V,MYO7A:uc010rsm.1:exon28:c.G3443T:p.G1148V;ENSG00000137474:ENST00000458169:exon7:c.G1019T:p.G340V,ENSG00000137474:ENST00000409709:exon27:c.G3476T:p.G1159V,ENSG00000137474:ENST00000409893:exon27:c.G3476T:p.G1159V,ENSG00000137474:ENST00000458637:exon27:c.G3476T:p.G1159V,ENSG00000137474:ENST00000409619:exon28:c.G3443T:p.G1148V</t>
  </si>
  <si>
    <t xml:space="preserve">10/11</t>
  </si>
  <si>
    <t xml:space="preserve">Likely pathogenic</t>
  </si>
  <si>
    <t xml:space="preserve">Pathogenic/Likely_pathogenic</t>
  </si>
  <si>
    <t xml:space="preserve">5.37673856270135e-25</t>
  </si>
  <si>
    <t xml:space="preserve">myosin VIIA</t>
  </si>
  <si>
    <t xml:space="preserve">FUNCTION: Myosins are actin-based motor molecules with ATPase activity. Unconventional myosins serve in intracellular movements. Their highly divergent tails bind to membranous compartments, which are then moved relative to actin filaments. In the retina, plays an important role in the renewal of the outer photoreceptor disks. Plays an important role in the distribution and migration of retinal pigment epithelial (RPE) melanosomes and phagosomes, and in the regulation of opsin transport in retinal photoreceptors. In the inner ear, plays an important role in differentiation, morphogenesis and organization of cochlear hair cell bundles. Involved in hair-cell vesicle trafficking of aminoglycosides, which are known to induce ototoxicity (By similarity). Motor protein that is a part of the functional network formed by USH1C, USH1G, CDH23 and MYO7A that mediates mechanotransduction in cochlear hair cells. Required for normal hearing. {ECO:0000250, ECO:0000269|PubMed:19643958, ECO:0000269|PubMed:21493626, ECO:0000269|PubMed:21687988, ECO:0000269|PubMed:21709241}.; </t>
  </si>
  <si>
    <t xml:space="preserve">DISEASE: Usher syndrome 1B (USH1B) [MIM:276900]: USH is a genetically heterogeneous condition characterized by the association of retinitis pigmentosa with sensorineural deafness. Age at onset and differences in auditory and vestibular function distinguish Usher syndrome type 1 (USH1), Usher syndrome type 2 (USH2) and Usher syndrome type 3 (USH3). USH1 is characterized by profound congenital sensorineural deafness, absent vestibular function and prepubertal onset of progressive retinitis pigmentosa leading to blindness. {ECO:0000269|PubMed:10094549, ECO:0000269|PubMed:10364543, ECO:0000269|PubMed:10447383, ECO:0000269|PubMed:10930322, ECO:0000269|PubMed:12112664, ECO:0000269|PubMed:15660226, ECO:0000269|PubMed:16679490, ECO:0000269|PubMed:23559863, ECO:0000269|PubMed:24831256, ECO:0000269|PubMed:25798947, ECO:0000269|PubMed:7870171, ECO:0000269|PubMed:8900236, ECO:0000269|PubMed:9002678, ECO:0000269|PubMed:9382091, ECO:0000269|PubMed:9718356}. Note=The disease is caused by mutations affecting the gene represented in this entry.; DISEASE: Deafness, autosomal recessive, 2 (DFNB2) [MIM:600060]: A form of non-syndromic sensorineural hearing loss. Sensorineural deafness results from damage to the neural receptors of the inner ear, the nerve pathways to the brain, or the area of the brain that receives sound information. {ECO:0000269|PubMed:9171832, ECO:0000269|PubMed:9171833}. Note=The disease is caused by mutations affecting the gene represented in this entry.; DISEASE: Deafness, autosomal dominant, 11 (DFNA11) [MIM:601317]: A form of non-syndromic sensorineural hearing loss. Sensorineural deafness results from damage to the neural receptors of the inner ear, the nerve pathways to the brain, or the area of the brain that receives sound information. DFNA11 is characterized by onset after complete speech acquisition and subsequent gradual progression. {ECO:0000269|PubMed:15121790, ECO:0000269|PubMed:15221449, ECO:0000269|PubMed:15300860, ECO:0000269|PubMed:9354784}. Note=The disease is caused by mutations affecting the gene represented in this entry.; DISEASE: Note=Defects in MYO7A may be a cause of Leber congenital amaurosis (LCA), a severe dystrophy of the retina, typically becoming evident in the first years of life. Visual function is usually poor and often accompanied by nystagmus, sluggish or near- absent pupillary responses, photophobia, high hyperopia and keratoconus.; </t>
  </si>
  <si>
    <t xml:space="preserve">chr12</t>
  </si>
  <si>
    <t xml:space="preserve">79.64</t>
  </si>
  <si>
    <t xml:space="preserve">13</t>
  </si>
  <si>
    <t xml:space="preserve">9,4</t>
  </si>
  <si>
    <t xml:space="preserve">CM111854</t>
  </si>
  <si>
    <t xml:space="preserve">CEP290:NM_025114:exon10:c.G829C:p.E277Q;CEP290:uc001tat.3:exon1:c.G115C:p.E39Q,CEP290:uc001tar.3:exon10:c.G829C:p.E277Q;ENSG00000198707:ENST00000547926:exon8:c.G727C:p.E243Q,ENSG00000198707:ENST00000309041:exon10:c.G829C:p.E277Q,ENSG00000198707:ENST00000552810:exon10:c.G829C:p.E277Q</t>
  </si>
  <si>
    <t xml:space="preserve">Benign</t>
  </si>
  <si>
    <t xml:space="preserve">1.03912081117924e-34</t>
  </si>
  <si>
    <t xml:space="preserve">centrosomal protein 290kDa</t>
  </si>
  <si>
    <t xml:space="preserve">FUNCTION: Part of the tectonic-like complex which is required for tissue-specific ciliogenesis and may regulate ciliary membrane composition (By similarity). Activates ATF4-mediated transcription. Required for the correct localization of ciliary and phototransduction proteins in retinal photoreceptor cells; may play a role in ciliary transport processes. {ECO:0000250|UniProtKB:Q6A078, ECO:0000269|PubMed:16682973}.; </t>
  </si>
  <si>
    <t xml:space="preserve">DISEASE: Joubert syndrome 5 (JBTS5) [MIM:610188]: A disorder presenting with cerebellar ataxia, oculomotor apraxia, hypotonia, neonatal breathing abnormalities and psychomotor delay. Neuroradiologically, it is characterized by cerebellar vermian hypoplasia/aplasia, thickened and reoriented superior cerebellar peduncles, and an abnormally large interpeduncular fossa, giving the appearance of a molar tooth on transaxial slices (molar tooth sign). Additional variable features include retinal dystrophy and renal disease. Joubert syndrome type 5 shares the neurologic and neuroradiologic features of Joubert syndrome together with severe retinal dystrophy and/or progressive renal failure characterized by nephronophthisis. {ECO:0000269|PubMed:16682970, ECO:0000269|PubMed:16682973, ECO:0000269|PubMed:22425360}. Note=The disease is caused by mutations affecting the gene represented in this entry.; DISEASE: Senior-Loken syndrome 6 (SLSN6) [MIM:610189]: A renal- retinal disorder characterized by progressive wasting of the filtering unit of the kidney (nephronophthisis), with or without medullary cystic renal disease, and progressive eye disease. Typically this disorder becomes apparent during the first year of life. {ECO:0000269|PubMed:20683928}. Note=The disease is caused by mutations affecting the gene represented in this entry.; DISEASE: Leber congenital amaurosis 10 (LCA10) [MIM:611755]: A severe dystrophy of the retina, typically becoming evident in the first years of life. Visual function is usually poor and often accompanied by nystagmus, sluggish or near-absent pupillary responses, photophobia, high hyperopia and keratoconus. {ECO:0000269|PubMed:16909394}. Note=The disease is caused by mutations affecting the gene represented in this entry.; DISEASE: Meckel syndrome 4 (MKS4) [MIM:611134]: A disorder characterized by a combination of renal cysts and variably associated features including developmental anomalies of the central nervous system (typically encephalocele), hepatic ductal dysplasia and cysts, and polydactyly. {ECO:0000269|PubMed:17564974}. Note=The disease is caused by mutations affecting the gene represented in this entry.; DISEASE: Note=Antibodies against CEP290 are present in sera from patients with cutaneous T-cell lymphomas, but not in the healthy control population. {ECO:0000269|PubMed:11149944}.; DISEASE: Bardet-Biedl syndrome 14 (BBS14) [MIM:615991]: A syndrome characterized by usually severe pigmentary retinopathy, early- onset obesity, polydactyly, hypogenitalism, renal malformation and mental retardation. Secondary features include diabetes mellitus, hypertension and congenital heart disease. Bardet-Biedl syndrome inheritance is autosomal recessive, but three mutated alleles (two at one locus, and a third at a second locus) may be required for clinical manifestation of some forms of the disease. {ECO:0000269|PubMed:18327255}. Note=The disease is caused by mutations affecting the gene represented in this entry.; </t>
  </si>
  <si>
    <t xml:space="preserve">2242.64</t>
  </si>
  <si>
    <t xml:space="preserve">190</t>
  </si>
  <si>
    <t xml:space="preserve">101,89</t>
  </si>
  <si>
    <t xml:space="preserve">CM099098</t>
  </si>
  <si>
    <t xml:space="preserve">UGT1A4:NM_007120:exon1:c.G150C:p.E50D;UGT1A4:uc002vux.3:exon1:c.G150C:p.E50D,UGT1A4:uc010zna.1:exon1:c.G150C:p.E50D;ENSG00000244474:ENST00000373409:exon1:c.G150C:p.E50D,ENSG00000244474:ENST00000450233:exon1:c.G150C:p.E50D</t>
  </si>
  <si>
    <t xml:space="preserve">3/10</t>
  </si>
  <si>
    <t xml:space="preserve">0/7</t>
  </si>
  <si>
    <t xml:space="preserve">2.34298507765321e-06</t>
  </si>
  <si>
    <t xml:space="preserve">UDP glucuronosyltransferase family 1 member A4</t>
  </si>
  <si>
    <t xml:space="preserve">FUNCTION: UDPGT is of major importance in the conjugation and subsequent elimination of potentially toxic xenobiotics and endogenous compounds. This isoform glucuronidates bilirubin IX- alpha to form both the IX-alpha-C8 and IX-alpha-C12 monoconjugates and diconjugate. Isoform 2 lacks transferase activity but acts as a negative regulator of isoform 1 (By similarity). {ECO:0000250}.; </t>
  </si>
  <si>
    <t xml:space="preserve">DISEASE: Gilbert syndrome (GILBS) [MIM:143500]: Occurs as a consequence of reduced bilirubin transferase activity and is often detected in young adults with vague non-specific complaints. {ECO:0000269|PubMed:17496722}. Note=The disease is caused by mutations affecting the gene represented in this entry.; DISEASE: Crigler-Najjar syndrome 1 (CN1) [MIM:218800]: Patients have severe hyperbilirubinemia and usually die of kernicterus (bilirubin accumulation in the basal ganglia and brainstem nuclei) within the first year of life. CN1 inheritance is autosomal recessive. {ECO:0000269|PubMed:1634050}. Note=The disease is caused by mutations affecting the gene represented in this entry.; DISEASE: Crigler-Najjar syndrome 2 (CN2) [MIM:606785]: Patients have less severe hyperbilirubinemia and usually survive into adulthood without neurologic damage. Phenobarbital, which induces the partially deficient glucuronyl transferase, can diminish the jaundice. CN2 inheritance is autosomal dominant. {ECO:0000269|PubMed:8276413, ECO:0000269|PubMed:8280139}. Note=The disease is caused by mutations affecting the gene represented in this entry.; </t>
  </si>
  <si>
    <t xml:space="preserve">NGS_LowStringency</t>
  </si>
  <si>
    <t xml:space="preserve">chr16</t>
  </si>
  <si>
    <t xml:space="preserve">747.64</t>
  </si>
  <si>
    <t xml:space="preserve">57</t>
  </si>
  <si>
    <t xml:space="preserve">25,32</t>
  </si>
  <si>
    <t xml:space="preserve">CM074428</t>
  </si>
  <si>
    <t xml:space="preserve">PKD1:NM_000296:exon15:c.C6496T:p.R2166C,PKD1:NM_001009944:exon15:c.C6496T:p.R2166C;PKD1:uc002cos.1:exon15:c.C6496T:p.R2166C,PKD1:uc002cot.1:exon15:c.C6496T:p.R2166C;ENSG00000008710:ENST00000487932:exon1:c.C1183T:p.R395C,ENSG00000008710:ENST00000262304:exon15:c.C6496T:p.R2166C,ENSG00000008710:ENST00000423118:exon15:c.C6496T:p.R2166C</t>
  </si>
  <si>
    <t xml:space="preserve">7/10</t>
  </si>
  <si>
    <t xml:space="preserve">0.999905331991465</t>
  </si>
  <si>
    <t xml:space="preserve">polycystin 1, transient receptor potential channel interacting</t>
  </si>
  <si>
    <t xml:space="preserve">FUNCTION: Involved in renal tubulogenesis (PubMed:12482949). Involved in fluid-flow mechanosensation by the primary cilium in renal epithelium (By similarity). Acts as a regulator of cilium length, together with PKD2 (By similarity). The dynamic control of cilium length is essential in the regulation of mechanotransductive signaling (By similarity). The cilium length response creates a negative feedback loop whereby fluid shear- mediated deflection of the primary cilium, which decreases intracellular cAMP, leads to cilium shortening and thus decreases flow-induced signaling (By similarity). May be an ion-channel regulator. Involved in adhesive protein-protein and protein- carbohydrate interactions. {ECO:0000250|UniProtKB:O08852, ECO:0000269|PubMed:12482949}.; </t>
  </si>
  <si>
    <t xml:space="preserve">DISEASE: Polycystic kidney disease 1 (PKD1) [MIM:173900]: A disorder characterized by renal cysts, liver cysts and intracranial aneurysm. Clinical variability is due to differences in the rate of loss of glomerular filtration, the age of reaching end-stage renal disease and the occurrence of hypertension, symptomatic extrarenal cysts, and subarachnoid hemorrhage from intracranial 'berry' aneurysm. {ECO:0000269|PubMed:10200984, ECO:0000269|PubMed:10364515, ECO:0000269|PubMed:10577909, ECO:0000269|PubMed:10647901, ECO:0000269|PubMed:10729710, ECO:0000269|PubMed:10854095, ECO:0000269|PubMed:10923040, ECO:0000269|PubMed:10987650, ECO:0000269|PubMed:11012875, ECO:0000269|PubMed:11058904, ECO:0000269|PubMed:11115377, ECO:0000269|PubMed:11216660, ECO:0000269|PubMed:11316854, ECO:0000269|PubMed:11558899, ECO:0000269|PubMed:11571556, ECO:0000269|PubMed:11691639, ECO:0000269|PubMed:11773467, ECO:0000269|PubMed:11857740, ECO:0000269|PubMed:11967008, ECO:0000269|PubMed:12007219, ECO:0000269|PubMed:12070253, ECO:0000269|PubMed:12220456, ECO:0000269|PubMed:12842373, ECO:0000269|PubMed:15772804, ECO:0000269|PubMed:18837007, ECO:0000269|PubMed:21115670, ECO:0000269|PubMed:22508176, ECO:0000269|PubMed:8554072, ECO:0000269|PubMed:9199561, ECO:0000269|PubMed:9259200, ECO:0000269|PubMed:9285784, ECO:0000269|PubMed:9521593, ECO:0000269|PubMed:9921908}. Note=The disease is caused by mutations affecting the gene represented in this entry.; </t>
  </si>
  <si>
    <t xml:space="preserve">NGS_HighStringency</t>
  </si>
  <si>
    <t xml:space="preserve">1529.64</t>
  </si>
  <si>
    <t xml:space="preserve">177</t>
  </si>
  <si>
    <t xml:space="preserve">103,74</t>
  </si>
  <si>
    <t xml:space="preserve">CM074386</t>
  </si>
  <si>
    <t xml:space="preserve">NR1H4:NM_001206992:exon3:c.T548C:p.M183T,NR1H4:NM_001206993:exon3:c.T548C:p.M183T,NR1H4:NM_001206979:exon5:c.T518C:p.M173T,NR1H4:NM_005123:exon5:c.T518C:p.M173T,NR1H4:NM_001206977:exon6:c.T518C:p.M173T;NR1H4:uc001ths.2:exon3:c.T548C:p.M183T,NR1H4:uc001tht.2:exon3:c.T548C:p.M183T,NR1H4:uc001thp.2:exon5:c.T518C:p.M173T,NR1H4:uc001thr.2:exon5:c.T518C:p.M173T,NR1H4:uc001thq.2:exon6:c.T518C:p.M173T;ENSG00000012504:ENST00000188403:exon3:c.T548C:p.M183T,ENSG00000012504:ENST00000551379:exon3:c.T548C:p.M183T,ENSG00000012504:ENST00000321046:exon5:c.T518C:p.M173T,ENSG00000012504:ENST00000392986:exon5:c.T518C:p.M173T,ENSG00000012504:ENST00000548884:exon5:c.T518C:p.M173T</t>
  </si>
  <si>
    <t xml:space="preserve">9/11</t>
  </si>
  <si>
    <t xml:space="preserve">Likely_benign</t>
  </si>
  <si>
    <t xml:space="preserve">0.161696750786205</t>
  </si>
  <si>
    <t xml:space="preserve">nuclear receptor subfamily 1 group H member 4</t>
  </si>
  <si>
    <t xml:space="preserve">FUNCTION: Ligand-activated transcription factor. Receptor for bile acids such as chenodeoxycholic acid, lithocholic acid and deoxycholic acid. Represses the transcription of the cholesterol 7-alpha-hydroxylase gene (CYP7A1) through the induction of NR0B2 or FGF19 expression, via two distinct mechanisms. Activates the intestinal bile acid-binding protein (IBABP). Activates the transcription of bile salt export pump ABCB11 by directly recruiting histone methyltransferase CARM1 to this locus. {ECO:0000269|PubMed:10334992, ECO:0000269|PubMed:10334993, ECO:0000269|PubMed:12718892, ECO:0000269|PubMed:12815072, ECO:0000269|PubMed:15471871, ECO:0000269|PubMed:18621523, ECO:0000269|PubMed:19410460, ECO:0000269|PubMed:19586769}.; </t>
  </si>
  <si>
    <t xml:space="preserve">chr19</t>
  </si>
  <si>
    <t xml:space="preserve">705.64</t>
  </si>
  <si>
    <t xml:space="preserve">82</t>
  </si>
  <si>
    <t xml:space="preserve">49,33</t>
  </si>
  <si>
    <t xml:space="preserve">CM067480</t>
  </si>
  <si>
    <t xml:space="preserve">nonsynonymous SNV;startloss</t>
  </si>
  <si>
    <t xml:space="preserve">NXNL1:NM_138454:exon1:c.G282T:p.M94I;NXNL1:uc002ngs.3:exon1:c.G282T:p.M94I;ENSG00000171773:ENST00000301944:exon1:c.G282T:p.M94I,ENSG00000269035:ENST00000594663:exon1:c.G3T:p.M1?</t>
  </si>
  <si>
    <t xml:space="preserve">8/11</t>
  </si>
  <si>
    <t xml:space="preserve">1/7</t>
  </si>
  <si>
    <t xml:space="preserve">0.0616906043285848</t>
  </si>
  <si>
    <t xml:space="preserve">nucleoredoxin-like 1</t>
  </si>
  <si>
    <t xml:space="preserve">FUNCTION: May play a role in cone cell viability, slowing down cone degeneration, does not seem to play a role in degenerating rods. {ECO:0000250}.; </t>
  </si>
  <si>
    <t xml:space="preserve">chr5</t>
  </si>
  <si>
    <t xml:space="preserve">1138.64</t>
  </si>
  <si>
    <t xml:space="preserve">84</t>
  </si>
  <si>
    <t xml:space="preserve">42,42</t>
  </si>
  <si>
    <t xml:space="preserve">CM061152</t>
  </si>
  <si>
    <t xml:space="preserve">NKX2-5:NM_004387:exon2:c.G355T:p.A119S;NKX2-5:uc003mcm.2:exon2:c.G355T:p.A119S;ENSG00000183072:ENST00000329198:exon2:c.G355T:p.A119S</t>
  </si>
  <si>
    <t xml:space="preserve">5/11</t>
  </si>
  <si>
    <t xml:space="preserve">Benign/Likely_benign</t>
  </si>
  <si>
    <t xml:space="preserve">0.858647741285937</t>
  </si>
  <si>
    <t xml:space="preserve">NK2 homeobox 5</t>
  </si>
  <si>
    <t xml:space="preserve">FUNCTION: Implicated in commitment to and/or differentiation of the myocardial lineage. Acts as a transcriptional activator of ANF in cooperation with GATA4 (By similarity). It is transcriptionally controlled by PBX1 and acts as a transcriptional repressor of CDKN2B (By similarity). It is required for spleen development. {ECO:0000250|UniProtKB:P42582, ECO:0000269|PubMed:22560297}.; </t>
  </si>
  <si>
    <t xml:space="preserve">DISEASE: Tetralogy of Fallot (TOF) [MIM:187500]: A congenital heart anomaly which consists of pulmonary stenosis, ventricular septal defect, dextroposition of the aorta (aorta is on the right side instead of the left) and hypertrophy of the right ventricle. In this condition, blood from both ventricles (oxygen-rich and oxygen-poor) is pumped into the body often causing cyanosis. {ECO:0000269|PubMed:10587520, ECO:0000269|PubMed:11714651, ECO:0000269|PubMed:14607454}. Note=The disease is caused by mutations affecting the gene represented in this entry.; DISEASE: Conotruncal heart malformations (CTHM) [MIM:217095]: A group of congenital heart defects involving the outflow tracts. Examples include truncus arteriosus communis, double-outlet right ventricle and transposition of great arteries. Truncus arteriosus communis is characterized by a single outflow tract instead of a separate aorta and pulmonary artery. In transposition of the great arteries, the aorta arises from the right ventricle and the pulmonary artery from the left ventricle. In double outlet of the right ventricle, both the pulmonary artery and aorta arise from the right ventricle. {ECO:0000269|PubMed:14607454, ECO:0000269|PubMed:17891434}. Note=The disease is caused by mutations affecting the gene represented in this entry.; DISEASE: Hypothyroidism, congenital, non-goitrous, 5 (CHNG5) [MIM:225250]: A non-autoimmune condition characterized by resistance to thyroid-stimulating hormone (TSH) leading to increased levels of plasma TSH and low levels of thyroid hormone. CHNG5 presents variable severity depending on the completeness of the defect. Most patients are euthyroid and asymptomatic, with a normal sized thyroid gland. Only a subset of patients develop hypothyroidism and present a hypoplastic thyroid gland. {ECO:0000269|PubMed:16418214}. Note=The disease is caused by mutations affecting the gene represented in this entry.; DISEASE: Ventricular septal defect 3 (VSD3) [MIM:614432]: A common form of congenital cardiovascular anomaly that may occur alone or in combination with other cardiac malformations. It can affect any portion of the ventricular septum, resulting in abnormal communications between the two lower chambers of the heart. Classification is based on location of the communication, such as perimembranous, inlet, outlet (infundibular), central muscular, marginal muscular, or apical muscular defect. Large defects that go unrepaired may give rise to cardiac enlargement, congestive heart failure, pulmonary hypertension, Eisenmenger's syndrome, delayed fetal brain development, arrhythmias, and even sudden cardiac death. {ECO:0000269|PubMed:21110066, ECO:0000269|PubMed:21165553}. Note=The disease is caused by mutations affecting the gene represented in this entry.; DISEASE: Hypoplastic left heart syndrome 2 (HLHS2) [MIM:614435]: A syndrome due to defective development of the aorta proximal to the entrance of the ductus arteriosus, and hypoplasia of the left ventricle and mitral valve. As a result of the abnormal circulation, the ductus arteriosus and foramen ovale are patent and the right atrium, right ventricle, and pulmonary artery are enlarged. {ECO:0000269|PubMed:14607454, ECO:0000269|PubMed:15810002}. Note=The disease is caused by mutations affecting the gene represented in this entry.; </t>
  </si>
  <si>
    <t xml:space="preserve">chr1</t>
  </si>
  <si>
    <t xml:space="preserve">1333.64</t>
  </si>
  <si>
    <t xml:space="preserve">100</t>
  </si>
  <si>
    <t xml:space="preserve">50,50</t>
  </si>
  <si>
    <t xml:space="preserve">CM040469;CM087276</t>
  </si>
  <si>
    <t xml:space="preserve">PCSK9:NM_174936:exon7:c.G1120A:p.D374N;PCSK9:uc001cyf.2:exon7:c.G1120A:p.D374N;ENSG00000169174:ENST00000543384:exon5:c.G520A:p.D174N,ENSG00000169174:ENST00000302118:exon7:c.G1120A:p.D374N</t>
  </si>
  <si>
    <t xml:space="preserve">6/11</t>
  </si>
  <si>
    <t xml:space="preserve">4/7</t>
  </si>
  <si>
    <t xml:space="preserve">1.02507611210468e-10</t>
  </si>
  <si>
    <t xml:space="preserve">proprotein convertase subtilisin/kexin type 9</t>
  </si>
  <si>
    <t xml:space="preserve">FUNCTION: Crucial player in the regulation of plasma cholesterol homeostasis. Binds to low-density lipid receptor family members: low density lipoprotein receptor (LDLR), very low density lipoprotein receptor (VLDLR), apolipoprotein E receptor (LRP1/APOER) and apolipoprotein receptor 2 (LRP8/APOER2), and promotes their degradation in intracellular acidic compartments (PubMed:18039658). Acts via a non-proteolytic mechanism to enhance the degradation of the hepatic LDLR through a clathrin LDLRAP1/ARH-mediated pathway. May prevent the recycling of LDLR from endosomes to the cell surface or direct it to lysosomes for degradation. Can induce ubiquitination of LDLR leading to its subsequent degradation (PubMed:18799458, PubMed:17461796, PubMed:18197702, PubMed:22074827). Inhibits intracellular degradation of APOB via the autophagosome/lysosome pathway in a LDLR-independent manner. Involved in the disposal of non- acetylated intermediates of BACE1 in the early secretory pathway (PubMed:18660751). Inhibits epithelial Na(+) channel (ENaC)- mediated Na(+) absorption by reducing ENaC surface expression primarily by increasing its proteasomal degradation. Regulates neuronal apoptosis via modulation of LRP8/APOER2 levels and related anti-apoptotic signaling pathways. {ECO:0000269|PubMed:17461796, ECO:0000269|PubMed:18039658, ECO:0000269|PubMed:18197702, ECO:0000269|PubMed:18660751, ECO:0000269|PubMed:18799458, ECO:0000269|PubMed:22074827, ECO:0000269|PubMed:22493497, ECO:0000269|PubMed:22580899}.; </t>
  </si>
  <si>
    <t xml:space="preserve">DISEASE: Hypercholesterolemia, autosomal dominant, 3 (HCHOLA3) [MIM:603776]: A familial condition characterized by elevated circulating cholesterol contained in either low-density lipoproteins alone or also in very-low-density lipoproteins. {ECO:0000269|PubMed:12730697, ECO:0000269|PubMed:18799458, ECO:0000269|PubMed:24808179}. Note=The disease is caused by mutations affecting the gene represented in this entry.; </t>
  </si>
  <si>
    <t xml:space="preserve">1714.64</t>
  </si>
  <si>
    <t xml:space="preserve">119</t>
  </si>
  <si>
    <t xml:space="preserve">51,68</t>
  </si>
  <si>
    <t xml:space="preserve">CM020155</t>
  </si>
  <si>
    <t xml:space="preserve">MYBPC3:NM_000256:exon12:c.G977A:p.R326Q;MYBPC3:uc021qis.1:exon12:c.G977A:p.R326Q;ENSG00000134571:ENST00000256993:exon11:c.G977A:p.R326Q,ENSG00000134571:ENST00000399249:exon11:c.G977A:p.R326Q,ENSG00000134571:ENST00000544791:exon12:c.G977A:p.R326Q,ENSG00000134571:ENST00000545968:exon12:c.G977A:p.R326Q</t>
  </si>
  <si>
    <t xml:space="preserve">5/9</t>
  </si>
  <si>
    <t xml:space="preserve">1.35053975034244e-06</t>
  </si>
  <si>
    <t xml:space="preserve">myosin binding protein C, cardiac</t>
  </si>
  <si>
    <t xml:space="preserve">FUNCTION: Thick filament-associated protein located in the crossbridge region of vertebrate striated muscle a bands. In vitro it binds MHC, F-actin and native thin filaments, and modifies the activity of actin-activated myosin ATPase. It may modulate muscle contraction or may play a more structural role.; </t>
  </si>
  <si>
    <t xml:space="preserve">DISEASE: Cardiomyopathy, familial hypertrophic 4 (CMH4) [MIM:115197]: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{ECO:0000269|PubMed:11499718, ECO:0000269|PubMed:11499719, ECO:0000269|PubMed:11815426, ECO:0000269|PubMed:12379228, ECO:0000269|PubMed:12628722, ECO:0000269|PubMed:12707239, ECO:0000269|PubMed:12818575, ECO:0000269|PubMed:12951062, ECO:0000269|PubMed:12974739, ECO:0000269|PubMed:14563344, ECO:0000269|PubMed:15114369, ECO:0000269|PubMed:15519027, ECO:0000269|PubMed:15563892, ECO:0000269|PubMed:16004897, ECO:0000269|PubMed:16199542, ECO:0000269|PubMed:18403758, ECO:0000269|PubMed:18929575, ECO:0000269|PubMed:18957093, ECO:0000269|PubMed:23840593, ECO:0000269|PubMed:7744002, ECO:0000269|PubMed:9048664, ECO:0000269|PubMed:9541104, ECO:0000269|PubMed:9541115, ECO:0000269|PubMed:9562578}. Note=The disease is caused by mutations affecting the gene represented in this entry.; DISEASE: Cardiomyopathy, dilated 1MM (CMD1MM) [MIM:615396]: A disorder characterized by ventricular dilation and impaired systolic function, resulting in congestive heart failure and arrhythmia. Patients are at risk of premature death. {ECO:0000269|PubMed:20215591}. Note=The disease is caused by mutations affecting the gene represented in this entry.; DISEASE: Note=MYBPC3 mutations may be involved in restrictive cardiomyopathy (RCM), a rare non-ischemic myocardial disease. RCM is characterized by restrictive ventricular-filling physiology in the presence of normal or reduced diastolic and/or systolic volumes (of 1 or both ventricles), biatrial enlargement, and normal ventricular wall thickness. {ECO:0000269|PubMed:26163040}.; DISEASE: Left ventricular non-compaction 10 (LVNC10) [MIM:615396]: A disease due to an arrest of myocardial morphogenesis. It is characterized by a hypertrophic left ventricle with deep trabeculations and with poor systolic function, with or without associated left ventricular dilation. In some cases, it is associated with other congenital heart anomalies. {ECO:0000269|PubMed:21551322}. Note=The disease is caused by mutations affecting the gene represented in this entry.; </t>
  </si>
  <si>
    <t xml:space="preserve">chr10</t>
  </si>
  <si>
    <t xml:space="preserve">-</t>
  </si>
  <si>
    <t xml:space="preserve">AAAAA</t>
  </si>
  <si>
    <t xml:space="preserve">395.60</t>
  </si>
  <si>
    <t xml:space="preserve">74</t>
  </si>
  <si>
    <t xml:space="preserve">51,23</t>
  </si>
  <si>
    <t xml:space="preserve">CD127320</t>
  </si>
  <si>
    <t xml:space="preserve">splicing</t>
  </si>
  <si>
    <t xml:space="preserve">NM_001015880:exon3:c.381+2-&gt;AAAAA;NM_004670:exon3:c.381+2-&gt;AAAAA;uc001kew.3:exon3:c.381+2-&gt;AAAAA;uc001kex.3:exon3:c.381+2-&gt;AAAAA;ENST00000361175:exon3:c.381+2-&gt;AAAAA;ENST00000456849:exon3:c.381+2-&gt;AAAAA;ENST00000427144:exon3:c.393+2-&gt;AAAAA</t>
  </si>
  <si>
    <t xml:space="preserve">2.50259228647192e-07</t>
  </si>
  <si>
    <t xml:space="preserve">3'-phosphoadenosine 5'-phosphosulfate synthase 2</t>
  </si>
  <si>
    <t xml:space="preserve">FUNCTION: Bifunctional enzyme with both ATP sulfurylase and APS kinase activity, which mediates two steps in the sulfate activation pathway. The first step is the transfer of a sulfate group to ATP to yield adenosine 5'-phosphosulfate (APS), and the second step is the transfer of a phosphate group from ATP to APS yielding 3'-phosphoadenylylsulfate (PAPS: activated sulfate donor used by sulfotransferase). In mammals, PAPS is the sole source of sulfate; APS appears to be only an intermediate in the sulfate- activation pathway. May have a important role in skeletogenesis during postnatal growth (By similarity). {ECO:0000250}.; </t>
  </si>
  <si>
    <t xml:space="preserve">chr7</t>
  </si>
  <si>
    <t xml:space="preserve">1692.64</t>
  </si>
  <si>
    <t xml:space="preserve">362</t>
  </si>
  <si>
    <t xml:space="preserve">300,62</t>
  </si>
  <si>
    <t xml:space="preserve">stopgain</t>
  </si>
  <si>
    <t xml:space="preserve">KMT2C:NM_170606:exon18:c.C2961G:p.Y987X;KMT2C:uc003wkz.3:exon4:c.C144G:p.Y48X,KMT2C:uc003wla.3:exon18:c.C2961G:p.Y987X;ENSG00000055609:ENST00000262189:exon18:c.C2961G:p.Y987X,ENSG00000055609:ENST00000355193:exon18:c.C2961G:p.Y987X</t>
  </si>
  <si>
    <t xml:space="preserve">3/3</t>
  </si>
  <si>
    <t xml:space="preserve">Pathogenic</t>
  </si>
  <si>
    <t xml:space="preserve">2</t>
  </si>
  <si>
    <t xml:space="preserve">0.999999999999997</t>
  </si>
  <si>
    <t xml:space="preserve">lysine methyltransferase 2C</t>
  </si>
  <si>
    <t xml:space="preserve">FUNCTION: Histone methyltransferase. Methylates 'Lys-4' of histone H3. H3 'Lys-4' methylation represents a specific tag for epigenetic transcriptional activation. Central component of the MLL2/3 complex, a coactivator complex of nuclear receptors, involved in transcriptional coactivation. KMT2C/MLL3 may be a catalytic subunit of this complex. May be involved in leukemogenesis and developmental disorder. {ECO:0000269|PubMed:17500065}.; </t>
  </si>
  <si>
    <t xml:space="preserve">937.64</t>
  </si>
  <si>
    <t xml:space="preserve">56</t>
  </si>
  <si>
    <t xml:space="preserve">21,35</t>
  </si>
  <si>
    <t xml:space="preserve">UTR5;ncRNA_intronic</t>
  </si>
  <si>
    <t xml:space="preserve">NM_001256714:c.-44C&gt;T;NM_001256716:c.-845C&gt;T;NM_178837:c.-44C&gt;T</t>
  </si>
  <si>
    <t xml:space="preserve">B</t>
  </si>
  <si>
    <t xml:space="preserve">off</t>
  </si>
  <si>
    <t xml:space="preserve">1;1</t>
  </si>
  <si>
    <t xml:space="preserve">3.21577634646308e-06</t>
  </si>
  <si>
    <t xml:space="preserve">dynein (axonemal) assembly factor 3</t>
  </si>
  <si>
    <t xml:space="preserve">FUNCTION: Required for the assembly of axonemal inner and outer dynein arms. Involved in preassembly of dyneins into complexes before their transport into cilia. {ECO:0000269|PubMed:22387996}.; </t>
  </si>
  <si>
    <t xml:space="preserve">DISEASE: Ciliary dyskinesia, primary, 2 (CILD2) [MIM:606763]: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{ECO:0000269|PubMed:22387996}. Note=The disease is caused by mutations affecting the gene represented in this entry.; </t>
  </si>
  <si>
    <t xml:space="preserve">chr22</t>
  </si>
  <si>
    <t xml:space="preserve">818.08</t>
  </si>
  <si>
    <t xml:space="preserve">46</t>
  </si>
  <si>
    <t xml:space="preserve">1,16,29</t>
  </si>
  <si>
    <t xml:space="preserve">UTR3;ncRNA_intronic</t>
  </si>
  <si>
    <t xml:space="preserve">NM_001362843:c.*924T&gt;A;NM_001429:c.*924T&gt;A;uc003azl.4:c.*924T&gt;A</t>
  </si>
  <si>
    <t xml:space="preserve">1/2</t>
  </si>
  <si>
    <t xml:space="preserve">0.999999999999484</t>
  </si>
  <si>
    <t xml:space="preserve">E1A binding protein p300</t>
  </si>
  <si>
    <t xml:space="preserve">FUNCTION: Functions as histone acetyltransferase and regulates transcription via chromatin remodeling. Acetylates all four core histones in nucleosomes. Histone acetylation gives an epigenetic tag for transcriptional activation. Mediates cAMP-gene regulation by binding specifically to phosphorylated CREB protein. Mediates acetylation of histone H3 at 'Lys-122' (H3K122ac), a modification that localizes at the surface of the histone octamer and stimulates transcription, possibly by promoting nucleosome instability. Mediates acetylation of histone H3 at 'Lys-27' (H3K27ac). Also functions as acetyltransferase for nonhistone targets. Acetylates 'Lys-131' of ALX1 and acts as its coactivator. Acetylates SIRT2 and is proposed to indirectly increase the transcriptional activity of TP53 through acetylation and subsequent attenuation of SIRT2 deacetylase function. Acetylates HDAC1 leading to its inactivation and modulation of transcription. Acts as a TFAP2A-mediated transcriptional coactivator in presence of CITED2. Plays a role as a coactivator of NEUROD1-dependent transcription of the secretin and p21 genes and controls terminal differentiation of cells in the intestinal epithelium. Promotes cardiac myocyte enlargement. Can also mediate transcriptional repression. Binds to and may be involved in the transforming capacity of the adenovirus E1A protein. In case of HIV-1 infection, it is recruited by the viral protein Tat. Regulates Tat's transactivating activity and may help inducing chromatin remodeling of proviral genes. Acetylates FOXO1 and enhances its transcriptional activity. Acetylates BCL6 wich disrupts its ability to recruit histone deacetylases and hinders its transcriptional repressor activity. Participates in CLOCK or NPAS2-regulated rhythmic gene transcription; exhibits a circadian association with CLOCK or NPAS2, correlating with increase in PER1/2 mRNA and histone H3 acetylation on the PER1/2 promoter. Acetylates MTA1 at 'Lys-626' which is essential for its transcriptional coactivator activity (PubMed:10733570, PubMed:11430825, PubMed:11701890, PubMed:12402037, PubMed:12586840, PubMed:12929931, PubMed:14645221, PubMed:15186775, PubMed:15890677, PubMed:16617102, PubMed:16762839, PubMed:18722353, PubMed:18995842, PubMed:23415232, PubMed:23911289, PubMed:23934153, PubMed:8945521). Acetylates XBP1 isoform 2; acetylation increases protein stability of XBP1 isoform 2 and enhances its transcriptional activity (PubMed:20955178). Acetylates PCNA; acetylation promotes removal of chromatin-bound PCNA and its degradation during nucleotide excision repair (NER) (PubMed:24939902). Acetylates MEF2D. {ECO:0000269|PubMed:10733570, ECO:0000269|PubMed:11430825, ECO:0000269|PubMed:11701890, ECO:0000269|PubMed:12402037, ECO:0000269|PubMed:12586840, ECO:0000269|PubMed:12929931, ECO:0000269|PubMed:14645221, ECO:0000269|PubMed:15186775, ECO:0000269|PubMed:15890677, ECO:0000269|PubMed:16617102, ECO:0000269|PubMed:16762839, ECO:0000269|PubMed:18722353, ECO:0000269|PubMed:18995842, ECO:0000269|PubMed:21030595, ECO:0000269|PubMed:23415232, ECO:0000269|PubMed:23911289, ECO:0000269|PubMed:23934153, ECO:0000269|PubMed:24939902, ECO:0000269|PubMed:8945521, ECO:0000305|PubMed:20955178}.; </t>
  </si>
  <si>
    <t xml:space="preserve">DISEASE: Note=Defects in EP300 may play a role in epithelial cancer.; DISEASE: Note=Chromosomal aberrations involving EP300 may be a cause of acute myeloid leukemias. Translocation t(8;22)(p11;q13) with KAT6A.; DISEASE: Rubinstein-Taybi syndrome 2 (RSTS2) [MIM:613684]: A disorder characterized by craniofacial abnormalities, postnatal growth deficiency, broad thumbs, broad big toes, mental retardation and a propensity for development of malignancies. Some individuals with RSTS2 have less severe mental impairment, more severe microcephaly, and a greater degree of changes in facial bone structure than RSTS1 patients. {ECO:0000269|PubMed:15706485}. Note=The disease is caused by mutations affecting the gene represented in this entry.; </t>
  </si>
  <si>
    <t xml:space="preserve">TT</t>
  </si>
  <si>
    <t xml:space="preserve">416.02</t>
  </si>
  <si>
    <t xml:space="preserve">22</t>
  </si>
  <si>
    <t xml:space="preserve">5,10,7</t>
  </si>
  <si>
    <t xml:space="preserve">UTR3;ncRNA_exonic</t>
  </si>
  <si>
    <t xml:space="preserve">NM_001101426:c.*3282_*3283insAA;NM_001368197:c.*3282_*3283insAA;NM_001101417:c.*3282_*3283insAA;uc010ktx.2:c.*3282_*3283insAA;uc010kty.2:c.*3282_*3283insAA</t>
  </si>
  <si>
    <t xml:space="preserve">2;2</t>
  </si>
  <si>
    <t xml:space="preserve">0.00243660167412645</t>
  </si>
  <si>
    <t xml:space="preserve">isoprenoid synthase domain containing</t>
  </si>
  <si>
    <t xml:space="preserve">FUNCTION: Required for protein O-linked mannosylation. Probably acts as a nucleotidyltransferase involved in synthesis of a nucleotide sugar. Required for dystroglycan O-mannosylation. {ECO:0000269|PubMed:22522420, ECO:0000269|PubMed:22522421}.; </t>
  </si>
  <si>
    <t xml:space="preserve">DISEASE: Muscular dystrophy-dystroglycanopathy limb-girdle C7 (MDDGC7) [MIM:616052]: A form of muscular dystrophy resulting from defective glycosylation of alpha-dystroglycan, and characterized by a limb-girdle phenotype with muscular weakness apparent after ambulation is achieved. MDDGC7 individuals do not show epilepsy, mental retardation, structural eye/brain abnormalities, or white matter changes. {ECO:0000269|PubMed:23390185}. Note=The disease is caused by mutations affecting the gene represented in this entry.; </t>
  </si>
  <si>
    <t xml:space="preserve">1272.64</t>
  </si>
  <si>
    <t xml:space="preserve">94</t>
  </si>
  <si>
    <t xml:space="preserve">39,55</t>
  </si>
  <si>
    <t xml:space="preserve">ABCC6:NM_001171:exon12:c.G1540A:p.V514I,ABCC6:NM_001351800:exon12:c.G1198A:p.V400I;ABCC6:uc002den.4:exon12:c.G1540A:p.V514I,ABCC6:uc010uzz.1:exon12:c.G1576A:p.V526I;ENSG00000091262:ENST00000205557:exon12:c.G1540A:p.V514I,ENSG00000091262:ENST00000456970:exon12:c.G1540A:p.V514I</t>
  </si>
  <si>
    <t xml:space="preserve">1.4545670403957e-06</t>
  </si>
  <si>
    <t xml:space="preserve">ATP binding cassette subfamily C member 6</t>
  </si>
  <si>
    <t xml:space="preserve">FUNCTION: Isoform 1: May participate directly in the active transport of drugs into subcellular organelles or influence drug distribution indirectly. Transports glutathione conjugates as leukotriene-c4 (LTC4) and N-ethylmaleimide S-glutathione (NEM-GS). {ECO:0000269|PubMed:11880368}.; </t>
  </si>
  <si>
    <t xml:space="preserve">DISEASE: Pseudoxanthoma elasticum (PXE) [MIM:264800]: A multisystem disorder characterized by accumulation of mineralized and fragmented elastic fibers in the skin, vascular walls, and Burch membrane in the eye. Clinically, patients exhibit characteristic lesions of the posterior segment of the eye including peau d'orange, angioid streaks, and choroidal neovascularizations, of the skin including soft, ivory colored papules in a reticular pattern that predominantly affect the neck and large flexor surfaces, and of the cardiovascular system with peripheral and coronary arterial occlusive disease as well as gastrointestinal bleedings. {ECO:0000269|PubMed:10811882, ECO:0000269|PubMed:10835642, ECO:0000269|PubMed:10954200, ECO:0000269|PubMed:11427982, ECO:0000269|PubMed:11536079, ECO:0000269|PubMed:11702217, ECO:0000269|PubMed:15086542, ECO:0000269|PubMed:15098239, ECO:0000269|PubMed:15459974, ECO:0000269|PubMed:16086317, ECO:0000269|PubMed:17617515, ECO:0000269|PubMed:19339160, ECO:0000269|PubMed:20034067, ECO:0000269|PubMed:25615550}. Note=The disease is caused by mutations affecting the gene represented in this entry. Homozygous or compound heterozygous ABCC6 mutations have been found in the overwhelming majority of cases. Individuals carrying heterozygous mutations express limited manifestations of the pseudoxanthoma elasticum phenotype.; DISEASE: Arterial calcification of infancy, generalized, 2 (GACI2) [MIM:614473]: A severe autosomal recessive disorder characterized by calcification of the internal elastic lamina of muscular arteries and stenosis due to myointimal proliferation. The disorder is often fatal within the first 6 months of life because of myocardial ischemia resulting in refractory heart failure. {ECO:0000269|PubMed:22209248}. Note=The disease is caused by mutations affecting the gene represented in this entry.; </t>
  </si>
  <si>
    <t xml:space="preserve">chr3</t>
  </si>
  <si>
    <t xml:space="preserve">151.60</t>
  </si>
  <si>
    <t xml:space="preserve">112</t>
  </si>
  <si>
    <t xml:space="preserve">93,19</t>
  </si>
  <si>
    <t xml:space="preserve">frameshift insertion</t>
  </si>
  <si>
    <t xml:space="preserve">USF3:NM_001009899:exon7:c.3047dupA:p.N1016Kfs*9;KIAA2018:uc003eal.3:exon3:c.2879dupA:p.N960Kfs*9,KIAA2018:uc003eam.3:exon7:c.3047dupA:p.N1016Kfs*9;ENSG00000176542:ENST00000478658:exon5:c.3047dupA:p.N1016Kfs*9,ENSG00000176542:ENST00000316407:exon7:c.3047dupA:p.N1016Kfs*9</t>
  </si>
  <si>
    <t xml:space="preserve">not_provided</t>
  </si>
  <si>
    <t xml:space="preserve">upstream transcription factor family member 3</t>
  </si>
  <si>
    <t xml:space="preserve">chr20</t>
  </si>
  <si>
    <t xml:space="preserve">59.64</t>
  </si>
  <si>
    <t xml:space="preserve">15</t>
  </si>
  <si>
    <t xml:space="preserve">12,3</t>
  </si>
  <si>
    <t xml:space="preserve">NM_000361:c.*321G&gt;T;ENST00000377103:c.*321G&gt;T</t>
  </si>
  <si>
    <t xml:space="preserve">thrombomodulin</t>
  </si>
  <si>
    <t xml:space="preserve">FUNCTION: Thrombomodulin is a specific endothelial cell receptor that forms a 1:1 stoichiometric complex with thrombin. This complex is responsible for the conversion of protein C to the activated protein C (protein Ca). Once evolved, protein Ca scissions the activated cofactors of the coagulation mechanism, factor Va and factor VIIIa, and thereby reduces the amount of thrombin generated.; </t>
  </si>
  <si>
    <t xml:space="preserve">DISEASE: Thrombophilia due to thrombomodulin defect (THPH12) [MIM:614486]: A hemostatic disorder characterized by a tendency to thrombosis. {ECO:0000269|PubMed:12139752, ECO:0000269|PubMed:7811989, ECO:0000269|PubMed:9198186}. Note=The disease may be caused by mutations affecting the gene represented in this entry. The role of thrombomodulin in thrombosis is controversial. It is likely that genetic or environmental risk factors in addition to THBD variation are involved in the pathogenesis of venous thrombosis.; DISEASE: Hemolytic uremic syndrome atypical 6 (AHUS6) [MIM:612926]: An atypical form of hemolytic uremic syndrome. It is a complex genetic disease characterized by microangiopathic hemolytic anemia, thrombocytopenia, renal failure and absence of episodes of enterocolitis and diarrhea. In contrast to typical hemolytic uremic syndrome, atypical forms have a poorer prognosis, with higher death rates and frequent progression to end-stage renal disease. {ECO:0000269|PubMed:19625716, ECO:0000269|PubMed:20513133}. Note=Disease susceptibility is associated with variations affecting the gene represented in this entry. Other genes may play a role in modifying the phenotype.; </t>
  </si>
  <si>
    <t xml:space="preserve">144.60</t>
  </si>
  <si>
    <t xml:space="preserve">113</t>
  </si>
  <si>
    <t xml:space="preserve">95,18</t>
  </si>
  <si>
    <t xml:space="preserve">NM_005713:exon4:c.349-2-&gt;T;NM_031361:exon4:c.349-2-&gt;T;NM_001130105:exon5:c.733-2-&gt;T;uc011csu.2:exon4:c.349-2-&gt;T;uc003kds.3:exon4:c.349-2-&gt;T;uc003kdt.3:exon5:c.733-2-&gt;T;uc003kdu.2:exon4:c.349-2-&gt;T;ENST00000380494:exon5:c.733-2-&gt;T;ENST00000405807:exon4:c.349-2-&gt;T;ENST00000261415:exon4:c.349-2-&gt;T</t>
  </si>
  <si>
    <t xml:space="preserve">0.979474243191344</t>
  </si>
  <si>
    <t xml:space="preserve">collagen type IV alpha 3 binding protein</t>
  </si>
  <si>
    <t xml:space="preserve">FUNCTION: Shelters ceramides and diacylglycerol lipids inside its START domain and mediates the intracellular trafficking of ceramides and diacylglycerol lipids in a non-vesicular manner. {ECO:0000269|PubMed:14685229, ECO:0000269|PubMed:17591919, ECO:0000269|PubMed:18184806, ECO:0000269|PubMed:20036255}.; </t>
  </si>
  <si>
    <t xml:space="preserve">DISEASE: Mental retardation, autosomal dominant 34 (MRD34) [MIM:616351]: A form of mental retardation, a disorder characterized by significantly below average general intellectual functioning associated with impairments in adaptive behavior and manifested during the developmental period. {ECO:0000269|PubMed:25533962}. Note=The disease is caused by mutations affecting the gene represented in this entry.; </t>
  </si>
  <si>
    <t xml:space="preserve">chr6</t>
  </si>
  <si>
    <t xml:space="preserve">527.64</t>
  </si>
  <si>
    <t xml:space="preserve">78</t>
  </si>
  <si>
    <t xml:space="preserve">54,24</t>
  </si>
  <si>
    <t xml:space="preserve">intronic;ncRNA_intronic</t>
  </si>
  <si>
    <t xml:space="preserve">3.75068139299055e-27</t>
  </si>
  <si>
    <t xml:space="preserve">microRNA 3163;spectrin repeat containing, nuclear envelope 1</t>
  </si>
  <si>
    <t xml:space="preserve">FUNCTION: Multi-isomeric modular protein which forms a linking network between organelles and the actin cytoskeleton to maintain the subcellular spatial organization. Component of SUN-protein- containing multivariate complexes also called LINC complexes which link the nucleoskeleton and cytoskeleton by providing versatile outer nuclear membrane attachment sites for cytoskeletal filaments. May be involved in the maintenance of nuclear organization and structural integrity. Connects nuclei to the cytoskeleton by interacting with the nuclear envelope and with F- actin in the cytoplasm. May be required for centrosome migration to the apical cell surface during early ciliogenesis. {ECO:0000269|PubMed:11792814, ECO:0000269|PubMed:18396275}.; </t>
  </si>
  <si>
    <t xml:space="preserve">DISEASE: Spinocerebellar ataxia, autosomal recessive, 8 (SCAR8) [MIM:610743]: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SCAR8 is an autosomal recessive form. {ECO:0000269|PubMed:17159980}. Note=The disease is caused by mutations affecting the gene represented in this entry.; DISEASE: Emery-Dreifuss muscular dystrophy 4, autosomal dominant (EDMD4) [MIM:612998]: A form of Emery-Dreifuss muscular dystrophy, a degenerative myopathy characterized by weakness and atrophy of muscle without involvement of the nervous system, early contractures of the elbows, Achilles tendons and spine, and cardiomyopathy associated with cardiac conduction defects. {ECO:0000269|PubMed:17761684}. Note=The disease is caused by mutations affecting the gene represented in this entry.; </t>
  </si>
  <si>
    <t xml:space="preserve">125.64</t>
  </si>
  <si>
    <t xml:space="preserve">5</t>
  </si>
  <si>
    <t xml:space="preserve">1,4</t>
  </si>
  <si>
    <t xml:space="preserve">UTR5;ncRNA_exonic</t>
  </si>
  <si>
    <t xml:space="preserve">NM_001316772:c.-339T&gt;C</t>
  </si>
  <si>
    <t xml:space="preserve">1;1;1</t>
  </si>
  <si>
    <t xml:space="preserve">0.788927209872354</t>
  </si>
  <si>
    <t xml:space="preserve">glycyl-tRNA synthetase</t>
  </si>
  <si>
    <t xml:space="preserve">FUNCTION: Catalyzes the attachment of glycine to tRNA(Gly). Is also able produce diadenosine tetraphosphate (Ap4A), a universal pleiotropic signaling molecule needed for cell regulation pathways, by direct condensation of 2 ATPs. {ECO:0000269|PubMed:17544401, ECO:0000269|PubMed:19710017}.; </t>
  </si>
  <si>
    <t xml:space="preserve">DISEASE: Neuronopathy, distal hereditary motor, 5A (HMN5A) [MIM:600794]: A disorder characterized by distal muscular atrophy mainly affecting the upper extremities, in contrast to other distal motor neuronopathies. These constitute a heterogeneous group of neuromuscular diseases caused by selective degeneration of motor neurons in the anterior horn of the spinal cord, without sensory deficit in the posterior horn. The overall clinical picture consists of a classical distal muscular atrophy syndrome in the legs without clinical sensory loss. The disease starts with weakness and wasting of distal muscles of the anterior tibial and peroneal compartments of the legs. Later on, weakness and atrophy may expand to the proximal muscles of the lower limbs and/or to the distal upper limbs. {ECO:0000269|PubMed:12690580, ECO:0000269|PubMed:24627108}. Note=The disease is caused by mutations affecting the gene represented in this entry.; </t>
  </si>
  <si>
    <t xml:space="preserve">49</t>
  </si>
  <si>
    <t xml:space="preserve">22,27</t>
  </si>
  <si>
    <t xml:space="preserve">intronic;ncRNA_exonic</t>
  </si>
  <si>
    <t xml:space="preserve">0.999503524836351</t>
  </si>
  <si>
    <t xml:space="preserve">filamin C</t>
  </si>
  <si>
    <t xml:space="preserve">FUNCTION: Muscle-specific filamin, which plays a central role in muscle cells, probably by functioning as a large actin-cross- linking protein. May be involved in reorganizing the actin cytoskeleton in response to signaling events, and may also display structural functions at the Z lines in muscle cells. Critical for normal myogenesis and for maintaining the structural integrity of the muscle fibers.; </t>
  </si>
  <si>
    <t xml:space="preserve">DISEASE: Myopathy, myofibrillar, 5 (MFM5) [MIM:609524]: A neuromuscular disorder, usually with an adult onset, characterized by focal myofibrillar destruction, pathological cytoplasmic protein aggregations, and clinical features of a limb-girdle myopathy. {ECO:0000269|PubMed:15929027}. Note=The disease is caused by mutations affecting the gene represented in this entry.; DISEASE: Myopathy, distal, 4 (MPD4) [MIM:614065]: A slowly progressive muscular disorder characterized by distal muscle weakness and atrophy affecting the upper and lower limbs. Onset occurs around the third to fourth decades of life, and patients remain ambulatory even after long disease duration. Muscle biopsy shows non-specific changes with no evidence of rods, necrosis, or inflammation. {ECO:0000269|PubMed:21620354}. Note=The disease is caused by mutations affecting the gene represented in this entry.; </t>
  </si>
  <si>
    <t xml:space="preserve">1443.64</t>
  </si>
  <si>
    <t xml:space="preserve">116</t>
  </si>
  <si>
    <t xml:space="preserve">59,57</t>
  </si>
  <si>
    <t xml:space="preserve">PZP:NM_002864:exon17:c.C2038T:p.R680X;PZP:uc009zgm.1:exon3:c.C34T:p.R12X,PZP:uc009zgl.3:exon16:c.C1645T:p.R549X,PZP:uc001qvl.3:exon17:c.C2038T:p.R680X;ENSG00000126838:ENST00000381997:exon14:c.C1645T:p.R549X,ENSG00000126838:ENST00000261336:exon17:c.C2038T:p.R680X</t>
  </si>
  <si>
    <t xml:space="preserve">1.35183771709263e-21</t>
  </si>
  <si>
    <t xml:space="preserve">pregnancy-zone protein</t>
  </si>
  <si>
    <t xml:space="preserve">FUNCTION: Is able to inhibit all four classes of proteinases by a unique 'trapping' mechanism. This protein has a peptide stretch, called the 'bait region' which contains specific cleavage sites for different proteinases. When a proteinase cleaves the bait region, a conformational change is induced in the protein which traps the proteinase. The entrapped enzyme remains active against low molecular weight substrates (activity against high molecular weight substrates is greatly reduced). Following cleavage in the bait region a thioester bond is hydrolyzed and mediates the covalent binding of the protein to the proteinase.; </t>
  </si>
  <si>
    <t xml:space="preserve">GACAGGTGAGCCCTTCCTTCCTCCCTCCATCCGC</t>
  </si>
  <si>
    <t xml:space="preserve">78.60</t>
  </si>
  <si>
    <t xml:space="preserve">10</t>
  </si>
  <si>
    <t xml:space="preserve">3,7</t>
  </si>
  <si>
    <t xml:space="preserve">FAM20C:NM_020223:exon4:c.951_952insGACAGGTGAGCCCTTCCTTCCTCCCTCCATCCGC:p.I320*;FAM20C:uc003sip.3:exon4:c.951_952insGACAGGTGAGCCCTTCCTTCCTCCCTCCATCCGC:p.I320*;ENSG00000177706:ENST00000313766:exon4:c.951_952insGACAGGTGAGCCCTTCCTTCCTCCCTCCATCCGC:p.I320*</t>
  </si>
  <si>
    <t xml:space="preserve">0.587993382102887</t>
  </si>
  <si>
    <t xml:space="preserve">family with sequence similarity 20 member C</t>
  </si>
  <si>
    <t xml:space="preserve">FUNCTION: Golgi serine/threonine protein kinase that phosphorylates secretory pathway proteins within Ser-x-Glu/pSer motifs and plays a key role in biomineralization of bones and teeth (PubMed:22582013, PubMed:23754375, PubMed:25789606). Constitutes the main protein kinase for extracellular proteins, generating the majority of the extracellular phosphoproteome (PubMed:26091039). Mainly phosphorylates proteins within the Ser- x-Glu/pSer motif, but also displays a broader substrate specificity (PubMed:26091039). Phosphorylates casein as well as a number of proteins involved in biomineralization such as AMELX, AMTN, ENAM and SPP1 (PubMed:22582013, PubMed:25789606). In addition to its role in biomineralization, also plays a role in lipid homeostasis, wound healing and cell migration and adhesion (PubMed:26091039). {ECO:0000269|PubMed:22582013, ECO:0000269|PubMed:23754375, ECO:0000269|PubMed:25789606, ECO:0000269|PubMed:26091039}.; </t>
  </si>
  <si>
    <t xml:space="preserve">DISEASE: Raine syndrome (RNS) [MIM:259775]: Autosomal recessive osteosclerotic bone dysplasia with neonatal lethal outcome. Clinical features include generalized osteosclerosis, craniofacial dysplasia and microcephaly. {ECO:0000269|PubMed:17924334, ECO:0000269|PubMed:22582013, ECO:0000269|PubMed:25789606}. Note=The disease is caused by mutations affecting the gene represented in this entry.; </t>
  </si>
  <si>
    <t xml:space="preserve">332.64</t>
  </si>
  <si>
    <t xml:space="preserve">152</t>
  </si>
  <si>
    <t xml:space="preserve">121,31</t>
  </si>
  <si>
    <t xml:space="preserve">PRAMEF2:NM_023014:exon3:c.G510A:p.W170X;PRAMEF2:uc001aum.1:exon3:c.G510A:p.W170X;ENSG00000120952:ENST00000240189:exon3:c.G510A:p.W170X</t>
  </si>
  <si>
    <t xml:space="preserve">1/3</t>
  </si>
  <si>
    <t xml:space="preserve">0.000567609686510291</t>
  </si>
  <si>
    <t xml:space="preserve">PRAME family member 2</t>
  </si>
  <si>
    <t xml:space="preserve">772.64</t>
  </si>
  <si>
    <t xml:space="preserve">58</t>
  </si>
  <si>
    <t xml:space="preserve">26,32</t>
  </si>
  <si>
    <t xml:space="preserve">TSACC:NM_001304817:exon3:c.C161T:p.S54L,TSACC:NM_001304818:exon3:c.C161T:p.S54L,TSACC:NM_001304819:exon3:c.C161T:p.S54L,TSACC:NM_001304820:exon3:c.C161T:p.S54L,TSACC:NM_001304821:exon3:c.C161T:p.S54L,TSACC:NM_001304822:exon3:c.C161T:p.S54L,TSACC:NM_001304823:exon3:c.C161T:p.S54L,TSACC:NM_001304824:exon3:c.C161T:p.S54L,TSACC:NM_001304825:exon3:c.C161T:p.S54L,TSACC:NM_001304826:exon3:c.C215T:p.S72L,TSACC:NM_144627:exon3:c.C161T:p.S54L;TSACC:uc001foo.3:exon3:c.C161T:p.S54L,TSACC:uc001fop.4:exon3:c.C161T:p.S54L,TSACC:uc009wry.3:exon3:c.C161T:p.S54L;ENSG00000163467:ENST00000368251:exon3:c.C161T:p.S54L,ENSG00000163467:ENST00000368252:exon3:c.C161T:p.S54L,ENSG00000163467:ENST00000368253:exon3:c.C161T:p.S54L,ENSG00000163467:ENST00000368254:exon3:c.C161T:p.S54L,ENSG00000163467:ENST00000368255:exon3:c.C161T:p.S54L,ENSG00000163467:ENST00000466306:exon3:c.C161T:p.S54L,ENSG00000163467:ENST00000470342:exon3:c.C161T:p.S54L,ENSG00000163467:ENST00000481479:exon3:c.C161T:p.S54L</t>
  </si>
  <si>
    <t xml:space="preserve">4/10</t>
  </si>
  <si>
    <t xml:space="preserve">D</t>
  </si>
  <si>
    <t xml:space="preserve">0.0697917263737303</t>
  </si>
  <si>
    <t xml:space="preserve">TSSK6 activating co-chaperone</t>
  </si>
  <si>
    <t xml:space="preserve">FUNCTION: Co-chaperone that facilitates HSP-mediated activation of TSSK6. {ECO:0000269|PubMed:20829357}.; </t>
  </si>
  <si>
    <t xml:space="preserve">1772.64</t>
  </si>
  <si>
    <t xml:space="preserve">144</t>
  </si>
  <si>
    <t xml:space="preserve">61,83</t>
  </si>
  <si>
    <t xml:space="preserve">synonymous SNV</t>
  </si>
  <si>
    <t xml:space="preserve">TAF5L:NM_001025247:exon2:c.A141C:p.T47T,TAF5L:NM_014409:exon2:c.A141C:p.T47T;TAF5L:uc001htq.3:exon2:c.A141C:p.T47T,TAF5L:uc001htr.3:exon2:c.A141C:p.T47T;ENSG00000135801:ENST00000366676:exon1:c.A141C:p.T47T,ENSG00000135801:ENST00000258281:exon2:c.A141C:p.T47T,ENSG00000135801:ENST00000366674:exon2:c.A141C:p.T47T,ENSG00000135801:ENST00000366675:exon2:c.A141C:p.T47T</t>
  </si>
  <si>
    <t xml:space="preserve">0.985849776766725</t>
  </si>
  <si>
    <t xml:space="preserve">TATA-box binding protein associated factor 5 like</t>
  </si>
  <si>
    <t xml:space="preserve">FUNCTION: Functions as a component of the PCAF complex. The PCAF complex is capable of efficiently acetylating histones in a nucleosomal context. The PCAF complex could be considered as the human version of the yeast SAGA complex.; </t>
  </si>
  <si>
    <t xml:space="preserve">1136.64</t>
  </si>
  <si>
    <t xml:space="preserve">90</t>
  </si>
  <si>
    <t xml:space="preserve">42,48</t>
  </si>
  <si>
    <t xml:space="preserve">MSS51:NM_001024593:exon3:c.C265T:p.R89X;MSS51:uc001juc.3:exon3:c.C265T:p.R89X,MSS51:uc001jud.3:exon3:c.C265T:p.R89X,MSS51:uc009xrh.3:exon4:c.C334T:p.R112X;ENSG00000166343:ENST00000372912:exon2:c.C265T:p.R89X,ENSG00000166343:ENST00000299432:exon3:c.C265T:p.R89X,ENSG00000166343:ENST00000487126:exon3:c.C265T:p.R89X</t>
  </si>
  <si>
    <t xml:space="preserve">2/3</t>
  </si>
  <si>
    <t xml:space="preserve">4.16498200099113e-05</t>
  </si>
  <si>
    <t xml:space="preserve">MSS51 mitochondrial translational activator</t>
  </si>
  <si>
    <t xml:space="preserve">1012.64</t>
  </si>
  <si>
    <t xml:space="preserve">456</t>
  </si>
  <si>
    <t xml:space="preserve">397,59</t>
  </si>
  <si>
    <t xml:space="preserve">CTBP2:NM_001363508:exon5:c.G856T:p.E286X,CTBP2:NM_022802:exon5:c.G2272T:p.E758X,CTBP2:NM_001321013:exon6:c.G652T:p.E218X,CTBP2:NM_001083914:exon7:c.G652T:p.E218X,CTBP2:NM_001290214:exon7:c.G652T:p.E218X,CTBP2:NM_001290215:exon7:c.G652T:p.E218X,CTBP2:NM_001321012:exon7:c.G652T:p.E218X,CTBP2:NM_001321014:exon7:c.G652T:p.E218X,CTBP2:NM_001329:exon7:c.G652T:p.E218X;CTBP2:uc001lid.4:exon5:c.G856T:p.E286X,CTBP2:uc001lie.4:exon5:c.G2272T:p.E758X,CTBP2:uc001lif.4:exon7:c.G652T:p.E218X,CTBP2:uc001lih.4:exon7:c.G652T:p.E218X,CTBP2:uc009yak.3:exon7:c.G652T:p.E218X,CTBP2:uc009yal.3:exon7:c.G652T:p.E218X;ENSG00000175029:ENST00000309035:exon5:c.G2272T:p.E758X,ENSG00000175029:ENST00000334808:exon5:c.G856T:p.E286X,ENSG00000175029:ENST00000337195:exon7:c.G652T:p.E218X,ENSG00000175029:ENST00000411419:exon7:c.G652T:p.E218X,ENSG00000175029:ENST00000494626:exon7:c.G652T:p.E218X,ENSG00000175029:ENST00000531469:exon7:c.G652T:p.E218X</t>
  </si>
  <si>
    <t xml:space="preserve">5/7</t>
  </si>
  <si>
    <t xml:space="preserve">0.655184958473335</t>
  </si>
  <si>
    <t xml:space="preserve">C-terminal binding protein 2</t>
  </si>
  <si>
    <t xml:space="preserve">FUNCTION: Corepressor targeting diverse transcription regulators. Functions in brown adipose tissue (BAT) differentiation (By similarity). {ECO:0000250}.; </t>
  </si>
  <si>
    <t xml:space="preserve">7417.64</t>
  </si>
  <si>
    <t xml:space="preserve">272</t>
  </si>
  <si>
    <t xml:space="preserve">85,187</t>
  </si>
  <si>
    <t xml:space="preserve">CTBP2:NM_001321013:exon2:c.A22T:p.K8X,CTBP2:NM_001083914:exon3:c.A22T:p.K8X,CTBP2:NM_001290214:exon3:c.A22T:p.K8X,CTBP2:NM_001290215:exon3:c.A22T:p.K8X,CTBP2:NM_001321012:exon3:c.A22T:p.K8X,CTBP2:NM_001321014:exon3:c.A22T:p.K8X,CTBP2:NM_001329:exon3:c.A22T:p.K8X;CTBP2:uc001lif.4:exon3:c.A22T:p.K8X,CTBP2:uc001lih.4:exon3:c.A22T:p.K8X,CTBP2:uc009yak.3:exon3:c.A22T:p.K8X,CTBP2:uc009yal.3:exon3:c.A22T:p.K8X;ENSG00000175029:ENST00000337195:exon3:c.A22T:p.K8X,ENSG00000175029:ENST00000411419:exon3:c.A22T:p.K8X,ENSG00000175029:ENST00000494626:exon3:c.A22T:p.K8X,ENSG00000175029:ENST00000531469:exon3:c.A22T:p.K8X</t>
  </si>
  <si>
    <t xml:space="preserve">2/2</t>
  </si>
  <si>
    <t xml:space="preserve">806.64</t>
  </si>
  <si>
    <t xml:space="preserve">148</t>
  </si>
  <si>
    <t xml:space="preserve">120,28</t>
  </si>
  <si>
    <t xml:space="preserve">exonic;intergenic</t>
  </si>
  <si>
    <t xml:space="preserve">ANKRD36C:NM_001310154:exon85:c.C6115T:p.Q2039X;dist=26859;dist=2168;ENSG00000174501:ENST00000420871:exon55:c.C2770T:p.Q924X,ENSG00000174501:ENST00000419039:exon56:c.C2098T:p.Q700X,ENSG00000174501:ENST00000456556:exon64:c.C5017T:p.Q1673X</t>
  </si>
  <si>
    <t xml:space="preserve">7</t>
  </si>
  <si>
    <t xml:space="preserve">ankyrin repeat domain 36C</t>
  </si>
  <si>
    <t xml:space="preserve">319.64</t>
  </si>
  <si>
    <t xml:space="preserve">864</t>
  </si>
  <si>
    <t xml:space="preserve">759,105</t>
  </si>
  <si>
    <t xml:space="preserve">downstream;exonic</t>
  </si>
  <si>
    <t xml:space="preserve">ANKRD36C:NM_001310154:exon84:c.C5770T:p.Q1924X;dist=419;ENSG00000174501:ENST00000420871:exon54:c.C2425T:p.Q809X,ENSG00000174501:ENST00000419039:exon55:c.C1753T:p.Q585X,ENSG00000174501:ENST00000456556:exon63:c.C4672T:p.Q1558X</t>
  </si>
  <si>
    <t xml:space="preserve">608.64</t>
  </si>
  <si>
    <t xml:space="preserve">30,26</t>
  </si>
  <si>
    <t xml:space="preserve">CLASP1:NM_001142274:exon32:c.T3293C:p.M1098T,CLASP1:NM_001207051:exon32:c.T3311C:p.M1104T,CLASP1:NM_001142273:exon33:c.T3317C:p.M1106T,CLASP1:NM_015282:exon33:c.T3494C:p.M1165T;CLASP1:uc002tmy.3:exon1:c.T2C:p.M1?,CLASP1:uc002tnf.3:exon3:c.T200C:p.M67T,CLASP1:uc002tmz.3:exon15:c.T749C:p.M250T,CLASP1:uc002tna.3:exon18:c.T632C:p.M211T,CLASP1:uc010yza.2:exon32:c.T3290C:p.M1097T,CLASP1:uc021vnl.1:exon32:c.T3308C:p.M1103T,CLASP1:uc002tnc.3:exon33:c.T3491C:p.M1164T,CLASP1:uc010yyz.2:exon33:c.T3314C:p.M1105T;ENSG00000074054:ENST00000541859:exon26:c.T2645C:p.M882T,ENSG00000074054:ENST00000545861:exon26:c.T2615C:p.M872T,ENSG00000074054:ENST00000397587:exon33:c.T3314C:p.M1105T,ENSG00000074054:ENST00000409078:exon33:c.T3293C:p.M1098T,ENSG00000074054:ENST00000541377:exon33:c.T3311C:p.M1104T,ENSG00000074054:ENST00000263710:exon34:c.T3494C:p.M1165T,ENSG00000074054:ENST00000455322:exon34:c.T3362C:p.M1121T</t>
  </si>
  <si>
    <t xml:space="preserve">4/11</t>
  </si>
  <si>
    <t xml:space="preserve">7/7</t>
  </si>
  <si>
    <t xml:space="preserve">0.999999988870922</t>
  </si>
  <si>
    <t xml:space="preserve">cytoplasmic linker associated protein 1</t>
  </si>
  <si>
    <t xml:space="preserve">FUNCTION: Microtubule plus-end tracking protein that promotes the stabilization of dynamic microtubules. Involved in the nucleation of noncentrosomal microtubules originating from the trans-Golgi network (TGN). Required for the polarization of the cytoplasmic microtubule arrays in migrating cells towards the leading edge of the cell. May act at the cell cortex to enhance the frequency of rescue of depolymerizing microtubules by attaching their plus-ends to cortical platforms composed of ERC1 and PHLDB2. This cortical microtubule stabilizing activity is regulated at least in part by phosphatidylinositol 3-kinase signaling. Also performs a similar stabilizing function at the kinetochore which is essential for the bipolar alignment of chromosomes on the mitotic spindle. {ECO:0000269|PubMed:11290329, ECO:0000269|PubMed:12837247, ECO:0000269|PubMed:15631994, ECO:0000269|PubMed:16866869, ECO:0000269|PubMed:16914514, ECO:0000269|PubMed:17543864}.; </t>
  </si>
  <si>
    <t xml:space="preserve">55.64</t>
  </si>
  <si>
    <t xml:space="preserve">249</t>
  </si>
  <si>
    <t xml:space="preserve">231,18</t>
  </si>
  <si>
    <t xml:space="preserve">exonic;splicing</t>
  </si>
  <si>
    <t xml:space="preserve">GGTLC2:NM_001282879:exon4:c.A418G:p.I140V;GGTLC2:uc010gts.2:exon3:c.A418G:p.I140V;ENST00000448514:exon3:c.417+1A&gt;G</t>
  </si>
  <si>
    <t xml:space="preserve">on</t>
  </si>
  <si>
    <t xml:space="preserve">1/5</t>
  </si>
  <si>
    <t xml:space="preserve">0.000421521541315101</t>
  </si>
  <si>
    <t xml:space="preserve">gamma-glutamyltransferase light chain 2</t>
  </si>
  <si>
    <t xml:space="preserve">2076.64</t>
  </si>
  <si>
    <t xml:space="preserve">137</t>
  </si>
  <si>
    <t xml:space="preserve">47,90</t>
  </si>
  <si>
    <t xml:space="preserve">MAP4:NM_001134364:exon10:c.T2222G:p.M741R,MAP4:NM_002375:exon10:c.T2222G:p.M741R;MAP4:uc003crx.2:exon1:c.T2G:p.M1?,MAP4:uc003csa.3:exon3:c.T1427G:p.M476R,MAP4:uc003csd.2:exon3:c.T1427G:p.M476R,MAP4:uc011bbf.1:exon9:c.T2153G:p.M718R,MAP4:uc003csb.2:exon10:c.T2222G:p.M741R,MAP4:uc003csc.3:exon10:c.T2222G:p.M741R;ENSG00000047849:ENST00000264724:exon3:c.T1427G:p.M476R,ENSG00000047849:ENST00000383736:exon3:c.T1427G:p.M476R,ENSG00000047849:ENST00000360240:exon10:c.T2222G:p.M741R,ENSG00000047849:ENST00000383737:exon10:c.T1406G:p.M469R,ENSG00000047849:ENST00000395734:exon10:c.T2222G:p.M741R,ENSG00000047849:ENST00000426837:exon12:c.T5657G:p.M1886R</t>
  </si>
  <si>
    <t xml:space="preserve">0.99884872439436</t>
  </si>
  <si>
    <t xml:space="preserve">microtubule associated protein 4</t>
  </si>
  <si>
    <t xml:space="preserve">FUNCTION: Non-neuronal microtubule-associated protein. Promotes microtubule assembly. {ECO:0000269|PubMed:10791892}.; </t>
  </si>
  <si>
    <t xml:space="preserve">1066.64</t>
  </si>
  <si>
    <t xml:space="preserve">101</t>
  </si>
  <si>
    <t xml:space="preserve">55,46</t>
  </si>
  <si>
    <t xml:space="preserve">CCDC66:NM_001353151:exon5:c.G701A:p.W234X,CCDC66:NM_001012506:exon6:c.G698A:p.W233X,CCDC66:NM_001141947:exon6:c.G800A:p.W267X,CCDC66:NM_001353147:exon6:c.G800A:p.W267X,CCDC66:NM_001353148:exon6:c.G800A:p.W267X,CCDC66:NM_001353149:exon6:c.G779A:p.W260X,CCDC66:NM_001353150:exon6:c.G800A:p.W267X,CCDC66:NM_001353153:exon6:c.G698A:p.W233X,CCDC66:NM_001353154:exon6:c.G800A:p.W267X,CCDC66:NM_001353155:exon6:c.G779A:p.W260X,CCDC66:NM_001353152:exon7:c.G698A:p.W233X;CCDC66:uc003dhu.3:exon6:c.G698A:p.W233X,CCDC66:uc003dhw.2:exon6:c.G800A:p.W267X,CCDC66:uc003dhz.3:exon6:c.G800A:p.W267X;ENSG00000180376:ENST00000326595:exon6:c.G698A:p.W233X,ENSG00000180376:ENST00000394672:exon6:c.G800A:p.W267X,ENSG00000180376:ENST00000422222:exon6:c.G800A:p.W267X,ENSG00000180376:ENST00000436465:exon6:c.G800A:p.W267X,ENSG00000180376:ENST00000471681:exon6:c.G698A:p.W233X,ENSG00000180376:ENST00000538560:exon6:c.G800A:p.W267X</t>
  </si>
  <si>
    <t xml:space="preserve">8.98685926047288e-28</t>
  </si>
  <si>
    <t xml:space="preserve">coiled-coil domain containing 66</t>
  </si>
  <si>
    <t xml:space="preserve">chr4</t>
  </si>
  <si>
    <t xml:space="preserve">131</t>
  </si>
  <si>
    <t xml:space="preserve">104,27</t>
  </si>
  <si>
    <t xml:space="preserve">SLC9B1:NM_001100874:exon11:c.A1318T:p.K440X,SLC9B1:NM_139173:exon11:c.A1318T:p.K440X;SLC9B1:uc011cev.2:exon8:c.A637T:p.K213X,SLC9B1:uc010ilm.3:exon10:c.A619T:p.K207X,SLC9B1:uc003hwu.3:exon11:c.A1318T:p.K440X,SLC9B1:uc003hww.3:exon11:c.A1318T:p.K440X;ENSG00000164037:ENST00000296422:exon11:c.A1318T:p.K440X,ENSG00000164037:ENST00000394789:exon11:c.A1318T:p.K440X</t>
  </si>
  <si>
    <t xml:space="preserve">8.48795187528449e-05</t>
  </si>
  <si>
    <t xml:space="preserve">solute carrier family 9 member B1</t>
  </si>
  <si>
    <t xml:space="preserve">1976.64</t>
  </si>
  <si>
    <t xml:space="preserve">143</t>
  </si>
  <si>
    <t xml:space="preserve">64,79</t>
  </si>
  <si>
    <t xml:space="preserve">SPDL1:NM_001329639:exon7:c.A823G:p.M275V,SPDL1:NM_001329640:exon7:c.A823G:p.M275V,SPDL1:NM_001329641:exon7:c.A823G:p.M275V,SPDL1:NM_017785:exon7:c.A823G:p.M275V,SPDL1:NM_001329642:exon8:c.A610G:p.M204V,SPDL1:NM_001329643:exon8:c.A610G:p.M204V;SPDL1:uc010jjk.3:exon5:c.A1G:p.M1?,SPDL1:uc011deq.2:exon6:c.A274G:p.M92V,SPDL1:uc003mae.4:exon7:c.A823G:p.M275V,SPDL1:uc010jjj.3:exon7:c.A610G:p.M204V;ENSG00000040275:ENST00000265295:exon7:c.A823G:p.M275V</t>
  </si>
  <si>
    <t xml:space="preserve">4/12</t>
  </si>
  <si>
    <t xml:space="preserve">8.71550549150675e-10</t>
  </si>
  <si>
    <t xml:space="preserve">spindle apparatus coiled-coil protein 1</t>
  </si>
  <si>
    <t xml:space="preserve">FUNCTION: Required for the localization of dynein and dynactin to the mitotic kintochore. Dynein is believed to control the initial lateral interaction between the kinetochore and spindle microtubules and to facilitate the subsequent formation of end-on kinetochore-microtubule attachments mediated by the NDC80 complex. Also required for correct spindle orientation. Does not appear to be required for the removal of spindle assembly checkpoint (SAC) proteins from the kinetochore upon bipolar spindle attachment. {ECO:0000255|HAMAP-Rule:MF_03041, ECO:0000269|PubMed:17576797, ECO:0000269|PubMed:19468067}.; </t>
  </si>
  <si>
    <t xml:space="preserve">123,32</t>
  </si>
  <si>
    <t xml:space="preserve">TCP10L2:NM_001145121:exon8:c.C958T:p.R320X;TCP10L2:uc010kkp.3:exon8:c.C958T:p.R320X;ENSG00000166984:ENST00000366832:exon8:c.C958T:p.R320X</t>
  </si>
  <si>
    <t xml:space="preserve">0.694467188174552</t>
  </si>
  <si>
    <t xml:space="preserve">t-complex 10-like 2</t>
  </si>
  <si>
    <t xml:space="preserve">833.64</t>
  </si>
  <si>
    <t xml:space="preserve">328</t>
  </si>
  <si>
    <t xml:space="preserve">273,55</t>
  </si>
  <si>
    <t xml:space="preserve">exonic;ncRNA_exonic</t>
  </si>
  <si>
    <t xml:space="preserve">TCP10:uc003qvv.1:exon8:c.C877T:p.R293X;ENSG00000203690:ENST00000397829:exon8:c.C877T:p.R293X</t>
  </si>
  <si>
    <t xml:space="preserve">0.264645828671827</t>
  </si>
  <si>
    <t xml:space="preserve">t-complex 10</t>
  </si>
  <si>
    <t xml:space="preserve">Low Mappability</t>
  </si>
  <si>
    <t xml:space="preserve">chr8</t>
  </si>
  <si>
    <t xml:space="preserve">749.64</t>
  </si>
  <si>
    <t xml:space="preserve">63</t>
  </si>
  <si>
    <t xml:space="preserve">30,33</t>
  </si>
  <si>
    <t xml:space="preserve">startloss</t>
  </si>
  <si>
    <t xml:space="preserve">PEBP4:NM_001363233:exon2:c.A1G:p.M1?,PEBP4:NM_144962:exon2:c.A1G:p.M1?;PEBP4:uc003xcn.1:exon2:c.A1G:p.M1?;ENSG00000134020:ENST00000256404:exon2:c.A1G:p.M1?,ENSG00000134020:ENST00000522278:exon2:c.A151G:p.M51V</t>
  </si>
  <si>
    <t xml:space="preserve">3/11</t>
  </si>
  <si>
    <t xml:space="preserve">0.0388985351374596</t>
  </si>
  <si>
    <t xml:space="preserve">phosphatidylethanolamine binding protein 4</t>
  </si>
  <si>
    <t xml:space="preserve">FUNCTION: Seems to promote cellular resistance to TNF-induced apoptosis by inhibiting activation of the Raf-1/MEK/ERK pathway, JNK and phosphatidylethanolamine externalization. {ECO:0000269|PubMed:15302887}.; </t>
  </si>
  <si>
    <t xml:space="preserve">1131.64</t>
  </si>
  <si>
    <t xml:space="preserve">147</t>
  </si>
  <si>
    <t xml:space="preserve">94,53</t>
  </si>
  <si>
    <t xml:space="preserve">DSCC1:NM_024094:exon7:c.C820T:p.R274X;DSCC1:uc003yov.3:exon7:c.C820T:p.R274X;ENSG00000136982:ENST00000313655:exon7:c.C820T:p.R274X</t>
  </si>
  <si>
    <t xml:space="preserve">0.0227186261604573</t>
  </si>
  <si>
    <t xml:space="preserve">DNA replication and sister chromatid cohesion 1</t>
  </si>
  <si>
    <t xml:space="preserve">FUNCTION: Loads PCNA onto primed templates regulating velocity, spacing and restart activity of replication forks. May couple DNA replication to sister chromatid cohesion through regulation of the acetylation of the cohesin subunit SMC3. {ECO:0000269|PubMed:12766176, ECO:0000269|PubMed:19907496}.; </t>
  </si>
  <si>
    <t xml:space="preserve">chr9</t>
  </si>
  <si>
    <t xml:space="preserve">2110.64</t>
  </si>
  <si>
    <t xml:space="preserve">166</t>
  </si>
  <si>
    <t xml:space="preserve">80,86</t>
  </si>
  <si>
    <t xml:space="preserve">CREB3:NM_006368:exon5:c.C475T:p.R159X;CREB3:uc010mla.3:exon4:c.C232T:p.R78X,CREB3:uc003zxv.3:exon5:c.C475T:p.R159X;ENSG00000107175:ENST00000353704:exon5:c.C475T:p.R159X</t>
  </si>
  <si>
    <t xml:space="preserve">8.86997227194125e-07</t>
  </si>
  <si>
    <t xml:space="preserve">cAMP responsive element binding protein 3</t>
  </si>
  <si>
    <t xml:space="preserve">FUNCTION: Endoplasmic reticulum (ER)-bound transcription factor that plays a role in the unfolded protein response (UPR). Involved in cell proliferation and migration, tumor suppression and inflammatory gene expression. Plays also a role in the human immunodeficiency virus type 1 (HIV-1) virus protein expression and in the herpes simplex virus-1 (HSV-1) latent infection and reactivation from latency. Isoform 2 plays a role in the unfolded protein response (UPR). Isoform 2 acts as a positive regulator of LKN-1/CCL15-induced chemotaxis signaling of leukocyte cell migration. Isoform 2 may play a role as a cellular tumor suppressor that is targeted by the hepatitis C virus (HSV) core protein. Isoform 2 represses the VP16-mediated transactivation of immediate early genes of the HSV-1 virus by sequestring host cell factor-1 HCFC1 in the ER membrane of sensory neurons, thereby preventing the initiation of the replicative cascade leading to latent infection. Isoform 3 functions as a negative transcriptional regulator in ligand-induced transcriptional activation of the glucocorticoid receptor NR3C1 by recruiting and activating histone deacetylases (HDAC1, HDAC2 and HDAC6). Isoform 3 decreases the acetylation level of histone H4. Isoform 3 does not promote the chemotactic activity of leukocyte cells.; </t>
  </si>
  <si>
    <t xml:space="preserve">1147.64</t>
  </si>
  <si>
    <t xml:space="preserve">80</t>
  </si>
  <si>
    <t xml:space="preserve">37,43</t>
  </si>
  <si>
    <t xml:space="preserve">FIBCD1:NM_032843:exon1:c.G17A:p.W6X,FIBCD1:NM_001145106:exon2:c.G17A:p.W6X;FIBCD1:uc004bzz.3:exon1:c.G17A:p.W6X,FIBCD1:uc011mcc.2:exon2:c.G17A:p.W6X,FIBCD1:uc011mcd.1:exon2:c.G17A:p.W6X;ENSG00000130720:ENST00000372338:exon1:c.G17A:p.W6X,ENSG00000130720:ENST00000448616:exon2:c.G17A:p.W6X,ENSG00000130720:ENST00000451466:exon2:c.G17A:p.W6X</t>
  </si>
  <si>
    <t xml:space="preserve">7.56460038005606e-06</t>
  </si>
  <si>
    <t xml:space="preserve">fibrinogen C domain containing 1</t>
  </si>
  <si>
    <t xml:space="preserve">FUNCTION: Acetyl group-binding receptor which shows a high- affinity and calcium-dependent binding to acetylated structures such as chitin, some N-acetylated carbohydrates, and amino acids, but not to their non-acetylated counterparts. Can facilitate the endocytosis of acetylated components. {ECO:0000269|PubMed:19710473, ECO:0000269|PubMed:19892701}.; </t>
  </si>
  <si>
    <t xml:space="preserve">4285.64</t>
  </si>
  <si>
    <t xml:space="preserve">216</t>
  </si>
  <si>
    <t xml:space="preserve">103,113</t>
  </si>
  <si>
    <t xml:space="preserve">IGSF3:NM_001007237:exon7:c.G1724A:p.W575X,IGSF3:NM_001542:exon8:c.G1784A:p.W595X;IGSF3:uc001egs.1:exon3:c.G743A:p.W248X,IGSF3:uc001egr.2:exon7:c.G1724A:p.W575X,IGSF3:uc031pnr.1:exon7:c.G1784A:p.W595X;ENSG00000143061:ENST00000318837:exon7:c.G1784A:p.W595X,ENSG00000143061:ENST00000369486:exon7:c.G1724A:p.W575X,ENSG00000143061:ENST00000369483:exon8:c.G1784A:p.W595X</t>
  </si>
  <si>
    <t xml:space="preserve">4</t>
  </si>
  <si>
    <t xml:space="preserve">0.987084919325614</t>
  </si>
  <si>
    <t xml:space="preserve">immunoglobulin superfamily member 3</t>
  </si>
  <si>
    <t xml:space="preserve">1795.64</t>
  </si>
  <si>
    <t xml:space="preserve">145</t>
  </si>
  <si>
    <t xml:space="preserve">95,50</t>
  </si>
  <si>
    <t xml:space="preserve">IGSF3:NM_001007237:exon4:c.C634T:p.Q212X,IGSF3:NM_001542:exon4:c.C634T:p.Q212X;IGSF3:uc031pnr.1:exon3:c.C634T:p.Q212X,IGSF3:uc001egr.2:exon4:c.C634T:p.Q212X;ENSG00000143061:ENST00000318837:exon3:c.C634T:p.Q212X,ENSG00000143061:ENST00000369483:exon4:c.C634T:p.Q212X,ENSG00000143061:ENST00000369486:exon4:c.C634T:p.Q212X</t>
  </si>
  <si>
    <t xml:space="preserve">495.64</t>
  </si>
  <si>
    <t xml:space="preserve">179</t>
  </si>
  <si>
    <t xml:space="preserve">145,34</t>
  </si>
  <si>
    <t xml:space="preserve">IGSF3:NM_001007237:exon3:c.G225A:p.M75I,IGSF3:NM_001542:exon3:c.G225A:p.M75I;IGSF3:uc031pnr.1:exon2:c.G225A:p.M75I,IGSF3:uc001egr.2:exon3:c.G225A:p.M75I;ENSG00000143061:ENST00000318837:exon2:c.G225A:p.M75I,ENSG00000143061:ENST00000481589:exon2:c.G3A:p.M1I,ENSG00000143061:ENST00000369483:exon3:c.G225A:p.M75I,ENSG00000143061:ENST00000369486:exon3:c.G225A:p.M75I</t>
  </si>
  <si>
    <t xml:space="preserve">1/12</t>
  </si>
  <si>
    <t xml:space="preserve">947.64</t>
  </si>
  <si>
    <t xml:space="preserve">26,37</t>
  </si>
  <si>
    <t xml:space="preserve">RAD51AP1:NM_006479:exon5:c.A355G:p.M119V,RAD51AP1:NM_001130862:exon6:c.A406G:p.M136V;RAD51AP1:uc010sep.2:exon4:c.A1G:p.M1?,RAD51AP1:uc010seq.2:exon4:c.A1G:p.M1?,RAD51AP1:uc001qmu.3:exon5:c.A355G:p.M119V,RAD51AP1:uc001qmw.3:exon6:c.A406G:p.M136V;ENSG00000111247:ENST00000543041:exon4:c.A1G:p.M1?,ENSG00000111247:ENST00000352618:exon5:c.A355G:p.M119V,ENSG00000111247:ENST00000544927:exon5:c.A355G:p.M119V,ENSG00000111247:ENST00000228843:exon6:c.A406G:p.M136V,ENSG00000111247:ENST00000321524:exon6:c.A406G:p.M136V</t>
  </si>
  <si>
    <t xml:space="preserve">2/11</t>
  </si>
  <si>
    <t xml:space="preserve">0.0223532839828689</t>
  </si>
  <si>
    <t xml:space="preserve">RAD51 associated protein 1</t>
  </si>
  <si>
    <t xml:space="preserve">FUNCTION: May participate in a common DNA damage response pathway associated with the activation of homologous recombination and double-strand break repair. Functionally cooperates with PALB2 in promoting of D-loop formation by RAD51. Binds to single and double stranded DNA, and is capable of aggregating DNA. Also binds RNA. {ECO:0000269|PubMed:20871616, ECO:0000269|PubMed:9396801}.; </t>
  </si>
  <si>
    <t xml:space="preserve">387.64</t>
  </si>
  <si>
    <t xml:space="preserve">40</t>
  </si>
  <si>
    <t xml:space="preserve">22,18</t>
  </si>
  <si>
    <t xml:space="preserve">NCLN:NM_001321463:exon5:c.G642C:p.E214D,NCLN:NM_020170:exon5:c.G642C:p.E214D;NCLN:uc002lxi.3:exon5:c.G642C:p.E214D;ENSG00000125912:ENST00000587740:exon1:c.G3C:p.E1D,ENSG00000125912:ENST00000588428:exon3:c.G306C:p.E102D,ENSG00000125912:ENST00000246117:exon5:c.G642C:p.E214D,ENSG00000125912:ENST00000590671:exon5:c.G420C:p.E140D</t>
  </si>
  <si>
    <t xml:space="preserve">0.509474338262742</t>
  </si>
  <si>
    <t xml:space="preserve">nicalin</t>
  </si>
  <si>
    <t xml:space="preserve">FUNCTION: May antagonize Nodal signaling and subsequent organization of axial structures during mesodermal patterning. {ECO:0000250}.; </t>
  </si>
  <si>
    <t xml:space="preserve">chrX</t>
  </si>
  <si>
    <t xml:space="preserve">2281.06</t>
  </si>
  <si>
    <t xml:space="preserve">72</t>
  </si>
  <si>
    <t xml:space="preserve">1,71</t>
  </si>
  <si>
    <t xml:space="preserve">nonsynonymous SNV;stopgain</t>
  </si>
  <si>
    <t xml:space="preserve">TRO:NM_001271183:exon10:c.G2612A:p.G871D,TRO:NM_001271184:exon11:c.G2828A:p.G943D,TRO:NM_001039705:exon12:c.G4019A:p.G1340D;TRO:uc004dtx.4:exon8:c.G2168A:p.G723D,TRO:uc011mok.3:exon10:c.G2612A:p.G871D,TRO:uc004dtw.4:exon11:c.G2828A:p.G943D,TRO:uc004dtq.4:exon12:c.G4019A:p.G1340D;ENSG00000067445:ENST00000445561:exon13:c.G1989A:p.W663X</t>
  </si>
  <si>
    <t xml:space="preserve">2/10</t>
  </si>
  <si>
    <t xml:space="preserve">1/6</t>
  </si>
  <si>
    <t xml:space="preserve">HOMO</t>
  </si>
  <si>
    <t xml:space="preserve">0.00166962000566844</t>
  </si>
  <si>
    <t xml:space="preserve">trophinin</t>
  </si>
  <si>
    <t xml:space="preserve">FUNCTION: Could be involved with bystin and tastin in a cell adhesion molecule complex that mediates an initial attachment of the blastocyst to uterine epithelial cells at the time of the embryo implantation. Directly responsible for homophilic cell adhesion.; </t>
  </si>
  <si>
    <t xml:space="preserve">1069.64</t>
  </si>
  <si>
    <t xml:space="preserve">108</t>
  </si>
  <si>
    <t xml:space="preserve">62,46</t>
  </si>
  <si>
    <t xml:space="preserve">intronic</t>
  </si>
  <si>
    <t xml:space="preserve">0.945333401831958</t>
  </si>
  <si>
    <t xml:space="preserve">pantothenate kinase 4</t>
  </si>
  <si>
    <t xml:space="preserve">FUNCTION: Plays a role in the physiological regulation of the intracellular CoA concentration. {ECO:0000250}.; </t>
  </si>
  <si>
    <t xml:space="preserve">217.64</t>
  </si>
  <si>
    <t xml:space="preserve">47</t>
  </si>
  <si>
    <t xml:space="preserve">35,12</t>
  </si>
  <si>
    <t xml:space="preserve">PD</t>
  </si>
  <si>
    <t xml:space="preserve">0.0981051636001553</t>
  </si>
  <si>
    <t xml:space="preserve">PRAME family member 1</t>
  </si>
  <si>
    <t xml:space="preserve">610.64</t>
  </si>
  <si>
    <t xml:space="preserve">318</t>
  </si>
  <si>
    <t xml:space="preserve">283,35</t>
  </si>
  <si>
    <t xml:space="preserve">NM_001146344:exon2:UTR5;uc001auk.2:exon2:UTR5;ENST00000535591:exon2:UTR5;ENST00000437584:exon2:UTR5</t>
  </si>
  <si>
    <t xml:space="preserve">0.285437974687136</t>
  </si>
  <si>
    <t xml:space="preserve">PRAME family member 11</t>
  </si>
  <si>
    <t xml:space="preserve">133.64</t>
  </si>
  <si>
    <t xml:space="preserve">43</t>
  </si>
  <si>
    <t xml:space="preserve">37,6</t>
  </si>
  <si>
    <t xml:space="preserve">204.64</t>
  </si>
  <si>
    <t xml:space="preserve">6,7</t>
  </si>
  <si>
    <t xml:space="preserve">0.00110649599056032</t>
  </si>
  <si>
    <t xml:space="preserve">alkaline phosphatase, liver/bone/kidney</t>
  </si>
  <si>
    <t xml:space="preserve">FUNCTION: This isozyme may play a role in skeletal mineralization.; </t>
  </si>
  <si>
    <t xml:space="preserve">DISEASE: Hypophosphatasia (HOPS) [MIM:146300]: A metabolic bone disease characterized by defective skeletal mineralization and biochemically by deficient activity of the tissue non-specific isoenzyme of alkaline phosphatase. Four forms are distinguished, depending on the age of onset: perinatal, infantile, childhood and adult type. The perinatal form is the most severe and is almost always fatal. The adult form is mild and characterized by recurrent fractures, osteomalacia, rickets, and loss of teeth. Some cases are asymptomatic, while some patients manifest dental features without skeletal manifestations (odontohypophosphatasia). {ECO:0000269|PubMed:10094560, ECO:0000269|PubMed:10332035, ECO:0000269|PubMed:10679946, ECO:0000269|PubMed:10690885, ECO:0000269|PubMed:10834525, ECO:0000269|PubMed:11438998, ECO:0000269|PubMed:11745997, ECO:0000269|PubMed:11760847, ECO:0000269|PubMed:11834095, ECO:0000269|PubMed:11855933, ECO:0000269|PubMed:11999978, ECO:0000269|PubMed:12815606, ECO:0000269|PubMed:12920074, ECO:0000269|PubMed:1409720, ECO:0000269|PubMed:15135428, ECO:0000269|PubMed:15694177, ECO:0000269|PubMed:3174660, ECO:0000269|PubMed:7833929, ECO:0000269|PubMed:8406453, ECO:0000269|PubMed:8954059, ECO:0000269|PubMed:9452105, ECO:0000269|PubMed:9747027, ECO:0000269|PubMed:9781036}. Note=The disease is caused by mutations affecting the gene represented in this entry.; DISEASE: Hypophosphatasia childhood type (HOPSC) [MIM:241510]: A bone disease characterized by defective skeletal mineralization and biochemically by deficient activity of the tissue non-specific isoenzyme of alkaline phosphatase. {ECO:0000269|PubMed:11760847}. Note=The disease is caused by mutations affecting the gene represented in this entry.; DISEASE: Hypophosphatasia infantile type (HOPSI) [MIM:241500]: A severe bone disease characterized by defective skeletal mineralization and biochemically by deficient activity of the tissue non-specific isoenzyme of alkaline phosphatase. Three more or less distinct types of infantile hypophosphatasia can be identified: (1) type 1 with onset in utero or in early postnatal life, craniostenosis, severe skeletal abnormalities, hypercalcemia, and death in the first year or so of life; (2) type 2 with later, more gradual development of symptoms, moderately severe 'rachitic' skeletal changes and premature loss of teeth; (3) type 3 with no symptoms, the condition being determined on routine studies. {ECO:0000269|PubMed:10834525, ECO:0000269|PubMed:11438998, ECO:0000269|PubMed:7833929, ECO:0000269|PubMed:8954059}. Note=The disease is caused by mutations affecting the gene represented in this entry.; </t>
  </si>
  <si>
    <t xml:space="preserve">AG</t>
  </si>
  <si>
    <t xml:space="preserve">259.60</t>
  </si>
  <si>
    <t xml:space="preserve">62</t>
  </si>
  <si>
    <t xml:space="preserve">50,12</t>
  </si>
  <si>
    <t xml:space="preserve">frameshift deletion</t>
  </si>
  <si>
    <t xml:space="preserve">CCDC30:NM_001080850:exon3:c.45_46del:p.K21Afs*7;CCDC30:uc001chp.3:exon1:c.45_46del:p.K21Afs*7,CCDC30:uc009vwk.1:exon2:c.45_46del:p.K21Afs*7;ENSG00000186409:ENST00000340612:exon1:c.45_46del:p.K21Afs*7,ENSG00000186409:ENST00000342022:exon2:c.45_46del:p.K21Afs*7,ENSG00000186409:ENST00000471390:exon2:c.45_46del:p.K21Afs*7,ENSG00000186409:ENST00000509712:exon5:c.45_46del:p.K21Afs*7,ENSG00000186409:ENST00000428554:exon9:c.45_46del:p.K21Afs*7</t>
  </si>
  <si>
    <t xml:space="preserve">6.06674580228951e-12</t>
  </si>
  <si>
    <t xml:space="preserve">coiled-coil domain containing 30</t>
  </si>
  <si>
    <t xml:space="preserve">228.64</t>
  </si>
  <si>
    <t xml:space="preserve">PATJ, crumbs cell polarity complex component</t>
  </si>
  <si>
    <t xml:space="preserve">FUNCTION: Scaffolding protein that may bring different proteins into adjacent positions at the cell membrane. May regulate protein targeting, cell polarity and integrity of tight junctions. May regulate the surface expression and/or function of ASIC3 in sensory neurons. May recruit ARHGEF18 to apical cell-cell boundaries (PubMed:22006950). {ECO:0000269|PubMed:11927608, ECO:0000269|PubMed:22006950}.; </t>
  </si>
  <si>
    <t xml:space="preserve">2429.60</t>
  </si>
  <si>
    <t xml:space="preserve">185</t>
  </si>
  <si>
    <t xml:space="preserve">93,92</t>
  </si>
  <si>
    <t xml:space="preserve">exonic;intronic</t>
  </si>
  <si>
    <t xml:space="preserve">LRRC53:NM_001364665:exon3:c.1225dupG:p.V409Gfs*11,LRRC53:NM_001364666:exon3:c.1129dupG:p.V377Gfs*11;ENSG00000162621:ENST00000416014:exon3:c.1225dupG:p.V409Gfs*11,ENSG00000162621:ENST00000294635:exon4:c.1225dupG:p.V409Gfs*11</t>
  </si>
  <si>
    <t xml:space="preserve">1.80292277016875e-38;1.84157554257575e-38</t>
  </si>
  <si>
    <t xml:space="preserve">FPGT-TNNI3K readthrough;TNNI3 interacting kinase;leucine rich repeat containing 53</t>
  </si>
  <si>
    <t xml:space="preserve">FUNCTION: May play a role in cardiac physiology. {ECO:0000303|PubMed:12721663}.; ;FUNCTION: May play a role in cardiac physiology. {ECO:0000303|PubMed:12721663}.; </t>
  </si>
  <si>
    <t xml:space="preserve">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t>
  </si>
  <si>
    <t xml:space="preserve">35.60</t>
  </si>
  <si>
    <t xml:space="preserve">14</t>
  </si>
  <si>
    <t xml:space="preserve">11,3</t>
  </si>
  <si>
    <t xml:space="preserve">SYCP1:NM_001282541:exon23:c.1876dupA:p.G629Rfs*12,SYCP1:NM_001282542:exon23:c.1876dupA:p.G629Rfs*12,SYCP1:NM_003176:exon23:c.1876dupA:p.G629Rfs*12;SYCP1:uc001efq.3:exon23:c.1876dupA:p.G629Rfs*12,SYCP1:uc001efr.3:exon23:c.1876dupA:p.G629Rfs*12,SYCP1:uc009wgw.3:exon23:c.1876dupA:p.G629Rfs*12;ENSG00000198765:ENST00000369518:exon23:c.1876dupA:p.G629Rfs*12,ENSG00000198765:ENST00000369522:exon23:c.1876dupA:p.G629Rfs*12,ENSG00000198765:ENST00000455987:exon23:c.1876dupA:p.G629Rfs*12</t>
  </si>
  <si>
    <t xml:space="preserve">0.949997702198387</t>
  </si>
  <si>
    <t xml:space="preserve">synaptonemal complex protein 1</t>
  </si>
  <si>
    <t xml:space="preserve">FUNCTION: Major component of the transverse filaments of synaptonemal complexes (SCS), formed between homologous chromosomes during meiotic prophase.; </t>
  </si>
  <si>
    <t xml:space="preserve">1497.64</t>
  </si>
  <si>
    <t xml:space="preserve">83</t>
  </si>
  <si>
    <t xml:space="preserve">44,39</t>
  </si>
  <si>
    <t xml:space="preserve">832.64</t>
  </si>
  <si>
    <t xml:space="preserve">76</t>
  </si>
  <si>
    <t xml:space="preserve">39,37</t>
  </si>
  <si>
    <t xml:space="preserve">NM_006784:exon25:c.2582+1G&gt;A;uc010oxe.1:exon25:c.2582+1G&gt;A;ENST00000349139:exon25:c.2582+1G&gt;A</t>
  </si>
  <si>
    <t xml:space="preserve">3.05076498982483e-07</t>
  </si>
  <si>
    <t xml:space="preserve">WD repeat domain 3</t>
  </si>
  <si>
    <t xml:space="preserve">1849.64</t>
  </si>
  <si>
    <t xml:space="preserve">156</t>
  </si>
  <si>
    <t xml:space="preserve">76,80</t>
  </si>
  <si>
    <t xml:space="preserve">EMBP1:uc009wht.1:exon1:c.G115T:p.E39X</t>
  </si>
  <si>
    <t xml:space="preserve">embigin pseudogene 1</t>
  </si>
  <si>
    <t xml:space="preserve">362.64</t>
  </si>
  <si>
    <t xml:space="preserve">25</t>
  </si>
  <si>
    <t xml:space="preserve">13,12</t>
  </si>
  <si>
    <t xml:space="preserve">1.0279554795193e-09</t>
  </si>
  <si>
    <t xml:space="preserve">BCL2/adenovirus E1B 19kD interacting protein like</t>
  </si>
  <si>
    <t xml:space="preserve">FUNCTION: May be a bridge molecule between BCL2 and ARHGAP1/CDC42 in promoting cell death. {ECO:0000269|PubMed:12901880}.; </t>
  </si>
  <si>
    <t xml:space="preserve">845.64</t>
  </si>
  <si>
    <t xml:space="preserve">15,31</t>
  </si>
  <si>
    <t xml:space="preserve">0.999997023490929</t>
  </si>
  <si>
    <t xml:space="preserve">integrator complex subunit 3</t>
  </si>
  <si>
    <t xml:space="preserve">FUNCTION: Component of the Integrator complex. The Integrator complex is involved in the small nuclear RNAs (snRNA) U1 and U2 transcription and in their 3'-box-dependent processing. The Integrator complex is associated with the C-terminal domain (CTD) of RNA polymerase II largest subunit (POLR2A) and is recruited to the U1 and U2 snRNAs genes.; </t>
  </si>
  <si>
    <t xml:space="preserve">618.64</t>
  </si>
  <si>
    <t xml:space="preserve">17,26</t>
  </si>
  <si>
    <t xml:space="preserve">0.998547093289291</t>
  </si>
  <si>
    <t xml:space="preserve">myocyte enhancer factor 2D</t>
  </si>
  <si>
    <t xml:space="preserve">FUNCTION: Transcriptional activator which binds specifically to the MEF2 element, 5'-YTA[AT](4)TAR-3', found in numerous muscle- specific, growth factor- and stress-induced genes. Mediates cellular functions not only in skeletal and cardiac muscle development, but also in neuronal differentiation and survival. Plays diverse roles in the control of cell growth, survival and apoptosis via p38 MAPK signaling in muscle-specific and/or growth factor-related transcription. Plays a critical role in the regulation of neuronal apoptosis (By similarity). {ECO:0000250, ECO:0000269|PubMed:10849446, ECO:0000269|PubMed:11904443, ECO:0000269|PubMed:12691662, ECO:0000269|PubMed:15743823, ECO:0000269|PubMed:15834131}.; </t>
  </si>
  <si>
    <t xml:space="preserve">1047.64</t>
  </si>
  <si>
    <t xml:space="preserve">30,42</t>
  </si>
  <si>
    <t xml:space="preserve">0.999415997291979</t>
  </si>
  <si>
    <t xml:space="preserve">astrotactin 1</t>
  </si>
  <si>
    <t xml:space="preserve">FUNCTION: Neuronal adhesion molecule that is required for glial- guided migration of young postmitotic neuroblasts in cortical regions of developing brain, including cerebrum, hippocampus, cerebellum and olfactory bulb.; </t>
  </si>
  <si>
    <t xml:space="preserve">AA</t>
  </si>
  <si>
    <t xml:space="preserve">135.60</t>
  </si>
  <si>
    <t xml:space="preserve">18</t>
  </si>
  <si>
    <t xml:space="preserve">12,6</t>
  </si>
  <si>
    <t xml:space="preserve">ABL2:uc001gmk.3:exon7:c.1347_1348insTT:p.I450Lfs*2,ABL2:uc009wxf.2:exon8:c.1410_1411insTT:p.I471Lfs*2</t>
  </si>
  <si>
    <t xml:space="preserve">0.00970257687397593</t>
  </si>
  <si>
    <t xml:space="preserve">ABL proto-oncogene 2, non-receptor tyrosine kinase</t>
  </si>
  <si>
    <t xml:space="preserve">FUNCTION: Non-receptor tyrosine-protein kinase that plays an ABL1- overlapping role in key processes linked to cell growth and survival such as cytoskeleton remodeling in response to extracellular stimuli, cell motility and adhesion and receptor endocytosis. Coordinates actin remodeling through tyrosine phosphorylation of proteins controlling cytoskeleton dynamics like MYH10 (involved in movement); CTTN (involved in signaling); or TUBA1 and TUBB (microtubule subunits). Binds directly F-actin and regulates actin cytoskeletal structure through its F-actin- bundling activity. Involved in the regulation of cell adhesion and motility through phosphorylation of key regulators of these processes such as CRK, CRKL, DOK1 or ARHGAP35. Adhesion-dependent phosphorylation of ARHGAP35 promotes its association with RASA1, resulting in recruitment of ARHGAP35 to the cell periphery where it inhibits RHO. Phosphorylates multiple receptor tyrosine kinases like PDGFRB and other substrates which are involved in endocytosis regulation such as RIN1. In brain, may regulate neurotransmission by phosphorylating proteins at the synapse. ABL2 acts also as a regulator of multiple pathological signaling cascades during infection. Pathogens can highjack ABL2 kinase signaling to reorganize the host actin cytoskeleton for multiple purposes, like facilitating intracellular movement and host cell exit. Finally, functions as its own regulator through autocatalytic activity as well as through phosphorylation of its inhibitor, ABI1. {ECO:0000269|PubMed:15735735, ECO:0000269|PubMed:15886098, ECO:0000269|PubMed:16678104, ECO:0000269|PubMed:17306540, ECO:0000269|PubMed:18945674}.; </t>
  </si>
  <si>
    <t xml:space="preserve">51.64</t>
  </si>
  <si>
    <t xml:space="preserve">6</t>
  </si>
  <si>
    <t xml:space="preserve">4,2</t>
  </si>
  <si>
    <t xml:space="preserve">0.999999624623106</t>
  </si>
  <si>
    <t xml:space="preserve">laminin subunit gamma 1</t>
  </si>
  <si>
    <t xml:space="preserve">FUNCTION: Binding to cells via a high affinity receptor, laminin is thought to mediate the attachment, migration and organization of cells into tissues during embryonic development by interacting with other extracellular matrix components.; </t>
  </si>
  <si>
    <t xml:space="preserve">141.64</t>
  </si>
  <si>
    <t xml:space="preserve">8,5</t>
  </si>
  <si>
    <t xml:space="preserve">2.50313046386532e-18</t>
  </si>
  <si>
    <t xml:space="preserve">immunoglobulin-like and fibronectin type III domain containing 1</t>
  </si>
  <si>
    <t xml:space="preserve">195.64</t>
  </si>
  <si>
    <t xml:space="preserve">98</t>
  </si>
  <si>
    <t xml:space="preserve">81,17</t>
  </si>
  <si>
    <t xml:space="preserve">intergenic;intronic;ncRNA_intronic</t>
  </si>
  <si>
    <t xml:space="preserve">dist=224939;dist=1384</t>
  </si>
  <si>
    <t xml:space="preserve">family with sequence similarity 72 member A</t>
  </si>
  <si>
    <t xml:space="preserve">FUNCTION: May play a role in the regulation of cellular reactive oxygen species metabolism. May participate in cell growth regulation. {ECO:0000269|PubMed:21317926}.; </t>
  </si>
  <si>
    <t xml:space="preserve">441.02</t>
  </si>
  <si>
    <t xml:space="preserve">48</t>
  </si>
  <si>
    <t xml:space="preserve">8,20,20</t>
  </si>
  <si>
    <t xml:space="preserve">ANGEL2:uc001hkb.3:exon3:c.674dupT:p.L226Sfs*40</t>
  </si>
  <si>
    <t xml:space="preserve">0.121064258682459</t>
  </si>
  <si>
    <t xml:space="preserve">angel homolog 2 (Drosophila)</t>
  </si>
  <si>
    <t xml:space="preserve">44.60</t>
  </si>
  <si>
    <t xml:space="preserve">54</t>
  </si>
  <si>
    <t xml:space="preserve">46,8</t>
  </si>
  <si>
    <t xml:space="preserve">uc001hln.3:c.*788_*789insT;uc001hlm.3:c.*788_*789insT;ENST00000366929:c.*788_*789insT;ENST00000366930:c.*788_*789insT</t>
  </si>
  <si>
    <t xml:space="preserve">0.9891155078203</t>
  </si>
  <si>
    <t xml:space="preserve">microRNA 548f-3;transforming growth factor beta 2</t>
  </si>
  <si>
    <t xml:space="preserve">FUNCTION: TGF-beta 2 has suppressive effects on interleukin-2 dependent T-cell growth.; </t>
  </si>
  <si>
    <t xml:space="preserve">DISEASE: Note=A chromosomal aberration involving TGFB2 is found in a family with Peters anomaly. Translocation t(1;7)(q41;p21) with HDAC9. {ECO:0000269|PubMed:12706107}.; DISEASE: Loeys-Dietz syndrome 4 (LDS4) [MIM:614816]: An aortic aneurysm syndrome with widespread systemic involvement. LDS4 is characterized by arterial tortuosity, aortic dissection, intracranial aneurysm and subarachnoid hemorrhage, hypertelorism, bifid uvula, pectus deformity, bicuspid aortic valve, arachnodactyly, scoliosis, foot deformities, dural ectasia, joint hyperflexibility, and thin skin with easy bruising and striae. {ECO:0000269|PubMed:22772368}. Note=The disease is caused by mutations affecting the gene represented in this entry.; DISEASE: Note=Defects in TGFB2 may be a cause of non-syndromic aortic disease (NSAD). NSAD is a frequently asymptomatic but potentially lethal disease characterized by thoracic aortic aneurysms and dissections without additional syndromic features. {ECO:0000269|PubMed:25046559}.; </t>
  </si>
  <si>
    <t xml:space="preserve">953.64</t>
  </si>
  <si>
    <t xml:space="preserve">73</t>
  </si>
  <si>
    <t xml:space="preserve">34,39</t>
  </si>
  <si>
    <t xml:space="preserve">3.33649047524477e-11</t>
  </si>
  <si>
    <t xml:space="preserve">URB2 ribosome biogenesis 2 homolog (S. cerevisiae)</t>
  </si>
  <si>
    <t xml:space="preserve">249.64</t>
  </si>
  <si>
    <t xml:space="preserve">7,8</t>
  </si>
  <si>
    <t xml:space="preserve">0.0197098835616187</t>
  </si>
  <si>
    <t xml:space="preserve">TSNAX-DISC1 readthrough (NMD candidate);disrupted in schizophrenia 1</t>
  </si>
  <si>
    <t xml:space="preserve">FUNCTION: Involved in the regulation of multiple aspects of embryonic and adult neurogenesis. Required for neural progenitor proliferation in the ventrical/subventrical zone during embryonic brain development and in the adult dentate gyrus of the hippocampus. Participates in the Wnt-mediated neural progenitor proliferation as a positive regulator by modulating GSK3B activity and CTNNB1 abundance. Plays a role as a modulator of the AKT-mTOR signaling pathway controlling the tempo of the process of newborn neurons integration during adult neurogenesis, including neuron positioning, dendritic development and synapse formation. Inhibits the activation of AKT-mTOR signaling upon interaction with CCDC88A. Regulates the migration of early-born granule cell precursors toward the dentate gyrus during the hippocampal development. Plays a role, together with PCNT, in the microtubule network formation. {ECO:0000269|PubMed:18955030, ECO:0000269|PubMed:19303846, ECO:0000269|PubMed:19502360}.; </t>
  </si>
  <si>
    <t xml:space="preserve">DISEASE: Note=A chromosomal aberration involving DISC1 segregates with schizophrenia and related psychiatric disorders in a large Scottish family. Translocation t(1;11)(q42.1;q14.3). The truncated DISC1 protein produced by this translocation is unable to interact with ATF4, ATF5 and NDEL1.; DISEASE: Schizophrenia 9 (SCZD9) [MIM:604906]: A complex, multifactorial psychotic disorder or group of disorders characterized by disturbances in the form and content of thought (e.g. delusions, hallucinations), in mood (e.g. inappropriate affect), in sense of self and relationship to the external world (e.g. loss of ego boundaries, withdrawal), and in behavior (e.g bizarre or apparently purposeless behavior). Although it affects emotions, it is distinguished from mood disorders in which such disturbances are primary. Similarly, there may be mild impairment of cognitive function, and it is distinguished from the dementias in which disturbed cognitive function is considered primary. Some patients manifest schizophrenic as well as bipolar disorder symptoms and are often given the diagnosis of schizoaffective disorder. {ECO:0000269|PubMed:11468279, ECO:0000269|PubMed:14532331, ECO:0000269|PubMed:15939883}. Note=Disease susceptibility is associated with variations affecting the gene represented in this entry.; </t>
  </si>
  <si>
    <t xml:space="preserve">87.60</t>
  </si>
  <si>
    <t xml:space="preserve">4,3</t>
  </si>
  <si>
    <t xml:space="preserve">136.64</t>
  </si>
  <si>
    <t xml:space="preserve">ncRNA_intronic</t>
  </si>
  <si>
    <t xml:space="preserve">635.64</t>
  </si>
  <si>
    <t xml:space="preserve">51</t>
  </si>
  <si>
    <t xml:space="preserve">28,23</t>
  </si>
  <si>
    <t xml:space="preserve">9.25484656376633e-09</t>
  </si>
  <si>
    <t xml:space="preserve">exonuclease 1</t>
  </si>
  <si>
    <t xml:space="preserve">FUNCTION: 5'-&gt;3' double-stranded DNA exonuclease which may also possess a cryptic 3'-&gt;5' double-stranded DNA exonuclease activity. Functions in DNA mismatch repair (MMR) to excise mismatch- containing DNA tracts directed by strand breaks located either 5' or 3' to the mismatch. Also exhibits endonuclease activity against 5'-overhanging flap structures similar to those generated by displacement synthesis when DNA polymerase encounters the 5'-end of a downstream Okazaki fragment. Required for somatic hypermutation (SHM) and class switch recombination (CSR) of immunoglobulin genes. Essential for male and female meiosis. {ECO:0000269|PubMed:10364235, ECO:0000269|PubMed:10608837, ECO:0000269|PubMed:11809771, ECO:0000269|PubMed:11842105, ECO:0000269|PubMed:12414623, ECO:0000269|PubMed:12704184, ECO:0000269|PubMed:14636568, ECO:0000269|PubMed:14676842, ECO:0000269|PubMed:15225546, ECO:0000269|PubMed:15886194, ECO:0000269|PubMed:16143102, ECO:0000269|PubMed:9685493}.; </t>
  </si>
  <si>
    <t xml:space="preserve">60.64</t>
  </si>
  <si>
    <t xml:space="preserve">36,7</t>
  </si>
  <si>
    <t xml:space="preserve">centrosomal protein 170kDa</t>
  </si>
  <si>
    <t xml:space="preserve">FUNCTION: Plays a role in microtubule organization. {ECO:0000269|PubMed:15616186}.; </t>
  </si>
  <si>
    <t xml:space="preserve">692.64</t>
  </si>
  <si>
    <t xml:space="preserve">22,24</t>
  </si>
  <si>
    <t xml:space="preserve">0.999999999875185</t>
  </si>
  <si>
    <t xml:space="preserve">AT-hook containing transcription factor 1</t>
  </si>
  <si>
    <t xml:space="preserve">FUNCTION: Required for the assembly of a functional nuclear pore complex (NPC) on the surface of chromosomes as nuclei form at the end of mitosis. May initiate NPC assembly by binding to chromatin and recruiting the Nup107-160 subcomplex of the NPC. Also required for the localization of the Nup107-160 subcomplex of the NPC to the kinetochore during mitosis and for the completion of cytokinesis. {ECO:0000269|PubMed:17098863, ECO:0000269|PubMed:17235358}.; </t>
  </si>
  <si>
    <t xml:space="preserve">183.64</t>
  </si>
  <si>
    <t xml:space="preserve">5,5</t>
  </si>
  <si>
    <t xml:space="preserve">0.447262679111629</t>
  </si>
  <si>
    <t xml:space="preserve">NLR family, pyrin domain containing 3</t>
  </si>
  <si>
    <t xml:space="preserve">FUNCTION: As the sensor component of the NLRP3 inflammasome, plays a crucial role in innate immunity and inflammation. In response to pathogens and other damage-associated signals, initiates the formation of the inflammasome polymeric complex, made of NLRP3, PYCARD and CASP1 (and possibly CASP4 and CASP5). Recruitement of proCASP1 to the inflammasome promotes its activation and CASP1- catalyzed IL1B and IL18 maturation and secretion in the extracellular milieu. Activation of NLRP3 inflammasome is also required for HMGB1 secretion (PubMed:22801494). The active cytokines and HMGB1 stimulate inflammatory responses. Inflammasomes can also induce pyroptosis, an inflammatory form of programmed cell death. Under resting conditions, NLRP3 is autoinhibited. NLRP3 activation stimuli include extracellular ATP, reactive oxygen species, K(+) efflux, crystals of monosodium urate or cholesterol, beta-amyloid fibers, environmental or industrial particles and nanoparticles, etc. However, it is unclear what constitutes the direct NLRP3 activator. Independently of inflammasome activation, regulates the differentiation of T helper 2 (Th2) cells and has a role in Th2 cell-dependent asthma and tumor growth (By similarity). During Th2 differentiation, required for optimal IRF4 binding to IL4 promoter and for IRF4-dependent IL4 transcription. Binds to the consensus DNA sequence 5'- GRRGGNRGAG-3'. May also participate in the transcription of IL5, IL13, GATA3, CCR3, CCR4 and MAF (By similarity). {ECO:0000250|UniProtKB:Q8R4B8, ECO:0000269|PubMed:22801494, ECO:0000305|PubMed:23305783}.; </t>
  </si>
  <si>
    <t xml:space="preserve">DISEASE: Familial cold autoinflammatory syndrome 1 (FCAS1) [MIM:120100]: A rare autosomal dominant systemic inflammatory disease characterized by recurrent episodes of maculopapular rash associated with arthralgias, myalgias, fever and chills, swelling of the extremities, and conjunctivitis after generalized exposure to cold. Rarely, some patients may also develop late-onset renal amyloidosis. {ECO:0000269|PubMed:11687797, ECO:0000269|PubMed:11992256, ECO:0000269|PubMed:12355493, ECO:0000269|PubMed:12522564, ECO:0000269|PubMed:15593220, ECO:0000269|PubMed:17284928, ECO:0000269|PubMed:24952504}. Note=The disease is caused by mutations affecting the gene represented in this entry.; DISEASE: Muckle-Wells syndrome (MWS) [MIM:191900]: A hereditary periodic fever syndrome characterized by fever, chronic recurrent urticaria, arthralgias, progressive sensorineural deafness, and reactive renal amyloidosis. The disease may be severe if generalized reactive amyloidosis occurs. {ECO:0000269|PubMed:11687797, ECO:0000269|PubMed:11992256, ECO:0000269|PubMed:12355493, ECO:0000269|PubMed:15593220, ECO:0000269|PubMed:24952504}. Note=The disease is caused by mutations affecting the gene represented in this entry.; DISEASE: Chronic infantile neurologic cutaneous and articular syndrome (CINCA) [MIM:607115]: Rare congenital inflammatory disorder characterized by a triad of neonatal onset of cutaneous symptoms, chronic meningitis, and joint manifestations with recurrent fever and inflammation. {ECO:0000269|PubMed:12032915, ECO:0000269|PubMed:12483741, ECO:0000269|PubMed:14630794, ECO:0000269|PubMed:15231984, ECO:0000269|PubMed:15334500, ECO:0000269|PubMed:15593220, ECO:0000269|PubMed:24952504}. Note=The disease is caused by mutations affecting the gene represented in this entry.; </t>
  </si>
  <si>
    <t xml:space="preserve">287.64</t>
  </si>
  <si>
    <t xml:space="preserve">20</t>
  </si>
  <si>
    <t xml:space="preserve">12,8</t>
  </si>
  <si>
    <t xml:space="preserve">7.08342752970718e-15</t>
  </si>
  <si>
    <t xml:space="preserve">phosphofructokinase, platelet</t>
  </si>
  <si>
    <t xml:space="preserve">FUNCTION: Catalyzes the phosphorylation of D-fructose 6-phosphate to fructose 1,6-bisphosphate by ATP, the first committing step of glycolysis.; </t>
  </si>
  <si>
    <t xml:space="preserve">1206.64</t>
  </si>
  <si>
    <t xml:space="preserve">46,48</t>
  </si>
  <si>
    <t xml:space="preserve">NM_024693:exon4:c.591+1G&gt;A;uc001ikw.4:exon4:c.591+1G&gt;A;ENST00000379215:exon4:c.591+1G&gt;A;ENST00000422887:exon3:c.372+1G&gt;A</t>
  </si>
  <si>
    <t xml:space="preserve">0.000536785623378491</t>
  </si>
  <si>
    <t xml:space="preserve">enoyl-CoA hydratase domain containing 3</t>
  </si>
  <si>
    <t xml:space="preserve">260.02</t>
  </si>
  <si>
    <t xml:space="preserve">0,7,3</t>
  </si>
  <si>
    <t xml:space="preserve">intergenic;intronic;ncRNA_exonic</t>
  </si>
  <si>
    <t xml:space="preserve">dist=26739;dist=15476</t>
  </si>
  <si>
    <t xml:space="preserve">0.00286935735912744</t>
  </si>
  <si>
    <t xml:space="preserve">DNA cross-link repair 1C</t>
  </si>
  <si>
    <t xml:space="preserve">FUNCTION: Required for V(D)J recombination, the process by which exons encoding the antigen-binding domains of immunoglobulins and T-cell receptor proteins are assembled from individual V, (D), and J gene segments. V(D)J recombination is initiated by the lymphoid specific RAG endonuclease complex, which generates site specific DNA double strand breaks (DSBs). These DSBs present two types of DNA end structures: hairpin sealed coding ends and phosphorylated blunt signal ends. These ends are independently repaired by the non homologous end joining (NHEJ) pathway to form coding and signal joints respectively. This protein exhibits single-strand specific 5'-3' exonuclease activity in isolation and acquires endonucleolytic activity on 5' and 3' hairpins and overhangs when in a complex with PRKDC. The latter activity is required specifically for the resolution of closed hairpins prior to the formation of the coding joint. May also be required for the repair of complex DSBs induced by ionizing radiation, which require substantial end-processing prior to religation by NHEJ. {ECO:0000269|PubMed:11336668, ECO:0000269|PubMed:11955432, ECO:0000269|PubMed:12055248, ECO:0000269|PubMed:14744996, ECO:0000269|PubMed:15071507, ECO:0000269|PubMed:15456891, ECO:0000269|PubMed:15468306, ECO:0000269|PubMed:15574326, ECO:0000269|PubMed:15574327, ECO:0000269|PubMed:15811628, ECO:0000269|PubMed:15936993}.; </t>
  </si>
  <si>
    <t xml:space="preserve">DISEASE: Severe combined immunodeficiency autosomal recessive T- cell-negative/B-cell-negative/NK-cell-positive with sensitivity to ionizing radiation (RSSCID) [MIM:602450]: A form of severe combined immunodeficiency, a genetically and clinically heterogeneous group of rare congenital disorders characterized by impairment of both humoral and cell-mediated immunity, leukopenia, and low or absent antibody levels. Patients present in infancy with recurrent, persistent infections by opportunistic organisms. The common characteristic of all types of SCID is absence of T- cell-mediated cellular immunity due to a defect in T-cell development. Individuals affected by RS-SCID show defects in the DNA repair machinery necessary for coding joint formation and the completion of V(D)J recombination. A subset of cells from such patients show increased radiosensitivity. {ECO:0000269|PubMed:11336668, ECO:0000269|PubMed:12406895, ECO:0000269|PubMed:12569164, ECO:0000269|PubMed:12592555, ECO:0000269|PubMed:12921762}. Note=The disease is caused by mutations affecting the gene represented in this entry.; DISEASE: Severe combined immunodeficiency Athabaskan type (SCIDA) [MIM:602450]: A variety of SCID with sensitivity to ionizing radiation. A founder mutation has been detected in Athabascan- speaking native Americans, being inherited as an autosomal recessive trait. Affected individuals exhibit clinical symptoms and defects in DNA repair comparable to those seen in RS-SCID. {ECO:0000269|PubMed:12055248}. Note=The disease is caused by mutations affecting the gene represented in this entry.; DISEASE: Omenn syndrome (OS) [MIM:603554]: Severe immunodeficiency characterized by the presence of activated, anergic, oligoclonal T-cells, hypereosinophilia, and high IgE levels. {ECO:0000269|PubMed:15731174}. Note=The disease is caused by mutations affecting the gene represented in this entry.; </t>
  </si>
  <si>
    <t xml:space="preserve">AAA</t>
  </si>
  <si>
    <t xml:space="preserve">638.02</t>
  </si>
  <si>
    <t xml:space="preserve">27</t>
  </si>
  <si>
    <t xml:space="preserve">2,10,15</t>
  </si>
  <si>
    <t xml:space="preserve">3;3;4;3</t>
  </si>
  <si>
    <t xml:space="preserve">0.00286935735912744;0.0863366080379718</t>
  </si>
  <si>
    <t xml:space="preserve">DNA cross-link repair 1C;DNA cross-link repair 1C pseudogene 1;acyl-CoA binding domain containing 7</t>
  </si>
  <si>
    <t xml:space="preserve">FUNCTION: Binds medium- and long-chain acyl-CoA esters.; ;FUNCTION: Required for V(D)J recombination, the process by which exons encoding the antigen-binding domains of immunoglobulins and T-cell receptor proteins are assembled from individual V, (D), and J gene segments. V(D)J recombination is initiated by the lymphoid specific RAG endonuclease complex, which generates site specific DNA double strand breaks (DSBs). These DSBs present two types of DNA end structures: hairpin sealed coding ends and phosphorylated blunt signal ends. These ends are independently repaired by the non homologous end joining (NHEJ) pathway to form coding and signal joints respectively. This protein exhibits single-strand specific 5'-3' exonuclease activity in isolation and acquires endonucleolytic activity on 5' and 3' hairpins and overhangs when in a complex with PRKDC. The latter activity is required specifically for the resolution of closed hairpins prior to the formation of the coding joint. May also be required for the repair of complex DSBs induced by ionizing radiation, which require substantial end-processing prior to religation by NHEJ. {ECO:0000269|PubMed:11336668, ECO:0000269|PubMed:11955432, ECO:0000269|PubMed:12055248, ECO:0000269|PubMed:14744996, ECO:0000269|PubMed:15071507, ECO:0000269|PubMed:15456891, ECO:0000269|PubMed:15468306, ECO:0000269|PubMed:15574326, ECO:0000269|PubMed:15574327, ECO:0000269|PubMed:15811628, ECO:0000269|PubMed:15936993}.; </t>
  </si>
  <si>
    <t xml:space="preserve">CGACAGAGCAACA</t>
  </si>
  <si>
    <t xml:space="preserve">343.60</t>
  </si>
  <si>
    <t xml:space="preserve">33</t>
  </si>
  <si>
    <t xml:space="preserve">23,10</t>
  </si>
  <si>
    <t xml:space="preserve">105.60</t>
  </si>
  <si>
    <t xml:space="preserve">100,16</t>
  </si>
  <si>
    <t xml:space="preserve">0.00182033784193924</t>
  </si>
  <si>
    <t xml:space="preserve">calcium voltage-gated channel auxiliary subunit beta 2</t>
  </si>
  <si>
    <t xml:space="preserve">FUNCTION: The beta subunit of voltage-dependent calcium channels contributes to the function of the calcium channel by increasing peak calcium current, shifting the voltage dependencies of activation and inactivation, modulating G protein inhibition and controlling the alpha-1 subunit membrane targeting.; </t>
  </si>
  <si>
    <t xml:space="preserve">DISEASE: Brugada syndrome 4 (BRGDA4) [MIM:611876]: A heart disease characterized by the association of Brugada syndrome with shortened QT intervals. Brugada syndrome is a tachyarrhythmia characterized by right bundle branch block and ST segment elevation on an electrocardiogram (ECG). It can cause the ventricles to beat so fast that the blood is prevented from circulating efficiently in the body. When this situation occurs, the individual will faint and may die in a few minutes if the heart is not reset. {ECO:0000269|PubMed:17224476}. Note=The disease is caused by mutations affecting the gene represented in this entry.; </t>
  </si>
  <si>
    <t xml:space="preserve">0</t>
  </si>
  <si>
    <t xml:space="preserve">221.04</t>
  </si>
  <si>
    <t xml:space="preserve">142</t>
  </si>
  <si>
    <t xml:space="preserve">20,86,36</t>
  </si>
  <si>
    <t xml:space="preserve">NM_201593:c.*17T&gt;0;NM_201596:c.*17T&gt;0;NM_201597:c.*17T&gt;0;NM_201571:c.*17T&gt;0;NM_201572:c.*17T&gt;0;NM_001167945:c.*17T&gt;0;NM_000724:c.*17T&gt;0;NM_001330060:c.*17T&gt;0;NM_201590:c.*17T&gt;0;NM_201570:c.*17T&gt;0</t>
  </si>
  <si>
    <t xml:space="preserve">1618.64</t>
  </si>
  <si>
    <t xml:space="preserve">164</t>
  </si>
  <si>
    <t xml:space="preserve">94,70</t>
  </si>
  <si>
    <t xml:space="preserve">NM_032844:exon6:c.661-2A&gt;G;NM_001172303:exon6:c.661-2A&gt;G;NM_001172304:exon6:c.661-2A&gt;G;NM_001320757:exon6:c.661-2A&gt;G;NM_001320756:exon6:c.661-2A&gt;G;uc001itl.3:exon6:c.661-2A&gt;G;uc001itm.3:exon6:c.661-2A&gt;G;uc009xkw.2:exon6:c.661-2A&gt;G;ENST00000375946:exon6:c.661-2A&gt;G;ENST00000342386:exon6:c.661-2A&gt;G;ENST00000375940:exon6:c.661-2A&gt;G</t>
  </si>
  <si>
    <t xml:space="preserve">1.08232471911869e-08</t>
  </si>
  <si>
    <t xml:space="preserve">microtubule associated serine/threonine kinase like</t>
  </si>
  <si>
    <t xml:space="preserve">FUNCTION: Serine/threonine kinase that plays a key role in M phase by acting as a regulator of mitosis entry and maintenance. Acts by promoting the inactivation of protein phosphatase 2A (PP2A) during M phase: does not directly inhibit PP2A but acts by mediating phosphorylation and subsequent activation of ARPP19 and ENSA at 'Ser-62' and 'Ser-67', respectively. ARPP19 and ENSA are phosphatase inhibitors that specifically inhibit the PPP2R2D (PR55-delta) subunit of PP2A. Inactivation of PP2A during M phase is essential to keep cyclin-B1-CDK1 activity high. Following DNA damage, it is also involved in checkpoint recovery by being inhibited. Phosphorylates histone protein in vitro; however such activity is unsure in vivo. May be involved in megakaryocyte differentiation. {ECO:0000269|PubMed:12890928, ECO:0000269|PubMed:19680222, ECO:0000269|PubMed:19793917, ECO:0000269|PubMed:20538976, ECO:0000269|PubMed:20818157}.; </t>
  </si>
  <si>
    <t xml:space="preserve">DISEASE: Thrombocytopenia 2 (THC2) [MIM:188000]: Thrombocytopenia is defined by a decrease in the number of platelets in circulating blood, resulting in the potential for increased bleeding and decreased ability for clotting. {ECO:0000269|PubMed:12890928}. Note=The disease is caused by mutations affecting the gene represented in this entry.; </t>
  </si>
  <si>
    <t xml:space="preserve">99.64</t>
  </si>
  <si>
    <t xml:space="preserve">193</t>
  </si>
  <si>
    <t xml:space="preserve">168,25</t>
  </si>
  <si>
    <t xml:space="preserve">3</t>
  </si>
  <si>
    <t xml:space="preserve">0.983612745475666</t>
  </si>
  <si>
    <t xml:space="preserve">zinc finger E-box binding homeobox 1</t>
  </si>
  <si>
    <t xml:space="preserve">FUNCTION: Acts as a transcriptional repressor. Inhibits interleukin-2 (IL-2) gene expression. Enhances or represses the promoter activity of the ATP1A1 gene depending on the quantity of cDNA and on the cell type. Represses E-cadherin promoter and induces an epithelial-mesenchymal transition (EMT) by recruiting SMARCA4/BRG1. Represses BCL6 transcription in the presence of the corepressor CTBP1. Positively regulates neuronal differentiation. Represses RCOR1 transcription activation during neurogenesis. Represses transcription by binding to the E box (5'-CANNTG-3'). Promotes tumorigenicity by repressing stemness-inhibiting microRNAs. {ECO:0000269|PubMed:19935649, ECO:0000269|PubMed:20175752, ECO:0000269|PubMed:20418909}.; </t>
  </si>
  <si>
    <t xml:space="preserve">DISEASE: Corneal dystrophy, Fuchs endothelial, 6 (FECD6) [MIM:613270]: A corneal disease caused by loss of endothelium of the central cornea. It is characterized by focal wart-like guttata that arise from Descemet membrane and develop in the central cornea, epithelial blisters, reduced vision and pain. Descemet membrane is thickened by abnormal collagenous deposition. {ECO:0000269|PubMed:20036349, ECO:0000269|PubMed:23599324}. Note=The disease is caused by mutations affecting the gene represented in this entry.; </t>
  </si>
  <si>
    <t xml:space="preserve">1466.64</t>
  </si>
  <si>
    <t xml:space="preserve">276</t>
  </si>
  <si>
    <t xml:space="preserve">224,52</t>
  </si>
  <si>
    <t xml:space="preserve">1471.64</t>
  </si>
  <si>
    <t xml:space="preserve">271</t>
  </si>
  <si>
    <t xml:space="preserve">220,51</t>
  </si>
  <si>
    <t xml:space="preserve">33.60</t>
  </si>
  <si>
    <t xml:space="preserve">71</t>
  </si>
  <si>
    <t xml:space="preserve">62,9</t>
  </si>
  <si>
    <t xml:space="preserve">0.999743687068331</t>
  </si>
  <si>
    <t xml:space="preserve">protein kinase, cGMP-dependent, type I</t>
  </si>
  <si>
    <t xml:space="preserve">FUNCTION: Serine/threonine protein kinase that acts as key mediator of the nitric oxide (NO)/cGMP signaling pathway. GMP binding activates PRKG1, which phosphorylates serines and threonines on many cellular proteins. Numerous protein targets for PRKG1 phosphorylation are implicated in modulating cellular calcium, but the contribution of each of these targets may vary substantially among cell types. Proteins that are phosphorylated by PRKG1 regulate platelet activation and adhesion, smooth muscle contraction, cardiac function, gene expression, feedback of the NO-signaling pathway, and other processes involved in several aspects of the CNS like axon guidance, hippocampal and cerebellar learning, circadian rhythm and nociception. Smooth muscle relaxation is mediated through lowering of intracellular free calcium, by desensitization of contractile proteins to calcium, and by decrease in the contractile state of smooth muscle or in platelet activation. Regulates intracellular calcium levels via several pathways: phosphorylates MRVI1/IRAG and inhibits IP3- induced Ca(2+) release from intracellular stores, phosphorylation of KCNMA1 (BKCa) channels decreases intracellular Ca(2+) levels, which leads to increased opening of this channel. PRKG1 phosphorylates the canonical transient receptor potential channel (TRPC) family which inactivates the associated inward calcium current. Another mode of action of NO/cGMP/PKGI signaling involves PKGI-mediated inactivation of the Ras homolog gene family member A (RhoA). Phosphorylation of RHOA by PRKG1 blocks the action of this protein in myriad processes: regulation of RHOA translocation; decreasing contraction; controlling vesicle trafficking, reduction of myosin light chain phosphorylation resulting in vasorelaxation. Activation of PRKG1 by NO signaling alters also gene expression in a number of tissues. In smooth muscle cells, increased cGMP and PRKG1 activity influence expression of smooth muscle-specific contractile proteins, levels of proteins in the NO/cGMP signaling pathway, down-regulation of the matrix proteins osteopontin and thrombospondin-1 to limit smooth muscle cell migration and phenotype. Regulates vasodilator-stimulated phosphoprotein (VASP) functions in platelets and smooth muscle. {ECO:0000269|PubMed:10567269, ECO:0000269|PubMed:11162591, ECO:0000269|PubMed:11723116, ECO:0000269|PubMed:12082086, ECO:0000269|PubMed:14608379, ECO:0000269|PubMed:15194681, ECO:0000269|PubMed:16990611, ECO:0000269|PubMed:8182057}.; </t>
  </si>
  <si>
    <t xml:space="preserve">DISEASE: Aortic aneurysm, familial thoracic 8 (AAT8) [MIM:615436]: A disease characterized by permanent dilation of the thoracic aorta usually due to degenerative changes in the aortic wall. It is primarily associated with a characteristic histologic appearance known as 'medial necrosis' or 'Erdheim cystic medial necrosis' in which there is degeneration and fragmentation of elastic fibers, loss of smooth muscle cells, and an accumulation of basophilic ground substance. {ECO:0000269|PubMed:23910461}. Note=The disease is caused by mutations affecting the gene represented in this entry.; </t>
  </si>
  <si>
    <t xml:space="preserve">271.64</t>
  </si>
  <si>
    <t xml:space="preserve">34</t>
  </si>
  <si>
    <t xml:space="preserve">22,12</t>
  </si>
  <si>
    <t xml:space="preserve">0.210337990089114</t>
  </si>
  <si>
    <t xml:space="preserve">neuregulin 3</t>
  </si>
  <si>
    <t xml:space="preserve">FUNCTION: Direct ligand for the ERBB4 tyrosine kinase receptor. Binding results in ligand-stimulated tyrosine phosphorylation and activation of the receptor. Does not bind to the EGF receptor, ERBB2 or ERBB3 receptors. May be a survival factor for oligodendrocytes. {ECO:0000269|PubMed:16478787, ECO:0000269|PubMed:9275162}.; </t>
  </si>
  <si>
    <t xml:space="preserve">1668.64</t>
  </si>
  <si>
    <t xml:space="preserve">117</t>
  </si>
  <si>
    <t xml:space="preserve">45,72</t>
  </si>
  <si>
    <t xml:space="preserve">0.768624359128999</t>
  </si>
  <si>
    <t xml:space="preserve">bone morphogenetic protein receptor type 1A</t>
  </si>
  <si>
    <t xml:space="preserve">FUNCTION: On ligand binding, forms a receptor complex consisting of two type II and two type I transmembrane serine/threonine kinases. Type II receptors phosphorylate and activate type I receptors which autophosphorylate, then bind and activate SMAD transcriptional regulators. Receptor for BMP2 and BMP4. Positively regulates chondrocyte differentiation through GDF5 interaction (By similarity). {ECO:0000250|UniProtKB:P36895}.; </t>
  </si>
  <si>
    <t xml:space="preserve">DISEASE: Polyposis syndrome, mixed hereditary 2 (HMPS2) [MIM:610069]: A disease is characterized by atypical juvenile polyps, colonic adenomas, and colorectal carcinomas. Note=The disease is caused by mutations affecting the gene represented in this entry.; DISEASE: Note=A microdeletion of chromosome 10q23 involving BMPR1A and PTEN is a cause of chromosome 10q23 deletion syndrome, which shows overlapping features of the following three disorders: Bannayan-Zonana syndrome, Cowden disease and juvenile polyposis syndrome. {ECO:0000269|PubMed:11381269, ECO:0000269|PubMed:16525031}.; </t>
  </si>
  <si>
    <t xml:space="preserve">121.64</t>
  </si>
  <si>
    <t xml:space="preserve">6,4</t>
  </si>
  <si>
    <t xml:space="preserve">PLCE1 antisense RNA 1</t>
  </si>
  <si>
    <t xml:space="preserve">1664.60</t>
  </si>
  <si>
    <t xml:space="preserve">210</t>
  </si>
  <si>
    <t xml:space="preserve">161,49</t>
  </si>
  <si>
    <t xml:space="preserve">CTBP2:NM_001363508:exon3:c.463delC:p.L155Sfs*12,CTBP2:NM_022802:exon3:c.1879delC:p.L627Sfs*12,CTBP2:NM_001321013:exon4:c.259delC:p.L87Sfs*12,CTBP2:NM_001083914:exon5:c.259delC:p.L87Sfs*12,CTBP2:NM_001290214:exon5:c.259delC:p.L87Sfs*12,CTBP2:NM_001290215:exon5:c.259delC:p.L87Sfs*12,CTBP2:NM_001321012:exon5:c.259delC:p.L87Sfs*12,CTBP2:NM_001321014:exon5:c.259delC:p.L87Sfs*12,CTBP2:NM_001329:exon5:c.259delC:p.L87Sfs*12;CTBP2:uc001lid.4:exon3:c.463delC:p.L155Sfs*12,CTBP2:uc001lie.4:exon3:c.1879delC:p.L627Sfs*12,CTBP2:uc001lif.4:exon5:c.259delC:p.L87Sfs*12,CTBP2:uc001lih.4:exon5:c.259delC:p.L87Sfs*12,CTBP2:uc009yak.3:exon5:c.259delC:p.L87Sfs*12,CTBP2:uc009yal.3:exon5:c.259delC:p.L87Sfs*12;ENSG00000175029:ENST00000309035:exon3:c.1879delC:p.L627Sfs*12,ENSG00000175029:ENST00000334808:exon3:c.463delC:p.L155Sfs*12,ENSG00000175029:ENST00000337195:exon5:c.259delC:p.L87Sfs*12,ENSG00000175029:ENST00000411419:exon5:c.259delC:p.L87Sfs*12,ENSG00000175029:ENST00000494626:exon5:c.259delC:p.L87Sfs*12,ENSG00000175029:ENST00000531469:exon5:c.259delC:p.L87Sfs*12</t>
  </si>
  <si>
    <t xml:space="preserve">233.60</t>
  </si>
  <si>
    <t xml:space="preserve">98,18</t>
  </si>
  <si>
    <t xml:space="preserve">CTBP2:NM_001363508:exon2:c.373delG:p.V125Wfs*17,CTBP2:NM_022802:exon2:c.1789delG:p.V597Wfs*17,CTBP2:NM_001321013:exon3:c.169delG:p.V57Wfs*17,CTBP2:NM_001083914:exon4:c.169delG:p.V57Wfs*17,CTBP2:NM_001290214:exon4:c.169delG:p.V57Wfs*17,CTBP2:NM_001290215:exon4:c.169delG:p.V57Wfs*17,CTBP2:NM_001321012:exon4:c.169delG:p.V57Wfs*17,CTBP2:NM_001321014:exon4:c.169delG:p.V57Wfs*17,CTBP2:NM_001329:exon4:c.169delG:p.V57Wfs*17;CTBP2:uc001lid.4:exon2:c.373delG:p.V125Wfs*17,CTBP2:uc001lie.4:exon2:c.1789delG:p.V597Wfs*17,CTBP2:uc001lif.4:exon4:c.169delG:p.V57Wfs*17,CTBP2:uc001lih.4:exon4:c.169delG:p.V57Wfs*17,CTBP2:uc009yak.3:exon4:c.169delG:p.V57Wfs*17,CTBP2:uc009yal.3:exon4:c.169delG:p.V57Wfs*17;ENSG00000175029:ENST00000309035:exon2:c.1789delG:p.V597Wfs*17,ENSG00000175029:ENST00000334808:exon2:c.373delG:p.V125Wfs*17,ENSG00000175029:ENST00000337195:exon4:c.169delG:p.V57Wfs*17,ENSG00000175029:ENST00000411419:exon4:c.169delG:p.V57Wfs*17,ENSG00000175029:ENST00000494626:exon4:c.169delG:p.V57Wfs*17,ENSG00000175029:ENST00000531469:exon4:c.169delG:p.V57Wfs*17</t>
  </si>
  <si>
    <t xml:space="preserve">1849.60</t>
  </si>
  <si>
    <t xml:space="preserve">277</t>
  </si>
  <si>
    <t xml:space="preserve">204,73</t>
  </si>
  <si>
    <t xml:space="preserve">CTBP2:NM_001321013:exon2:c.9delT:p.V4Wfs*23,CTBP2:NM_001083914:exon3:c.9delT:p.V4Wfs*23,CTBP2:NM_001290214:exon3:c.9delT:p.V4Wfs*23,CTBP2:NM_001290215:exon3:c.9delT:p.V4Wfs*23,CTBP2:NM_001321012:exon3:c.9delT:p.V4Wfs*23,CTBP2:NM_001321014:exon3:c.9delT:p.V4Wfs*23,CTBP2:NM_001329:exon3:c.9delT:p.V4Wfs*23;CTBP2:uc001lif.4:exon3:c.9delT:p.V4Wfs*23,CTBP2:uc001lih.4:exon3:c.9delT:p.V4Wfs*23,CTBP2:uc009yak.3:exon3:c.9delT:p.V4Wfs*23,CTBP2:uc009yal.3:exon3:c.9delT:p.V4Wfs*23;ENSG00000175029:ENST00000337195:exon3:c.9delT:p.V4Wfs*23,ENSG00000175029:ENST00000411419:exon3:c.9delT:p.V4Wfs*23,ENSG00000175029:ENST00000494626:exon3:c.9delT:p.V4Wfs*23,ENSG00000175029:ENST00000531469:exon3:c.9delT:p.V4Wfs*23,ENSG00000175029:ENST00000530884:exon4:c.9delT:p.L3del</t>
  </si>
  <si>
    <t xml:space="preserve">98.60</t>
  </si>
  <si>
    <t xml:space="preserve">159</t>
  </si>
  <si>
    <t xml:space="preserve">146,13</t>
  </si>
  <si>
    <t xml:space="preserve">MUC2:NM_002457:exon21:c.2735_2736insA:p.V914Rfs*29;MUC2:uc001lsx.1:exon21:c.2735_2736insA:p.V914Rfs*29;ENSG00000198788:ENST00000359061:exon21:c.2735_2736insA:p.V914Rfs*29,ENSG00000198788:ENST00000441003:exon21:c.2735_2736insA:p.V914Rfs*29</t>
  </si>
  <si>
    <t xml:space="preserve">4.54632231934197e-05</t>
  </si>
  <si>
    <t xml:space="preserve">mucin 2, oligomeric mucus/gel-forming</t>
  </si>
  <si>
    <t xml:space="preserve">FUNCTION: Coats the epithelia of the intestines, airways, and other mucus membrane-containing organs. Thought to provide a protective, lubricating barrier against particles and infectious agents at mucosal surfaces. Major constituent of both the inner and outer mucus layers of the colon and may play a role in excluding bacteria from the inner mucus layer. {ECO:0000269|PubMed:19432394}.; </t>
  </si>
  <si>
    <t xml:space="preserve">129.60</t>
  </si>
  <si>
    <t xml:space="preserve">161</t>
  </si>
  <si>
    <t xml:space="preserve">147,14</t>
  </si>
  <si>
    <t xml:space="preserve">MUC2:NM_002457:exon21:c.2738_2739insA:p.V914Rfs*29;MUC2:uc001lsx.1:exon21:c.2738_2739insA:p.V914Rfs*29;ENSG00000198788:ENST00000359061:exon21:c.2738_2739insA:p.V914Rfs*29,ENSG00000198788:ENST00000441003:exon21:c.2738_2739insA:p.V914Rfs*29</t>
  </si>
  <si>
    <t xml:space="preserve">GT</t>
  </si>
  <si>
    <t xml:space="preserve">124.60</t>
  </si>
  <si>
    <t xml:space="preserve">163</t>
  </si>
  <si>
    <t xml:space="preserve">149,14</t>
  </si>
  <si>
    <t xml:space="preserve">MUC2:NM_002457:exon21:c.2740_2741del:p.V914Hfs*28;MUC2:uc001lsx.1:exon21:c.2740_2741del:p.V914Hfs*28;ENSG00000198788:ENST00000359061:exon21:c.2740_2741del:p.V914Hfs*28,ENSG00000198788:ENST00000441003:exon21:c.2740_2741del:p.V914Hfs*28</t>
  </si>
  <si>
    <t xml:space="preserve">221.64</t>
  </si>
  <si>
    <t xml:space="preserve">12</t>
  </si>
  <si>
    <t xml:space="preserve">5,7</t>
  </si>
  <si>
    <t xml:space="preserve">NM_001256824:exon5:c.239-2A&gt;G;NM_001242841:exon5:c.239-2A&gt;G;NM_001130520:exon4:c.227-2A&gt;G;NM_001130519:exon4:c.227-2A&gt;G;uc001lxt.3:exon4:c.227-2A&gt;G;uc031pye.1:exon5:c.239-2A&gt;G;uc031pyg.1:exon6:UTR5;uc001lxv.3:exon4:c.227-2A&gt;G;uc010qxr.2:exon5:c.239-2A&gt;G;ENST00000399602:exon4:c.227-2A&gt;G;ENST00000005082:exon4:c.227-2A&gt;G;ENST00000526601:exon5:c.239-2A&gt;G;ENST00000528218:exon6:c.296-2A&gt;G;ENST00000528218:exon6:UTR3;ENST00000525313:exon4:c.259-2A&gt;G;ENST00000525313:exon4:UTR3;ENST00000533036:exon5:c.284-2A&gt;G;ENST00000529228:exon3:c.196-2A&gt;G;ENST00000529228:exon3:UTR3;ENST00000534569:exon6:c.239-2A&gt;G</t>
  </si>
  <si>
    <t xml:space="preserve">0/2</t>
  </si>
  <si>
    <t xml:space="preserve">0/6</t>
  </si>
  <si>
    <t xml:space="preserve">0.731668924641439</t>
  </si>
  <si>
    <t xml:space="preserve">zinc finger protein 195</t>
  </si>
  <si>
    <t xml:space="preserve">FUNCTION: May be involved in transcriptional regulation.; </t>
  </si>
  <si>
    <t xml:space="preserve">72.64</t>
  </si>
  <si>
    <t xml:space="preserve">57,6</t>
  </si>
  <si>
    <t xml:space="preserve">3.93872340599153e-15</t>
  </si>
  <si>
    <t xml:space="preserve">ATP binding cassette subfamily C member 8</t>
  </si>
  <si>
    <t xml:space="preserve">FUNCTION: Subunit of the beta-cell ATP-sensitive potassium channel (KATP). Regulator of ATP-sensitive K(+) channels and insulin release. {ECO:0000269|PubMed:24814349, ECO:0000269|PubMed:25720052}.; </t>
  </si>
  <si>
    <t xml:space="preserve">DISEASE: Leucine-induced hypoglycemia (LIH) [MIM:240800]: Rare cause of hypoglycemia and is described as a condition in which symptomatic hypoglycemia is provoked by high protein feedings. Hypoglycemia is also elicited by administration of oral or intravenous infusions of a single amino acid, leucine. {ECO:0000269|PubMed:15356046}. Note=The disease is caused by mutations affecting the gene represented in this entry.; DISEASE: Familial hyperinsulinemic hypoglycemia 1 (HHF1) [MIM:256450]: Most common cause of persistent hypoglycemia in infancy. Unless early and aggressive intervention is undertaken, brain damage from recurrent episodes of hypoglycemia may occur. {ECO:0000269|PubMed:10202168, ECO:0000269|PubMed:10334322, ECO:0000269|PubMed:12364426, ECO:0000269|PubMed:12941782, ECO:0000269|PubMed:15562009, ECO:0000269|PubMed:15579781, ECO:0000269|PubMed:15807877, ECO:0000269|PubMed:16357843, ECO:0000269|PubMed:16429405, ECO:0000269|PubMed:24814349, ECO:0000269|PubMed:25720052, ECO:0000269|PubMed:8751851, ECO:0000269|PubMed:8923011, ECO:0000269|PubMed:9618169, ECO:0000269|PubMed:9769320}. Note=The disease is caused by mutations affecting the gene represented in this entry.; DISEASE: Diabetes mellitus, permanent neonatal (PNDM) [MIM:606176]: A rare form of diabetes distinct from childhood- onset autoimmune diabetes mellitus type 1. It is characterized by insulin-requiring hyperglycemia that is diagnosed within the first months of life. Permanent neonatal diabetes requires lifelong therapy. {ECO:0000269|PubMed:16613899, ECO:0000269|PubMed:16885549, ECO:0000269|PubMed:17213273, ECO:0000269|PubMed:17668386}. Note=The disease is caused by mutations affecting the gene represented in this entry.; DISEASE: Transient neonatal diabetes mellitus 2 (TNDM2) [MIM:610374]: Neonatal diabetes is a form of diabetes mellitus defined by the onset of mild-to-severe hyperglycemia within the first months of life. Transient neonatal diabetes remits early, with a possible relapse during adolescence. {ECO:0000269|PubMed:16885549}. Note=The disease is caused by mutations affecting the gene represented in this entry.; </t>
  </si>
  <si>
    <t xml:space="preserve">75.64</t>
  </si>
  <si>
    <t xml:space="preserve">56,6</t>
  </si>
  <si>
    <t xml:space="preserve">591.64</t>
  </si>
  <si>
    <t xml:space="preserve">45</t>
  </si>
  <si>
    <t xml:space="preserve">23,22</t>
  </si>
  <si>
    <t xml:space="preserve">1.09267674829095e-07</t>
  </si>
  <si>
    <t xml:space="preserve">UEV and lactate/malate dehyrogenase domains</t>
  </si>
  <si>
    <t xml:space="preserve">FUNCTION: Possible negative regulator of polyubiquitination. {ECO:0000269|PubMed:12427560}.; </t>
  </si>
  <si>
    <t xml:space="preserve">799.64</t>
  </si>
  <si>
    <t xml:space="preserve">64</t>
  </si>
  <si>
    <t xml:space="preserve">31,33</t>
  </si>
  <si>
    <t xml:space="preserve">0.998142633966722</t>
  </si>
  <si>
    <t xml:space="preserve">diacylglycerol kinase zeta</t>
  </si>
  <si>
    <t xml:space="preserve">FUNCTION: Displays a strong preference for 1,2-diacylglycerols over 1,3-diacylglycerols, but lacks substrate specificity among molecular species of long chain diacylglycerols. Isoform 2 but not isoform 1 regulates RASGRP1 activity. {ECO:0000269|PubMed:11257115}.; </t>
  </si>
  <si>
    <t xml:space="preserve">227.02</t>
  </si>
  <si>
    <t xml:space="preserve">16</t>
  </si>
  <si>
    <t xml:space="preserve">3,8,5</t>
  </si>
  <si>
    <t xml:space="preserve">MDK:uc009ykz.1:exon4:c.450delC:p.R155Afs*9;ENSG00000110492:ENST00000489525:exon4:c.450delC:p.R155Afs*9</t>
  </si>
  <si>
    <t xml:space="preserve">0.0224327842650619</t>
  </si>
  <si>
    <t xml:space="preserve">midkine (neurite growth-promoting factor 2)</t>
  </si>
  <si>
    <t xml:space="preserve">FUNCTION: Developmentally regulated, secreted growth factor homologous to pleiotrophin (PTN), which has heparin binding activity. Binds anaplastic lymphoma kinase (ALK) which induces ALK activation and subsequent phosphorylation of the insulin receptor substrate (IRS1), followed by the activation of mitogen-activated protein kinase (MAPK) and PI3-kinase, and the induction of cell proliferation. Involved in neointima formation after arterial injury, possibly by mediating leukocyte recruitment. Also involved in early fetal adrenal gland development (By similarity). {ECO:0000250, ECO:0000269|PubMed:12122009, ECO:0000269|PubMed:1768439}.; </t>
  </si>
  <si>
    <t xml:space="preserve">GenotypeConflict</t>
  </si>
  <si>
    <t xml:space="preserve">1180.64</t>
  </si>
  <si>
    <t xml:space="preserve">102</t>
  </si>
  <si>
    <t xml:space="preserve">55,47</t>
  </si>
  <si>
    <t xml:space="preserve">0.856185983167695</t>
  </si>
  <si>
    <t xml:space="preserve">nuclear receptor subfamily 1 group H member 3</t>
  </si>
  <si>
    <t xml:space="preserve">FUNCTION: Nuclear receptor. Interaction with RXR shifts RXR from its role as a silent DNA-binding partner to an active ligand- binding subunit in mediating retinoid responses through target genes defined by LXRES. LXRES are DR4-type response elements characterized by direct repeats of two similar hexanuclotide half- sites spaced by four nucleotides. Plays an important role in the regulation of cholesterol homeostasis, regulating cholesterol uptake through MYLIP-dependent ubiquitination of LDLR, VLDLR and LRP8. Interplays functionally with RORA for the regulation of genes involved in liver metabolism (By similarity). Exhibits a ligand-dependent transcriptional activation activity (PubMed:25661920). {ECO:0000250|UniProtKB:Q9Z0Y9, ECO:0000269|PubMed:25661920}.; </t>
  </si>
  <si>
    <t xml:space="preserve">AGGT</t>
  </si>
  <si>
    <t xml:space="preserve">2503.60</t>
  </si>
  <si>
    <t xml:space="preserve">134</t>
  </si>
  <si>
    <t xml:space="preserve">67,67</t>
  </si>
  <si>
    <t xml:space="preserve">MADD:NM_001135943:exon30:c.4412_4413del:p.Q1471Rfs*9,MADD:NM_001135944:exon30:c.4403_4404del:p.Q1468Rfs*9,MADD:NM_130470:exon30:c.4544_4545del:p.Q1515Rfs*9,MADD:NM_130472:exon30:c.4415_4416del:p.Q1472Rfs*9,MADD:NM_130474:exon30:c.4415_4416del:p.Q1472Lfs*51,MADD:NM_130476:exon30:c.4541_4542del:p.Q1514Rfs*9,MADD:NM_130471:exon31:c.4475_4476del:p.Q1492Rfs*9,MADD:NM_130473:exon31:c.4604_4605del:p.Q1535Rfs*9,MADD:NM_003682:exon33:c.4721_4722del:p.Q1574Rfs*9,MADD:NM_130475:exon33:c.4721_4722del:p.Q1574Lfs*51;MADD:uc009ylo.3:exon14:c.1463_1466del:p.G490Rfs*13,MADD:uc001neq.2:exon30:c.4544_4545del:p.Q1515Rfs*9,MADD:uc001neu.1:exon30:c.4415_4416del:p.Q1472Rfs*9,MADD:uc001nev.1:exon30:c.4415_4416del:p.Q1472Lfs*51,MADD:uc001new.2:exon30:c.4541_4542del:p.Q1514Rfs*9,MADD:uc001nez.2:exon30:c.4412_4413del:p.Q1471Rfs*9,MADD:uc009yln.1:exon30:c.4403_4404del:p.Q1468Rfs*9,MADD:uc001nes.1:exon31:c.4475_4476del:p.Q1492Rfs*9,MADD:uc001net.1:exon31:c.4604_4605del:p.Q1535Rfs*9,MADD:uc001ner.1:exon33:c.4721_4722del:p.Q1574Rfs*9,MADD:uc001nex.2:exon33:c.4721_4722del:p.Q1574Lfs*51;ENSG00000110514:ENST00000405573:exon13:c.1151_1154del:p.G386Rfs*13,ENSG00000110514:ENST00000342922:exon30:c.4544_4545del:p.Q1515Rfs*9,ENSG00000110514:ENST00000395344:exon30:c.4403_4404del:p.Q1468Rfs*9,ENSG00000110514:ENST00000402192:exon30:c.4541_4542del:p.Q1514Rfs*9,ENSG00000110514:ENST00000402799:exon30:c.4415_4416del:p.Q1472Rfs*9,ENSG00000110514:ENST00000406482:exon30:c.4415_4416del:p.Q1472Lfs*51,ENSG00000110514:ENST00000349238:exon31:c.4604_4605del:p.Q1535Rfs*9,ENSG00000110514:ENST00000407859:exon31:c.4475_4476del:p.Q1492Rfs*9,ENSG00000110514:ENST00000311027:exon33:c.4721_4722del:p.Q1574Rfs*9,ENSG00000110514:ENST00000395336:exon33:c.4721_4722del:p.Q1574Lfs*51</t>
  </si>
  <si>
    <t xml:space="preserve">0.000901823421065546</t>
  </si>
  <si>
    <t xml:space="preserve">MAP kinase activating death domain</t>
  </si>
  <si>
    <t xml:space="preserve">FUNCTION: Plays a significant role in regulating cell proliferation, survival and death through alternative mRNA splicing. Isoform 5 shows increased cell proliferation and isoform 2 shows decreased. Converts GDP-bound inactive form of RAB3A, RAB3C and RAB3D to the GTP-bound active forms. Component of the TNFRSF1A signaling complex: MADD links TNFRSF1A with MAP kinase activation. Plays an important regulatory role in physiological cell death (TNF-alpha-induced, caspase-mediated apoptosis); isoform 1 is susceptible to inducing apoptosis, isoform 5 is resistant and isoform 3 and isoform 4 have no effect. {ECO:0000269|PubMed:11577081, ECO:0000269|PubMed:14716293, ECO:0000269|PubMed:14735464, ECO:0000269|PubMed:15007167, ECO:0000269|PubMed:20937701, ECO:0000269|PubMed:9115275}.; </t>
  </si>
  <si>
    <t xml:space="preserve">CGC</t>
  </si>
  <si>
    <t xml:space="preserve">46.60</t>
  </si>
  <si>
    <t xml:space="preserve">42</t>
  </si>
  <si>
    <t xml:space="preserve">38,4</t>
  </si>
  <si>
    <t xml:space="preserve">NM_152264:c.-1453_-1451del-;NM_001330245:c.-1453_-1451del-;NM_001128225:c.-1453_-1451del-;uc009ylq.3:c.-1453_-1451del-;uc001nff.4:c.-1453_-1451del-</t>
  </si>
  <si>
    <t xml:space="preserve">0.0118520311660311</t>
  </si>
  <si>
    <t xml:space="preserve">solute carrier family 39 member 13</t>
  </si>
  <si>
    <t xml:space="preserve">FUNCTION: Acts as a zinc-influx transporter. {ECO:0000269|PubMed:21917916}.; </t>
  </si>
  <si>
    <t xml:space="preserve">DISEASE: Ehlers-Danlos syndrome-like spondylocheirodysplasia (SCD- EDS) [MIM:612350]: Spondylocheiro dysplastic form of Ehlers-Danlos syndrome. The syndrome consists of a generalized skeletal dysplasia involving mainly the spine (spondylo) and striking clinical abnormalities of the hands (cheiro) in addition to the EDS-like features. Clinical features included postnatal growth retardation, moderate short stature, protuberant eyes with bluish sclerae, hands with finely wrinkled palms, atrophy of the thenar muscles, and tapering fingers. Patients have thin, hyperelastic skin and hypermobile small joints consistent with an Ehlers- Danlos-like phenotype. Radiologic features included mild to moderate platyspondyly, mild to moderate osteopenia of the spine, small ileum, flat proximal femoral epiphyses, short, wide femoral necks, and broad metaphyses (elbows, knees, wrists, and interphalangeal joints). {ECO:0000269|PubMed:18513683}. Note=The disease is caused by mutations affecting the gene represented in this entry.; </t>
  </si>
  <si>
    <t xml:space="preserve">560.64</t>
  </si>
  <si>
    <t xml:space="preserve">53</t>
  </si>
  <si>
    <t xml:space="preserve">30,23</t>
  </si>
  <si>
    <t xml:space="preserve">0.0141745022672731</t>
  </si>
  <si>
    <t xml:space="preserve">NADH:ubiquinone oxidoreductase core subunit S8</t>
  </si>
  <si>
    <t xml:space="preserve">FUNCTION: Core subunit of the mitochondrial membrane respiratory chain NADH dehydrogenase (Complex I) that is believed to belong to the minimal assembly required for catalysis. Complex I functions in the transfer of electrons from NADH to the respiratory chain. The immediate electron acceptor for the enzyme is believed to be ubiquinone (By similarity). May donate electrons to ubiquinone. {ECO:0000250}.; </t>
  </si>
  <si>
    <t xml:space="preserve">DISEASE: Leigh syndrome (LS) [MIM:256000]: An early-onset progressive neurodegenerative disorder characterized by the presence of focal, bilateral lesions in one or more areas of the central nervous system including the brainstem, thalamus, basal ganglia, cerebellum and spinal cord. Clinical features depend on which areas of the central nervous system are involved and include subacute onset of psychomotor retardation, hypotonia, ataxia, weakness, vision loss, eye movement abnormalities, seizures, and dysphagia. {ECO:0000269|PubMed:9837812}. Note=The disease is caused by mutations affecting the gene represented in this entry.; </t>
  </si>
  <si>
    <t xml:space="preserve">225.64</t>
  </si>
  <si>
    <t xml:space="preserve">21</t>
  </si>
  <si>
    <t xml:space="preserve">12,9</t>
  </si>
  <si>
    <t xml:space="preserve">0.390476072570689</t>
  </si>
  <si>
    <t xml:space="preserve">phosphoglucomutase 2-like 1</t>
  </si>
  <si>
    <t xml:space="preserve">FUNCTION: Glucose 1,6-bisphosphate synthase using 1,3- bisphosphoglycerate as a phosphate donor and a series of 1- phosphate sugars as acceptors, including glucose 1-phosphate, mannose 1-phosphate, ribose 1-phosphate and deoxyribose 1- phosphate. 5 or 6-phosphosugars are bad substrates, with the exception of glucose 6-phosphate. Also synthesizes ribose 1,5- bisphosphate. Has only low phosphopentomutase and phosphoglucomutase activities. {ECO:0000269|PubMed:17804405, ECO:0000269|PubMed:18927083}.; </t>
  </si>
  <si>
    <t xml:space="preserve">30.60</t>
  </si>
  <si>
    <t xml:space="preserve">81</t>
  </si>
  <si>
    <t xml:space="preserve">71,10</t>
  </si>
  <si>
    <t xml:space="preserve">NM_003369:exon8:c.700-1-&gt;A;uc001oxc.3:exon8:c.700-1-&gt;A;uc010rrw.2:exon8:c.397-1-&gt;A;uc001oxd.3:exon2:UTR5;ENST00000356136:exon8:c.700-1-&gt;A;ENST00000528420:exon8:c.397-1-&gt;A;ENST00000533454:exon3:UTR5;ENST00000531818:exon2:UTR5;ENST00000532130:exon2:UTR5</t>
  </si>
  <si>
    <t xml:space="preserve">0.858602500357733</t>
  </si>
  <si>
    <t xml:space="preserve">UV radiation resistance associated</t>
  </si>
  <si>
    <t xml:space="preserve">FUNCTION: Versatile protein that is involved in regulation of differenent cellular pathways implicated in membrane trafficking. Involved in regulation of the COPI-dependent retrograde transport from Golgi and the endoplasmic reticulum by associating with the NRZ complex; the function is dependent on its binding to phosphatidylinositol 3-phosphate (PtdIns(3)P) (PubMed:24056303). During autophagy acts as regulatory subunit of the alternative PI3K complex II (PI3KC3-C2) that mediates formation of phosphatidylinositol 3-phosphate and is believed to be involved in maturation of autophagosomes and endocytosis. Activates lipid kinase activity of PIK3C3. Involved in the regulation of degradative endocytic trafficking and cytokinesis, and in regulation of ATG9A transport from the Golgi to the autophagosome; the functions seems to implicate its association with PI3KC3-C2 (PubMed:16799551, PubMed:20643123, PubMed:24056303). Involved in maturation of autophagosomes and degradative endocytic trafficking independently of BECN1 but depending on its association with a class C Vps complex (possibly the HOPS complex); the association is also proposed to promote autophagosome recruitment and activation of Rab7 and endosome-endosome fusion events (PubMed:18552835). Enhances class C Vps complex (possibly HOPS complex) association with a SNARE complex and promotes fusogenic SNARE complex formation during late endocytic membrane fusion (PubMed:24550300). In case of negative-strand RNA virus infection is required for efficient virus entry, promotes endocytic transport of virions and is implicated in a VAMP8-specific fusogenic SNARE complex assembly (PubMed:24550300). {ECO:0000269|PubMed:18552835, ECO:0000269|PubMed:20643123, ECO:0000269|PubMed:24056303, ECO:0000305}.; </t>
  </si>
  <si>
    <t xml:space="preserve">DISEASE: Note=A chromosomal aberration involving UVRAG has been observed in a patient with heterotaxy (left-right axis malformation). Inversion Inv(11)(q13.5;q25). {ECO:0000269|PubMed:10798355}.; </t>
  </si>
  <si>
    <t xml:space="preserve">64.60</t>
  </si>
  <si>
    <t xml:space="preserve">87,13</t>
  </si>
  <si>
    <t xml:space="preserve">exonic;ncRNA_intronic</t>
  </si>
  <si>
    <t xml:space="preserve">ENSG00000149294:ENST00000524665:exon1:c.120delG:p.H44Tfs*128</t>
  </si>
  <si>
    <t xml:space="preserve">304.64</t>
  </si>
  <si>
    <t xml:space="preserve">285</t>
  </si>
  <si>
    <t xml:space="preserve">259,26</t>
  </si>
  <si>
    <t xml:space="preserve">UTR3;exonic;splicing</t>
  </si>
  <si>
    <t xml:space="preserve">NM_001002905:exon2:c.862-1C&gt;T;OR8G5:NM_001005198:exon1:c.C966T:p.P322P;uc031qep.1:c.*967C&gt;T;ENSG00000255298:ENST00000524943:exon1:c.C966T:p.P322P,ENSG00000197849:ENST00000341493:exon3:c.C861T:p.P287P</t>
  </si>
  <si>
    <t xml:space="preserve">0.285950158784041;0.652742658849299</t>
  </si>
  <si>
    <t xml:space="preserve">olfactory receptor family 8 subfamily G member 1 (gene/pseudogene);olfactory receptor family 8 subfamily G member 5</t>
  </si>
  <si>
    <t xml:space="preserve">FUNCTION: Odorant receptor. {ECO:0000305}.; ;FUNCTION: Odorant receptor. {ECO:0000305}.; </t>
  </si>
  <si>
    <t xml:space="preserve">297.64</t>
  </si>
  <si>
    <t xml:space="preserve">4,8</t>
  </si>
  <si>
    <t xml:space="preserve">NM_001243597:c.*2349A&gt;C;NM_016952:c.*2349A&gt;C;uc001qdb.4:c.*2349A&gt;C;uc009zbw.3:c.*2349A&gt;C;uc001qdc.4:c.*2349A&gt;C</t>
  </si>
  <si>
    <t xml:space="preserve">3.04906879944482e-12</t>
  </si>
  <si>
    <t xml:space="preserve">cell adhesion associated, oncogene regulated</t>
  </si>
  <si>
    <t xml:space="preserve">FUNCTION: Component of a cell-surface receptor complex that mediates cell-cell interactions between muscle precursor cells. Promotes differentiation of myogenic cells (By similarity). {ECO:0000250}.; </t>
  </si>
  <si>
    <t xml:space="preserve">DISEASE: Holoprosencephaly 11 (HPE11) [MIM:614226]: A structural anomaly of the brain, in which the developing forebrain fails to correctly separate into right and left hemispheres. Holoprosencephaly is genetically heterogeneous and associated with several distinct facies and phenotypic variability. {ECO:0000269|PubMed:21802063}. Note=The disease is caused by mutations affecting the gene represented in this entry.; </t>
  </si>
  <si>
    <t xml:space="preserve">AGCCATA</t>
  </si>
  <si>
    <t xml:space="preserve">2020.60</t>
  </si>
  <si>
    <t xml:space="preserve">150</t>
  </si>
  <si>
    <t xml:space="preserve">94,56</t>
  </si>
  <si>
    <t xml:space="preserve">SLC15A5:NM_001170798:exon3:c.696_702del:p.M233*;SLC15A5:uc021qvs.1:exon3:c.696_702del:p.M233*;ENSG00000188991:ENST00000344941:exon3:c.696_702del:p.M233*</t>
  </si>
  <si>
    <t xml:space="preserve">solute carrier family 15 member 5</t>
  </si>
  <si>
    <t xml:space="preserve">FUNCTION: Proton oligopeptide cotransporter. {ECO:0000305}.; </t>
  </si>
  <si>
    <t xml:space="preserve">67.60</t>
  </si>
  <si>
    <t xml:space="preserve">141</t>
  </si>
  <si>
    <t xml:space="preserve">122,19</t>
  </si>
  <si>
    <t xml:space="preserve">0.000700542902364641</t>
  </si>
  <si>
    <t xml:space="preserve">ATP binding cassette subfamily C member 9</t>
  </si>
  <si>
    <t xml:space="preserve">FUNCTION: Subunit of ATP-sensitive potassium channels (KATP). Can form cardiac and smooth muscle-type KATP channels with KCNJ11. KCNJ11 forms the channel pore while ABCC9 is required for activation and regulation. {ECO:0000269|PubMed:9831708}.; </t>
  </si>
  <si>
    <t xml:space="preserve">DISEASE: Cardiomyopathy, dilated 1O (CMD1O) [MIM:608569]: A disorder characterized by ventricular dilation and impaired systolic function, resulting in congestive heart failure and arrhythmia. Patients are at risk of premature death. {ECO:0000269|PubMed:15034580}. Note=The disease is caused by mutations affecting the gene represented in this entry.; DISEASE: Atrial fibrillation, familial, 12 (ATFB12) [MIM:614050]: A familial form of atrial fibrillation, a common sustained cardiac rhythm disturbance. Atrial fibrillation is characterized by disorganized atrial electrical activity and ineffective atrial contraction promoting blood stasis in the atria and reduces ventricular filling. It can result in palpitations, syncope, thromboembolic stroke, and congestive heart failure. {ECO:0000269|PubMed:17245405}. Note=The disease is caused by mutations affecting the gene represented in this entry.; DISEASE: Hypertrichotic osteochondrodysplasia (HTOCD) [MIM:239850]: A rare disorder characterized by congenital hypertrichosis, neonatal macrosomia, a distinct osteochondrodysplasia, and cardiomegaly. The hypertrichosis leads to thick scalp hair, which extends onto the forehead, and a general increase in body hair. In addition, macrocephaly and coarse facial features, including a broad nasal bridge, epicanthal folds, a wide mouth, and full lips, can be suggestive of a storage disorder. About half of affected individuals are macrosomic and edematous at birth, whereas in childhood they usually have a muscular appearance with little subcutaneous fat. Thickened calvarium, narrow thorax, wide ribs, flattened or ovoid vertebral bodies, coxa valga, osteopenia, enlarged medullary canals, and metaphyseal widening of long bones have been reported. Cardiac manifestations such as patent ductus arteriosus, ventricular hypertrophy, pulmonary hypertension, and pericardial effusions are present in approximately 80% of cases. Motor development is usually delayed due to hypotonia. Most patients have a mild speech delay, and a small percentage have learning difficulties or intellectual disability. {ECO:0000269|PubMed:22608503, ECO:0000269|PubMed:22610116}. Note=The disease is caused by mutations affecting the gene represented in this entry.; </t>
  </si>
  <si>
    <t xml:space="preserve">AAAAAAAAAAAAAAAAAA</t>
  </si>
  <si>
    <t xml:space="preserve">0,2,4</t>
  </si>
  <si>
    <t xml:space="preserve">NM_001204101:exon13:c.1699-2-&gt;TTTTTTTTTTTTTTTTTT;NM_001204102:exon17:c.1756-2-&gt;TTTTTTTTTTTTTTTTTT;NM_001319978:exon15:c.1756-2-&gt;TTTTTTTTTTTTTTTTTT;NM_001352061:exon14:c.1756-2-&gt;TTTTTTTTTTTTTTTTTT;NM_001082973:exon15:c.1876-2-&gt;TTTTTTTTTTTTTTTTTT;NM_001352067:exon11:c.1381-2-&gt;TTTTTTTTTTTTTTTTTT;NM_001352066:exon14:c.1438-2-&gt;TTTTTTTTTTTTTTTTTT;NM_001352064:exon13:c.1558-2-&gt;TTTTTTTTTTTTTTTTTT;NM_001352065:exon14:c.1540-2-&gt;TTTTTTTTTTTTTTTTTT;NM_018272:exon16:c.1894-2-&gt;TTTTTTTTTTTTTTTTTT;NM_001352063:exon14:c.1576-2-&gt;TTTTTTTTTTTTTTTTTT;uc001rgj.3:exon17:c.1756-2-&gt;TTTTTTTTTTTTTTTTTT;uc001rgk.3:exon16:c.1894-2-&gt;TTTTTTTTTTTTTTTTTT;uc001rgl.3:exon15:c.1876-2-&gt;TTTTTTTTTTTTTTTTTT;uc010sje.2:exon13:c.1699-2-&gt;TTTTTTTTTTTTTTTTTT;ENST00000395990:exon17:c.1756-2-&gt;TTTTTTTTTTTTTTTTTT;ENST00000320267:exon15:c.1876-2-&gt;TTTTTTTTTTTTTTTTTT;ENST00000395987:exon16:c.1894-2-&gt;TTTTTTTTTTTTTTTTTT;ENST00000556006:exon11:c.1371-2-&gt;TTTTTTTTTTTTTTTTTT;ENST00000545133:exon13:c.1699-2-&gt;TTTTTTTTTTTTTTTTTT</t>
  </si>
  <si>
    <t xml:space="preserve">8.0583173448997e-12</t>
  </si>
  <si>
    <t xml:space="preserve">cancer susceptibility candidate 1</t>
  </si>
  <si>
    <t xml:space="preserve">CAAGGACAACTGGGCCATCGGCTGTG</t>
  </si>
  <si>
    <t xml:space="preserve">180.60</t>
  </si>
  <si>
    <t xml:space="preserve">401</t>
  </si>
  <si>
    <t xml:space="preserve">370,31</t>
  </si>
  <si>
    <t xml:space="preserve">frameshift insertion;unknown</t>
  </si>
  <si>
    <t xml:space="preserve">UNKNOWN;dist=64315;dist=61502;ENSG00000205592:ENST00000454784:exon49:c.8895_8896insCAAGGACAACTGGGCCATCGGCTGTG:p.V2966Qfs*10</t>
  </si>
  <si>
    <t xml:space="preserve">mucin 19, oligomeric</t>
  </si>
  <si>
    <t xml:space="preserve">FUNCTION: May function in ocular mucus homeostasis. {ECO:0000269|PubMed:18184611}.; </t>
  </si>
  <si>
    <t xml:space="preserve">308.64</t>
  </si>
  <si>
    <t xml:space="preserve">14,11</t>
  </si>
  <si>
    <t xml:space="preserve">4.52445486156544e-20</t>
  </si>
  <si>
    <t xml:space="preserve">anoctamin 6</t>
  </si>
  <si>
    <t xml:space="preserve">FUNCTION: Small-conductance calcium-activated nonselective cation (SCAN) channel which acts as a regulator of phospholipid scrambling in platelets and osteoblasts. Phospholipid scrambling results in surface exposure of phosphatidylserine which in platelets is essential to trigger the clotting system whereas in osteoblasts is essential for the deposition of hydroxyapatite during bone mineralization. Has calcium-dependent phospholipid scramblase activity; scrambles phosphatidylserine, phosphatidylcholine and galactosylceramide (By similarity). Can generate outwardly rectifying chloride channel currents in airway epithelial cells and Jurkat T lymphocytes. {ECO:0000250|UniProtKB:Q6P9J9, ECO:0000269|PubMed:20056604, ECO:0000269|PubMed:21107324, ECO:0000269|PubMed:21908539, ECO:0000269|PubMed:22006324, ECO:0000269|PubMed:22946059}.; </t>
  </si>
  <si>
    <t xml:space="preserve">GGTC</t>
  </si>
  <si>
    <t xml:space="preserve">458.60</t>
  </si>
  <si>
    <t xml:space="preserve">136,20</t>
  </si>
  <si>
    <t xml:space="preserve">CTDSP2:NM_005730:exon7:c.636_639del:p.K212Nfs*34;CTDSP2:uc010ssg.2:exon2:c.258_261del:p.K86Nfs*34,CTDSP2:uc001sqm.3:exon7:c.636_639del:p.K212Nfs*34,CTDSP2:uc009zqf.3:exon7:c.180_183del:p.K60Nfs*34;ENSG00000175215:ENST00000549039:exon3:c.198_201del:p.K66Nfs*34,ENSG00000175215:ENST00000398073:exon7:c.636_639del:p.K212Nfs*34,ENSG00000175215:ENST00000547701:exon7:c.180_183del:p.K60Nfs*34</t>
  </si>
  <si>
    <t xml:space="preserve">0.397665011331897</t>
  </si>
  <si>
    <t xml:space="preserve">CTD small phosphatase 2</t>
  </si>
  <si>
    <t xml:space="preserve">FUNCTION: Preferentially catalyzes the dephosphorylation of 'Ser- 5'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 May contribute to the development of sarcomas. {ECO:0000269|PubMed:12721286, ECO:0000269|PubMed:15681389}.; </t>
  </si>
  <si>
    <t xml:space="preserve">TC</t>
  </si>
  <si>
    <t xml:space="preserve">512.60</t>
  </si>
  <si>
    <t xml:space="preserve">124,20</t>
  </si>
  <si>
    <t xml:space="preserve">CTDSP2:NM_005730:exon7:c.632_633insGA:p.T213Rfs*35;CTDSP2:uc010ssg.2:exon2:c.254_255insGA:p.T87Rfs*35,CTDSP2:uc001sqm.3:exon7:c.632_633insGA:p.T213Rfs*35,CTDSP2:uc009zqf.3:exon7:c.176_177insGA:p.T61Rfs*35;ENSG00000175215:ENST00000549039:exon3:c.194_195insGA:p.T67Rfs*35,ENSG00000175215:ENST00000398073:exon7:c.632_633insGA:p.T213Rfs*35,ENSG00000175215:ENST00000547701:exon7:c.176_177insGA:p.T61Rfs*35</t>
  </si>
  <si>
    <t xml:space="preserve">GGAG</t>
  </si>
  <si>
    <t xml:space="preserve">52.60</t>
  </si>
  <si>
    <t xml:space="preserve">8,2</t>
  </si>
  <si>
    <t xml:space="preserve">0.733852103838821</t>
  </si>
  <si>
    <t xml:space="preserve">high mobility group AT-hook 2</t>
  </si>
  <si>
    <t xml:space="preserve">FUNCTION: Functions as a transcriptional regulator. Functions in cell cycle regulation through CCNA2. Plays an important role in chromosome condensation during the meiotic G2/M transition of spermatocytes. {ECO:0000269|PubMed:14645522}.; </t>
  </si>
  <si>
    <t xml:space="preserve">DISEASE: Note=A chromosomal aberration involving HMGA2 is associated with a subclass of benign mesenchymal tumors known as lipomas. Translocation t(3;12)(q27-q28;q13-q15) with LPP is shown in lipomas. HMGA2 is also fused with a number of other genes in lipomas. {ECO:0000269|PubMed:8824803}.; DISEASE: Note=A chromosomal aberration involving HMGA2 is associated with pulmonary chondroid hamartomas. Translocation t(3;12)(q27-q28;q14-q15) with LPP is detected in pulmonary chondroid hamartomas. {ECO:0000269|PubMed:11066083}.; DISEASE: Note=A chromosomal aberration involving HMGA2 is associated with parosteal lipomas. Translocation t(3;12)(q28;q14) with LPP is also shown in one parosteal lipoma. {ECO:0000269|PubMed:9772904}.; DISEASE: Note=A chromosomal aberration involving HMGA2 is found in uterine leiomyoma. Translocation t(12;14)(q15;q23-24) with RAD51B. Chromosomal rearrangements involving HMGA2 do not seem to be the principle pathobiological mechanism in uterine leiomyoma. {ECO:0000269|PubMed:12649198, ECO:0000269|PubMed:9892177}.; </t>
  </si>
  <si>
    <t xml:space="preserve">202.64</t>
  </si>
  <si>
    <t xml:space="preserve">1,6</t>
  </si>
  <si>
    <t xml:space="preserve">0.943502941208234</t>
  </si>
  <si>
    <t xml:space="preserve">protein tyrosine phosphatase, receptor type B</t>
  </si>
  <si>
    <t xml:space="preserve">FUNCTION: Plays an important role in blood vessel remodeling and angiogenesis. Not necessary for the initial formation of blood vessels, but is essential for their maintenance and remodeling. Can induce dephosphorylation of TEK/TIE2, CDH5/VE-cadherin and KDR/VEGFR-2. Regulates angiopoietin-TIE2 signaling in endothelial cells. Acts as a negative regulator of TIE2, and controls TIE2 driven endothelial cell proliferation, which in turn affects blood vessel remodeling during embryonic development and determines blood vessel size during perinatal growth. Essential for the maintenance of endothelial cell contact integrity and for the adhesive function of VE-cadherin in endothelial cells and this requires the presence of plakoglobin (By similarity). {ECO:0000250, ECO:0000269|PubMed:19116766, ECO:0000269|PubMed:19136612}.; </t>
  </si>
  <si>
    <t xml:space="preserve">CTCT</t>
  </si>
  <si>
    <t xml:space="preserve">157.60</t>
  </si>
  <si>
    <t xml:space="preserve">0.657926418342859</t>
  </si>
  <si>
    <t xml:space="preserve">myosin binding protein C, slow type</t>
  </si>
  <si>
    <t xml:space="preserve">DISEASE: Arthrogryposis, distal, 1B (DA1B) [MIM:614335]: A form of distal arthrogryposis, a disease characterized by congenital joint contractures that mainly involve two or more distal parts of the limbs, in the absence of a primary neurological or muscle disease. Distal arthrogryposis type 1 is characterized largely by camptodactyly and clubfoot. Hypoplasia and/or absence of some interphalangeal creases is common. The shoulders and hips are less frequently affected. {ECO:0000269|PubMed:20045868}. Note=The disease is caused by mutations affecting the gene represented in this entry.; DISEASE: Lethal congenital contracture syndrome 4 (LCCS4) [MIM:614915]: A form of lethal congenital contracture syndrome, an autosomal recessive disorder characterized by degeneration of anterior horn neurons, extreme skeletal muscle atrophy and congenital non-progressive joint contractures. The contractures can involve the upper or lower limbs and/or the vertebral column, leading to various degrees of flexion or extension limitations evident at birth. {ECO:0000269|PubMed:22610851}. Note=The disease is caused by mutations affecting the gene represented in this entry.; </t>
  </si>
  <si>
    <t xml:space="preserve">59.60</t>
  </si>
  <si>
    <t xml:space="preserve">50</t>
  </si>
  <si>
    <t xml:space="preserve">42,8</t>
  </si>
  <si>
    <t xml:space="preserve">NM_001111284:c.*5296_*5297insT;NM_001111283:c.*5330_*5331insT;NM_000618:c.*5296_*5297insT;ENST00000456098:c.*5330_*5331insT;ENST00000337514:c.*5296_*5297insT</t>
  </si>
  <si>
    <t xml:space="preserve">0.469523496452965</t>
  </si>
  <si>
    <t xml:space="preserve">insulin like growth factor 1</t>
  </si>
  <si>
    <t xml:space="preserve">FUNCTION: The insulin-like growth factors, isolated from plasma, are structurally and functionally related to insulin but have a much higher growth-promoting activity. May be a physiological regulator of [1-14C]-2-deoxy-D-glucose (2DG) transport and glycogen synthesis in osteoblasts. Stimulates glucose transport in rat bone-derived osteoblastic (PyMS) cells and is effective at much lower concentrations than insulin, not only regarding glycogen and DNA synthesis but also with regard to enhancing glucose uptake. May play a role in synapse maturation. {ECO:0000269|PubMed:21076856, ECO:0000269|PubMed:24132240}.; </t>
  </si>
  <si>
    <t xml:space="preserve">DISEASE: Insulin-like growth factor I deficiency (IGF1 deficiency) [MIM:608747]: Autosomal recessive disorder characterized by growth retardation, sensorineural deafness and mental retardation. {ECO:0000269|PubMed:8857020}. Note=The disease is caused by mutations affecting the gene represented in this entry.; </t>
  </si>
  <si>
    <t xml:space="preserve">163.60</t>
  </si>
  <si>
    <t xml:space="preserve">90,17</t>
  </si>
  <si>
    <t xml:space="preserve">NM_001111284:c.*3707delA;NM_001111283:c.*3741delA;NM_000618:c.*3707delA;ENST00000456098:c.*3741delA;ENST00000337514:c.*3707delA</t>
  </si>
  <si>
    <t xml:space="preserve">834.06</t>
  </si>
  <si>
    <t xml:space="preserve">26</t>
  </si>
  <si>
    <t xml:space="preserve">2,11,13</t>
  </si>
  <si>
    <t xml:space="preserve">0.997146450593471</t>
  </si>
  <si>
    <t xml:space="preserve">musashi RNA binding protein 1</t>
  </si>
  <si>
    <t xml:space="preserve">FUNCTION: RNA binding protein that regulates the expression of target mRNAs at the translation level. Regulates expression of the NOTCH1 antagonist NUMB. Binds RNA containing the sequence 5'- GUUAGUUAGUUAGUU-3' and other sequences containing the pattern 5'- [GA]U(1-3)AGU-3'. May play a role in the proliferation and maintenance of stem cells in the central nervous system (By similarity). {ECO:0000250}.; </t>
  </si>
  <si>
    <t xml:space="preserve">chr13</t>
  </si>
  <si>
    <t xml:space="preserve">50,6</t>
  </si>
  <si>
    <t xml:space="preserve">2.13341699280147e-20</t>
  </si>
  <si>
    <t xml:space="preserve">poly(ADP-ribose) polymerase family member 4</t>
  </si>
  <si>
    <t xml:space="preserve">48.60</t>
  </si>
  <si>
    <t xml:space="preserve">67,13</t>
  </si>
  <si>
    <t xml:space="preserve">NM_015057:exon36:c.5341-2-&gt;T;uc021rks.1:exon36:c.5341-2-&gt;T;uc010aev.3:exon36:c.3439-2-&gt;T;ENST00000407578:exon36:c.5341-2-&gt;T;ENST00000544440:exon36:c.5227-2-&gt;T;ENST00000357337:exon37:c.5227-2-&gt;T;ENST00000360084:exon37:UTR5</t>
  </si>
  <si>
    <t xml:space="preserve">MYC binding protein 2, E3 ubiquitin protein ligase</t>
  </si>
  <si>
    <t xml:space="preserve">FUNCTION: E3 ubiquitin-protein ligase which mediates ubiquitination and subsequent proteasomal degradation of TSC2/tuberin. Interacts with the E2 enzymes UBE2D1, UBE2D3 and UBE2L3 (in vitro). May function as a facilitator or regulator of transcriptional activation by MYC. May have a role during synaptogenesis. {ECO:0000269|PubMed:18308511}.; </t>
  </si>
  <si>
    <t xml:space="preserve">1146.64</t>
  </si>
  <si>
    <t xml:space="preserve">79</t>
  </si>
  <si>
    <t xml:space="preserve">39,40</t>
  </si>
  <si>
    <t xml:space="preserve">0.000169004064103246</t>
  </si>
  <si>
    <t xml:space="preserve">sodium leak channel, non-selective</t>
  </si>
  <si>
    <t xml:space="preserve">FUNCTION: Voltage-independent, cation-nonselective channel which is permeable to sodium, potassium and calcium ions. Responsible for the background sodium ion leak current in neurons and controls neuronal excitability. Activated either by neuropeptides substance P or neurotensin. Required for normal respiratory rhythm and neonatal survival (By similarity). {ECO:0000250, ECO:0000269|PubMed:17448995}.; </t>
  </si>
  <si>
    <t xml:space="preserve">DISEASE: Hypotonia, infantile, with psychomotor retardation and characteristic facies (IHPRF) [MIM:615419]: A neurodegenerative disease characterized by variable degrees of hypotonia, speech impairment, intellectual disability, pyramidal signs, subtle facial dysmorphism, and chronic constipation. Some patients manifest neuroaxonal dystrophy, optic atrophy, unmyelinated axons and spheroid bodies in tissue biopsies. {ECO:0000269|PubMed:23749988, ECO:0000269|PubMed:24075186}. Note=The disease is caused by mutations affecting the gene represented in this entry.; DISEASE: Congenital contractures of the limbs and face, hypotonia, and developmental delay (CLIFAHDD) [MIM:616266]: A disease characterized by congenital contractures of the limbs and face, resulting in characteristic facial features, abnormal tone, most commonly manifested as hypotonia, and variable degrees of developmental delay. {ECO:0000269|PubMed:25683120}. Note=The disease is caused by mutations affecting the gene represented in this entry.; </t>
  </si>
  <si>
    <t xml:space="preserve">274.64</t>
  </si>
  <si>
    <t xml:space="preserve">6,9</t>
  </si>
  <si>
    <t xml:space="preserve">0.000433958644882729</t>
  </si>
  <si>
    <t xml:space="preserve">RAS p21 protein activator 3</t>
  </si>
  <si>
    <t xml:space="preserve">FUNCTION: Inhibitory regulator of the Ras-cyclic AMP pathway. Binds inositol tetrakisphosphate (IP4) with high affinity. Might be a specific IP4 receptor.; </t>
  </si>
  <si>
    <t xml:space="preserve">245.64</t>
  </si>
  <si>
    <t xml:space="preserve">6,8</t>
  </si>
  <si>
    <t xml:space="preserve">0.999998436751071</t>
  </si>
  <si>
    <t xml:space="preserve">apoptotic chromatin condensation inducer 1</t>
  </si>
  <si>
    <t xml:space="preserve">FUNCTION: Auxiliary component of the splicing-dependent multiprotein exon junction complex (EJC) deposited at splice junction on mRNAs. The EJC is a dynamic structure consisting of core proteins and several peripheral nuclear and cytoplasmic associated factors that join the complex only transiently either during EJC assembly or during subsequent mRNA metabolism. Component of the ASAP complexes which bind RNA in a sequence- independent manner and are proposed to be recruited to the EJC prior to or during the splicing process and to regulate specific excision of introns in specific transcription subsets; ACIN1 confers RNA-binding to the complex. The ASAP complex can inhibit RNA processing during in vitro splicing reactions. The ASAP complex promotes apoptosis and is disassembled after induction of apoptosis. Involved in the splicing modulation of BCL2L1/Bcl-X (and probably other apoptotic genes); specifically inhibits formation of proapoptotic isoforms such as Bcl-X(S); the activity is different from the established EJC assembly and function. Induces apoptotic chromatin condensation after activation by CASP3. Regulates cyclin A1, but not cyclin A2, expression in leukemia cells. {ECO:0000269|PubMed:10490026, ECO:0000269|PubMed:12665594, ECO:0000269|PubMed:18559500, ECO:0000269|PubMed:22203037, ECO:0000269|PubMed:22388736}.; </t>
  </si>
  <si>
    <t xml:space="preserve">663.64</t>
  </si>
  <si>
    <t xml:space="preserve">24,23</t>
  </si>
  <si>
    <t xml:space="preserve">4.1077240038228e-08</t>
  </si>
  <si>
    <t xml:space="preserve">chymase 1</t>
  </si>
  <si>
    <t xml:space="preserve">FUNCTION: Major secreted protease of mast cells with suspected roles in vasoactive peptide generation, extracellular matrix degradation, and regulation of gland secretion.; </t>
  </si>
  <si>
    <t xml:space="preserve">371.64</t>
  </si>
  <si>
    <t xml:space="preserve">35</t>
  </si>
  <si>
    <t xml:space="preserve">21,14</t>
  </si>
  <si>
    <t xml:space="preserve">0.999999978076686</t>
  </si>
  <si>
    <t xml:space="preserve">Ral GTPase activating protein catalytic alpha subunit 1</t>
  </si>
  <si>
    <t xml:space="preserve">FUNCTION: Catalytic subunit of the heterodimeric RalGAP1 complex which acts as a GTPase activator for the Ras-like small GTPases RALA and RALB. {ECO:0000250}.; </t>
  </si>
  <si>
    <t xml:space="preserve">34.60</t>
  </si>
  <si>
    <t xml:space="preserve">66</t>
  </si>
  <si>
    <t xml:space="preserve">57,9</t>
  </si>
  <si>
    <t xml:space="preserve">NM_002408:c.*658_*659insT;uc001wwr.3:c.*658_*659insT</t>
  </si>
  <si>
    <t xml:space="preserve">0.955031701312776</t>
  </si>
  <si>
    <t xml:space="preserve">mannosyl (alpha-1,6-)-glycoprotein beta-1,2-N-acetylglucosaminyltransferase</t>
  </si>
  <si>
    <t xml:space="preserve">FUNCTION: Catalyzes an essential step in the conversion of oligo- mannose to complex N-glycans.; </t>
  </si>
  <si>
    <t xml:space="preserve">DISEASE: Congenital disorder of glycosylation 2A (CDG2A) [MIM:212066]: A multisystem disorder caused by a defect in glycoprotein biosynthesis and characterized by under-glycosylated serum glycoproteins. Congenital disorders of glycosylation result in a wide variety of clinical features, such as defects in the nervous system development, psychomotor retardation, dysmorphic features, hypotonia, coagulation disorders, and immunodeficiency. The broad spectrum of features reflects the critical role of N- glycoproteins during embryonic development, differentiation, and maintenance of cell functions. {ECO:0000269|PubMed:11228641, ECO:0000269|PubMed:8808595}. Note=The disease is caused by mutations affecting the gene represented in this entry.; </t>
  </si>
  <si>
    <t xml:space="preserve">248.64</t>
  </si>
  <si>
    <t xml:space="preserve">10,11</t>
  </si>
  <si>
    <t xml:space="preserve">UTR5;intronic</t>
  </si>
  <si>
    <t xml:space="preserve">uc001xcs.3:c.-125A&gt;G</t>
  </si>
  <si>
    <t xml:space="preserve">0.996683024892685</t>
  </si>
  <si>
    <t xml:space="preserve">exocyst complex component 5</t>
  </si>
  <si>
    <t xml:space="preserve">FUNCTION: Component of the exocyst complex involved in the docking of exocytic vesicles with fusion sites on the plasma membrane.; </t>
  </si>
  <si>
    <t xml:space="preserve">516.64</t>
  </si>
  <si>
    <t xml:space="preserve">28,19</t>
  </si>
  <si>
    <t xml:space="preserve">0.17200103905538;0.951898293348912</t>
  </si>
  <si>
    <t xml:space="preserve">CHURC1-FNTB readthrough;MYC associated factor X;farnesyltransferase, CAAX box, beta</t>
  </si>
  <si>
    <t xml:space="preserve">FUNCTION: Essential subunit of the farnesyltransferase complex. Catalyzes the transfer of a farnesyl moiety from farnesyl diphosphate to a cysteine at the fourth position from the C- terminus of several proteins having the C-terminal sequence Cys- aliphatic-aliphatic-X. {ECO:0000269|PubMed:12036349, ECO:0000269|PubMed:12825937, ECO:0000269|PubMed:16893176, ECO:0000269|PubMed:19246009, ECO:0000269|PubMed:8494894}.; ;FUNCTION: Essential subunit of the farnesyltransferase complex. Catalyzes the transfer of a farnesyl moiety from farnesyl diphosphate to a cysteine at the fourth position from the C- terminus of several proteins having the C-terminal sequence Cys- aliphatic-aliphatic-X. {ECO:0000269|PubMed:12036349, ECO:0000269|PubMed:12825937, ECO:0000269|PubMed:16893176, ECO:0000269|PubMed:19246009, ECO:0000269|PubMed:8494894}.; ;FUNCTION: Transcription regulator. Forms a sequence-specific DNA- binding protein complex with MYC or MAD which recognizes the core sequence 5'-CAC[GA]TG-3'. The MYC:MAX complex is a transcriptional activator, whereas the MAD:MAX complex is a repressor. May repress transcription via the recruitment of a chromatin remodeling complex containing H3 'Lys-9' histone methyltransferase activity.; </t>
  </si>
  <si>
    <t xml:space="preserve">576.64</t>
  </si>
  <si>
    <t xml:space="preserve">59</t>
  </si>
  <si>
    <t xml:space="preserve">35,24</t>
  </si>
  <si>
    <t xml:space="preserve">1.62229467445935e-05</t>
  </si>
  <si>
    <t xml:space="preserve">aldehyde dehydrogenase 6 family member A1;basal body orientation factor 1</t>
  </si>
  <si>
    <t xml:space="preserve">FUNCTION: Basal body protein required in multiciliate cells to align and maintain cilia orientation in response to flow. May act by mediating a maturation step that stabilizes and aligns cilia orientation. Not required to respond to planar cell polarity (PCP) or flow-based orientation cues (By similarity). {ECO:0000250}.; ;FUNCTION: Plays a role in valine and pyrimidine metabolism. Binds fatty acyl-CoA.; </t>
  </si>
  <si>
    <t xml:space="preserve">DISEASE: Methylmalonate semialdehyde dehydrogenase deficiency (MMSDHD) [MIM:614105]: A metabolic disorder characterized by elevated beta-alanine, 3-hydroxypropionic acid, and both isomers of 3-amino and 3-hydroxyisobutyric acids in urine organic acids. {ECO:0000269|PubMed:10947204}. Note=The disease is caused by mutations affecting the gene represented in this entry.; </t>
  </si>
  <si>
    <t xml:space="preserve">34.64</t>
  </si>
  <si>
    <t xml:space="preserve">17</t>
  </si>
  <si>
    <t xml:space="preserve">15,2</t>
  </si>
  <si>
    <t xml:space="preserve">0.000428255871835589</t>
  </si>
  <si>
    <t xml:space="preserve">eukaryotic translation initiation factor 2B subunit beta</t>
  </si>
  <si>
    <t xml:space="preserve">FUNCTION: Catalyzes the exchange of eukaryotic initiation factor 2-bound GDP for GTP.; </t>
  </si>
  <si>
    <t xml:space="preserve">DISEASE: Leukodystrophy with vanishing white matter (VWM) [MIM:603896]: A leukodystrophy that occurs mainly in children. Neurological signs include progressive cerebellar ataxia, spasticity, inconstant optic atrophy and relatively preserved mental abilities. The disease is chronic-progressive with, in most individuals, additional episodes of rapid deterioration following febrile infections or minor head trauma. While childhood onset is the most common form of the disorder, some severe forms are apparent at birth. A severe, early-onset form seen among the Cree and Chippewayan populations of Quebec and Manitoba is called Cree leukoencephalopathy. Milder forms may not become evident until adolescence or adulthood. Some females with milder forms of the disease who survive to adolescence exhibit ovarian dysfunction. This variant of the disorder is called ovarioleukodystrophy. {ECO:0000269|PubMed:11704758, ECO:0000269|PubMed:12707859, ECO:0000269|PubMed:15776425, ECO:0000269|PubMed:21484434, ECO:0000269|PubMed:22285377, ECO:0000269|PubMed:22729508}. Note=The disease is caused by mutations affecting the gene represented in this entry.; </t>
  </si>
  <si>
    <t xml:space="preserve">TTTTTCTTTTTAC</t>
  </si>
  <si>
    <t xml:space="preserve">3397.02</t>
  </si>
  <si>
    <t xml:space="preserve">0,51,20</t>
  </si>
  <si>
    <t xml:space="preserve">5.80341698067131e-06</t>
  </si>
  <si>
    <t xml:space="preserve">thyroid stimulating hormone receptor</t>
  </si>
  <si>
    <t xml:space="preserve">FUNCTION: Receptor for thyrothropin. Plays a central role in controlling thyroid cell metabolism. The activity of this receptor is mediated by G proteins which activate adenylate cyclase. Also acts as a receptor for thyrostimulin (GPA2+GPB5). {ECO:0000269|PubMed:12045258}.; </t>
  </si>
  <si>
    <t xml:space="preserve">DISEASE: Note=Defects in TSHR are found in patients affected by hyperthyroidism with different etiologies. Somatic, constitutively activating TSHR mutations and/or constitutively activating G(s)alpha mutations have been identified in toxic thyroid nodules (TTNs) that are the predominant cause of hyperthyroidism in iodine deficient areas. These mutations lead to TSH independent activation of the cAMP cascade resulting in thyroid growth and hormone production. TSHR mutations are found in autonomously functioning thyroid nodules (AFTN), toxic multinodular goiter (TMNG) and hyperfunctioning thyroid adenomas (HTA). TMNG encompasses a spectrum of different clinical entities, ranging from a single hyperfunctioning nodule within an enlarged thyroid, to multiple hyperfunctioning areas scattered throughout the gland. HTA are discrete encapsulated neoplasms characterized by TSH- independent autonomous growth, hypersecretion of thyroid hormones, and TSH suppression. Defects in TSHR are also a cause of thyroid neoplasms (papillary and follicular cancers).; DISEASE: Note=Autoantibodies against TSHR are directly responsible for the pathogenesis and hyperthyroidism of Graves disease. Antibody interaction with TSHR results in an uncontrolled receptor stimulation.; DISEASE: Hypothyroidism, congenital, non-goitrous, 1 (CHNG1) [MIM:275200]: A non-autoimmune condition characterized by resistance to thyroid-stimulating hormone (TSH) leading to increased levels of plasma TSH and low levels of thyroid hormone. It presents variable severity depending on the completeness of the defect. Most patients are euthyroid and asymptomatic, with a normal sized thyroid gland. Only a subset of patients develop hypothyroidism and present a hypoplastic thyroid gland. {ECO:0000269|PubMed:10720030, ECO:0000269|PubMed:11095460, ECO:0000269|PubMed:11442002, ECO:0000269|PubMed:12050212, ECO:0000269|PubMed:14725684, ECO:0000269|PubMed:15531543, ECO:0000269|PubMed:7528344, ECO:0000269|PubMed:8954020, ECO:0000269|PubMed:9100579, ECO:0000269|PubMed:9185526, ECO:0000269|PubMed:9329388}. Note=The disease is caused by mutations affecting the gene represented in this entry.; DISEASE: Familial gestational hyperthyroidism (HTFG) [MIM:603373]: A condition characterized by abnormally high levels of serum thyroid hormones occurring during early pregnancy. {ECO:0000269|PubMed:9854118}. Note=The disease is caused by mutations affecting the gene represented in this entry.; DISEASE: Hyperthyroidism, non-autoimmune (HTNA) [MIM:609152]: A condition characterized by abnormally high levels of serum thyroid hormones, thyroid hyperplasia, goiter and lack of anti-thyroid antibodies. Typical features of Graves disease such as exophthalmia, myxedema, antibodies anti-TSH receptor and lymphocytic infiltration of the thyroid gland are absent. {ECO:0000269|PubMed:10199795, ECO:0000269|PubMed:10852462, ECO:0000269|PubMed:11081252, ECO:0000269|PubMed:11127522, ECO:0000269|PubMed:11201847, ECO:0000269|PubMed:11517004, ECO:0000269|PubMed:11549687, ECO:0000269|PubMed:15163335, ECO:0000269|PubMed:7800007, ECO:0000269|PubMed:7920658, ECO:0000269|PubMed:8636266, ECO:0000269|PubMed:8964822, ECO:0000269|PubMed:9349581, ECO:0000269|PubMed:9360555, ECO:0000269|PubMed:9398746, ECO:0000269|PubMed:9589634}. Note=The disease is caused by mutations affecting the gene represented in this entry.; </t>
  </si>
  <si>
    <t xml:space="preserve">50,63</t>
  </si>
  <si>
    <t xml:space="preserve">6.28347214969704e-07</t>
  </si>
  <si>
    <t xml:space="preserve">galactosylceramidase</t>
  </si>
  <si>
    <t xml:space="preserve">FUNCTION: Hydrolyzes the galactose ester bonds of galactosylceramide, galactosylsphingosine, lactosylceramide, and monogalactosyldiglyceride. Enzyme with very low activity responsible for the lysosomal catabolism of galactosylceramide, a major lipid in myelin, kidney and epithelial cells of small intestine and colon. {ECO:0000269|PubMed:8281145, ECO:0000269|PubMed:8399327}.; </t>
  </si>
  <si>
    <t xml:space="preserve">DISEASE: Leukodystrophy, globoid cell (GLD) [MIM:245200]: An autosomal recessive disorder characterized by insufficient catabolism of several galactolipids that are important for normal myelin production. Four clinical forms are recognized. The infantile form accounts for 90% of cases. It manifests before six months of age with irritability, spasticity, arrest of motor and mental development, and bouts of temperature elevation without infection. This is followed by myoclonic jerks of arms and legs, oposthotonus, hypertonic fits, and mental regression, which progresses to a severe decerebrate condition with no voluntary movements and death from respiratory infections or cerebral hyperpyrexia before 2 years of age. Cases with later onset present with unexplained blindness, weakness and sensorimotor peripheral neuropathy, mental deterioration and death. {ECO:0000269|PubMed:10234611, ECO:0000269|PubMed:10477434, ECO:0000269|PubMed:17579360, ECO:0000269|PubMed:20886637, ECO:0000269|PubMed:23462331, ECO:0000269|PubMed:8595408, ECO:0000269|PubMed:8786069, ECO:0000269|PubMed:8940268, ECO:0000269|PubMed:9272171}. Note=The disease is caused by mutations affecting the gene represented in this entry.; </t>
  </si>
  <si>
    <t xml:space="preserve">TGCTGCTGCTGCTGCTG</t>
  </si>
  <si>
    <t xml:space="preserve">871.60</t>
  </si>
  <si>
    <t xml:space="preserve">95,35</t>
  </si>
  <si>
    <t xml:space="preserve">ATXN3:NM_001164782:exon2:c.67_68insCAGCAGCAGCAGCAGCA:p.G23Afs*63,ATXN3:NM_001164774:exon3:c.232_233insCAGCAGCAGCAGCAGCA:p.G78Afs*63,ATXN3:NM_001164777:exon3:c.112_113insCAGCAGCAGCAGCAGCA:p.G38Afs*63,ATXN3:NM_001164776:exon4:c.277_278insCAGCAGCAGCAGCAGCA:p.G93Afs*63,ATXN3:NM_001164778:exon6:c.430_431insCAGCAGCAGCAGCAGCA:p.G144Afs*63,ATXN3:NM_001164779:exon6:c.552_553insCAGCAGCAGCAGCAGCA:p.G185Qfs*31,ATXN3:NM_001164780:exon7:c.378_379insCAGCAGCAGCAGCAGCA:p.G127Qfs*31,ATXN3:NM_001127697:exon8:c.762_763insCAGCAGCAGCAGCAGCA:p.G255Qfs*31,ATXN3:NM_001164781:exon8:c.705_706insCAGCAGCAGCAGCAGCA:p.G236Qfs*31,ATXN3:NM_001127696:exon9:c.870_871insCAGCAGCAGCAGCAGCA:p.G291Qfs*31,ATXN3:NM_030660:exon9:c.750_751insCAGCAGCAGCAGCAGCA:p.G251Qfs*31,ATXN3:NM_004993:exon10:c.915_916insCAGCAGCAGCAGCAGCA:p.G306Qfs*31;ATXN3:uc021rzj.1:exon2:c.67_68insCAGCAGCAGCAGCAGCA:p.G23Afs*63,ATXN3:uc021rzf.1:exon3:c.112_113insCAGCAGCAGCAGCAGCA:p.G38Afs*63,ATXN3:uc021rzi.1:exon3:c.232_233insCAGCAGCAGCAGCAGCA:p.G78Afs*63,ATXN3:uc021rzd.1:exon4:c.277_278insCAGCAGCAGCAGCAGCA:p.G93Afs*63,ATXN3:uc021rze.1:exon5:c.378_379insCAGCAGCAGCAGCAGCA:p.G127Qfs*31,ATXN3:uc021sar.1:exon5:c.441_442insCAGCAGCAGCAGCAGCA:p.G148Qfs*31,ATXN3:uc021ryy.1:exon6:c.552_553insCAGCAGCAGCAGCAGCA:p.G185Qfs*31,ATXN3:uc021rza.1:exon6:c.430_431insCAGCAGCAGCAGCAGCA:p.G144Afs*63,ATXN3:uc010twl.2:exon7:c.378_379insCAGCAGCAGCAGCAGCA:p.G127Qfs*31,ATXN3:uc021rzp.1:exon7:c.621_622insCAGCAGCAGCAGCAGCA:p.G208Qfs*31,ATXN3:uc021sag.1:exon7:c.597_598insCAGCAGCAGCAGCAGCA:p.G200Qfs*31,ATXN3:uc021sao.1:exon7:c.717_718insCAGCAGCAGCAGCAGCA:p.G240Qfs*31,ATXN3:uc021rys.1:exon8:c.621_622insCAGCAGCAGCAGCAGCA:p.G208Qfs*31,ATXN3:uc021ryu.1:exon8:c.762_763insCAGCAGCAGCAGCAGCA:p.G255Qfs*31,ATXN3:uc021ryx.1:exon8:c.705_706insCAGCAGCAGCAGCAGCA:p.G236Qfs*31,ATXN3:uc021sai.1:exon8:c.566_567insCAGCAGCAGCAGCAGCA:p.R189Sfs*18,ATXN3:uc021sal.1:exon8:c.621_622insCAGCAGCAGCAGCAGCA:p.G208Qfs*31,ATXN3:uc021san.1:exon8:c.759_760insCAGCAGCAGCAGCAGCA:p.G254Qfs*31,ATXN3:uc001yad.4:exon9:c.750_751insCAGCAGCAGCAGCAGCA:p.G251Qfs*31,ATXN3:uc001yae.4:exon9:c.621_622insCAGCAGCAGCAGCAGCA:p.G208Qfs*31,ATXN3:uc010aug.3:exon9:c.870_871insCAGCAGCAGCAGCAGCA:p.G291Qfs*31,ATXN3:uc001yac.4:exon10:c.915_916insCAGCAGCAGCAGCAGCA:p.G306Qfs*31,ATXN3:uc021rzo.1:exon10:c.915_916insCAGCAGCAGCAGCAGCA:p.G306Qfs*31,ATXN3:uc021rzv.1:exon10:c.780_781insCAGCAGCAGCAGCAGCA:p.G261Qfs*31,ATXN3:uc021sae.1:exon10:c.912_913insCAGCAGCAGCAGCAGCA:p.G305Qfs*31;ENSG00000066427:ENST00000557311:exon5:c.378_379insCAGCAGCAGCAGCAGCA:p.G127Qfs*31,ENSG00000066427:ENST00000502250:exon7:c.378_379insCAGCAGCAGCAGCAGCA:p.G127Qfs*31,ENSG00000066427:ENST00000556220:exon7:c.597_598insCAGCAGCAGCAGCAGCA:p.G200Qfs*30,ENSG00000066427:ENST00000553491:exon8:c.762_763insCAGCAGCAGCAGCAGCA:p.G255Qfs*30,ENSG00000066427:ENST00000554672:exon8:c.621_622insCAGCAGCAGCAGCAGCA:p.G208Qfs*31,ENSG00000066427:ENST00000555381:exon8:c.705_706insCAGCAGCAGCAGCAGCA:p.G236Qfs*31,ENSG00000066427:ENST00000340660:exon9:c.750_751insCAGCAGCAGCAGCAGCA:p.G251Qfs*31,ENSG00000066427:ENST00000503767:exon9:c.870_871insCAGCAGCAGCAGCAGCA:p.G291Qfs*31,ENSG00000066427:ENST00000393287:exon10:c.915_916insCAGCAGCAGCAGCAGCA:p.G306Qfs*31,ENSG00000066427:ENST00000429774:exon10:c.894_895insCAGCAGCAGCAGCAGCA:p.G299Qfs*31,ENSG00000066427:ENST00000532032:exon10:c.915_916insCAGCAGCAGCAGCAGCA:p.G306Qfs*31,ENSG00000066427:ENST00000545170:exon10:c.942_943insCAGCAGCAGCAGCAGCA:p.G315Qfs*31,ENSG00000066427:ENST00000554592:exon10:c.912_913insCAGCAGCAGCAGCAGCA:p.G305Qfs*31</t>
  </si>
  <si>
    <t xml:space="preserve">0.176363907956847</t>
  </si>
  <si>
    <t xml:space="preserve">ataxin 3</t>
  </si>
  <si>
    <t xml:space="preserve">FUNCTION: Deubiquitinating enzyme involved in protein homeostasis maintenance, transcription, cytoskeleton regulation, myogenesis and degradation of misfolded chaperone substrates. Binds long polyubiquitin chains and trims them, while it has weak or no activity against chains of 4 or less ubiquitins. Involved in degradation of misfolded chaperone substrates via its interaction with STUB1/CHIP: recruited to monoubiquitinated STUB1/CHIP, and restricts the length of ubiquitin chain attached to STUB1/CHIP substrates and preventing further chain extension. In response to misfolded substrate ubiquitination, mediates deubiquitination of monoubiquitinated STUB1/CHIP. Interacts with key regulators of transcription and represses transcription: acts as a histone- binding protein that regulates transcription. {ECO:0000269|PubMed:12297501, ECO:0000269|PubMed:16118278, ECO:0000269|PubMed:17696782, ECO:0000269|PubMed:23625928}.; </t>
  </si>
  <si>
    <t xml:space="preserve">DISEASE: Spinocerebellar ataxia 3 (SCA3) [MIM:109150]: Spinocerebellar ataxia is a clinically and genetically heterogeneous group of cerebellar disorders. Patients show progressive incoordination of gait and often poor coordination of hands, speech and eye movements, due to cerebellum degeneration with variable involvement of the brainstem and spinal cord. SCA3 belongs to the autosomal dominant cerebellar ataxias type I (ADCA I) which are characterized by cerebellar ataxia in combination with additional clinical features like optic atrophy, ophthalmoplegia, bulbar and extrapyramidal signs, peripheral neuropathy and dementia. The molecular defect in SCA3 is the a CAG repeat expansion in ATX3 coding region. Longer expansions result in earlier onset and more severe clinical manifestations of the disease. {ECO:0000269|PubMed:7874163}. Note=The disease is caused by mutations affecting the gene represented in this entry.; </t>
  </si>
  <si>
    <t xml:space="preserve">1656.64</t>
  </si>
  <si>
    <t xml:space="preserve">172</t>
  </si>
  <si>
    <t xml:space="preserve">96,76</t>
  </si>
  <si>
    <t xml:space="preserve">6.11449031625676e-05</t>
  </si>
  <si>
    <t xml:space="preserve">microtubule affinity regulating kinase 3</t>
  </si>
  <si>
    <t xml:space="preserve">FUNCTION: Involved in the specific phosphorylation of microtubule- associated proteins for tau, MAP2 and MAP4. Phosphorylates CDC25C on 'Ser-216'. Regulates localization and activity of some histone deacetylases by mediating phosphorylation of HDAC7, promoting subsequent interaction between HDAC7 and 14-3-3 and export from the nucleus. {ECO:0000269|PubMed:16980613}.; </t>
  </si>
  <si>
    <t xml:space="preserve">chr15</t>
  </si>
  <si>
    <t xml:space="preserve">310.60</t>
  </si>
  <si>
    <t xml:space="preserve">uc001zar.3:c.*37delG;uc001zaq.3:c.*37delG;uc001zas.3:c.*37delG;uc001zat.3:c.*37delG</t>
  </si>
  <si>
    <t xml:space="preserve">0.999576243958304</t>
  </si>
  <si>
    <t xml:space="preserve">small nucleolar RNA host gene 14;ubiquitin protein ligase E3A</t>
  </si>
  <si>
    <t xml:space="preserve">FUNCTION: E3 ubiquitin-protein ligase which accepts ubiquitin from an E2 ubiquitin-conjugating enzyme in the form of a thioester and transfers it to its substrates. Several substrates have been identified including the RAD23A and RAD23B, MCM7 (which is involved in DNA replication), annexin A1, the PML tumor suppressor, and the cell cycle regulator CDKN1B. Catalyzes the high-risk human papilloma virus E6-mediated ubiquitination of p53/TP53, contributing to the neoplastic progression of cells infected by these viruses. Additionally, may function as a cellular quality control ubiquitin ligase by helping the degradation of the cytoplasmic misfolded proteins. Finally, UBE3A also promotes its own degradation in vivo. Plays an important role in the regulation of the circadian clock: involved in the ubiquitination of the core clock component ARNTL/BMAL1, leading to its proteasomal degradation (PubMed:24728990). {ECO:0000269|PubMed:10373495, ECO:0000269|PubMed:19204938, ECO:0000269|PubMed:19233847, ECO:0000269|PubMed:19325566, ECO:0000269|PubMed:19591933, ECO:0000269|PubMed:22645313, ECO:0000269|PubMed:24728990}.; </t>
  </si>
  <si>
    <t xml:space="preserve">DISEASE: Angelman syndrome (AS) [MIM:105830]: A neurodevelopmental disorder characterized by severe motor and intellectual retardation, ataxia, frequent jerky limb movements and flapping of the arms and hands, hypotonia, seizures, absence of speech, frequent smiling and episodes of paroxysmal laughter, open-mouthed expression revealing the tongue. {ECO:0000269|PubMed:25212744, ECO:0000269|PubMed:9585605}. Note=The disease is caused by mutations affecting the gene represented in this entry.; </t>
  </si>
  <si>
    <t xml:space="preserve">CTGTCGTCTGCTG</t>
  </si>
  <si>
    <t xml:space="preserve">378.60</t>
  </si>
  <si>
    <t xml:space="preserve">37</t>
  </si>
  <si>
    <t xml:space="preserve">26,11</t>
  </si>
  <si>
    <t xml:space="preserve">LOC283710:NM_001243538:exon4:c.383_395del:p.T128Sfs*163;LOC283710:uc021sib.1:exon4:c.383_395del:p.T128Sfs*163</t>
  </si>
  <si>
    <t xml:space="preserve">TGTGGAG</t>
  </si>
  <si>
    <t xml:space="preserve">375.60</t>
  </si>
  <si>
    <t xml:space="preserve">38</t>
  </si>
  <si>
    <t xml:space="preserve">27,11</t>
  </si>
  <si>
    <t xml:space="preserve">LOC283710:NM_001243538:exon4:c.370_376del:p.L124*;LOC283710:uc021sib.1:exon4:c.370_376del:p.L124*</t>
  </si>
  <si>
    <t xml:space="preserve">1267.64</t>
  </si>
  <si>
    <t xml:space="preserve">32,48</t>
  </si>
  <si>
    <t xml:space="preserve">0.0155525648224664</t>
  </si>
  <si>
    <t xml:space="preserve">chromosome 15 open reading frame 41</t>
  </si>
  <si>
    <t xml:space="preserve">DISEASE: Anemia, congenital dyserythropoietic, 1B (CDAN1B) [MIM:615631]: An autosomal recessive blood disorder characterized by morphological abnormalities of erythroblasts, ineffective erythropoiesis, macrocytic anemia and secondary hemochromatosis. It is occasionally associated with bone abnormalities, especially of the hands and feet (acrodysostosis), nail hypoplasia, and scoliosis. Ultrastructural features include internuclear chromatin bridges connecting some nearly completely separated erythroblasts and an abnormal appearance (spongy or Swiss-cheese appearance) of the heterochromatin in a high proportion of the erythroblasts. {ECO:0000269|PubMed:23716552}. Note=The disease is caused by mutations affecting the gene represented in this entry.; </t>
  </si>
  <si>
    <t xml:space="preserve">849.02</t>
  </si>
  <si>
    <t xml:space="preserve">52</t>
  </si>
  <si>
    <t xml:space="preserve">14,19,19</t>
  </si>
  <si>
    <t xml:space="preserve">10,7</t>
  </si>
  <si>
    <t xml:space="preserve">0.994254955106549</t>
  </si>
  <si>
    <t xml:space="preserve">Meis homeobox 2</t>
  </si>
  <si>
    <t xml:space="preserve">FUNCTION: Involved in transcriptional regulation. Binds to HOX or PBX proteins to form dimers, or to a DNA-bound dimer of PBX and HOX proteins and thought to have a role in stabilization of the homeoprotein-DNA complex. Isoform 3/Meis2B is required for the activity of a PDX1:PBX1b:MEIS2b complex in pancreatic acinar cells involved in the transcriptional activation of the ELA1 enhancer; the complex binds to the enhancer B element and cooperates with the transcription factor 1 complex (PTF1) bound to the enhancer A element; MEIS2 is not involved in complex DNA-binding. Probably in complex with PBX1, is involved in transcriptional regulation by KLF4. Isoform 3/Meis2B and isoform 4/Meis2D can bind to a EPHA8 promoter sequence containing the DNA motif 5'-CGGTCA-3'; in cooperation with a PBX protein (such as PBX2) is proposed to be involved in the transcriptional activation of EPHA8 in the developing midbrain. May be involved in regulation of myeloid differentiation. Can bind to the DNA sequence 5'-TGACAG-3'in the activator ACT sequence of the D(1A) dopamine receptor (DRD1) promoter and activate DRD1 transcription; isoform 5/Meis2E cannot activate DRD1 transcription. {ECO:0000269|PubMed:10764806, ECO:0000269|PubMed:11279116, ECO:0000269|PubMed:21746878}.; </t>
  </si>
  <si>
    <t xml:space="preserve">GGGG</t>
  </si>
  <si>
    <t xml:space="preserve">248.60</t>
  </si>
  <si>
    <t xml:space="preserve">2,8</t>
  </si>
  <si>
    <t xml:space="preserve">MAPKBP1:uc010bck.3:exon18:c.29_30insGGGG:p.Q14Gfs*66</t>
  </si>
  <si>
    <t xml:space="preserve">0.999024889896837</t>
  </si>
  <si>
    <t xml:space="preserve">mitogen-activated protein kinase binding protein 1</t>
  </si>
  <si>
    <t xml:space="preserve">FUNCTION: Involved in JNK signaling pathway. {ECO:0000250}.; </t>
  </si>
  <si>
    <t xml:space="preserve">1553.64</t>
  </si>
  <si>
    <t xml:space="preserve">55,58</t>
  </si>
  <si>
    <t xml:space="preserve">NM_005254:exon5:c.619+1G&gt;T;NM_001320915:exon6:c.619+1G&gt;T;NM_001320910:exon6:c.619+1G&gt;T;NM_002041:exon5:c.619+1G&gt;T;uc001zyb.3:exon5:c.619+1G&gt;T;uc010ufg.2:exon4:c.391+1G&gt;T;uc001zye.3:exon5:c.619+1G&gt;T;ENST00000220429:exon5:c.619+1G&gt;T;ENST00000543881:exon4:c.391+1G&gt;T;ENST00000561010:exon1:c.95+1G&gt;T;ENST00000429662:exon5:c.619+1G&gt;T</t>
  </si>
  <si>
    <t xml:space="preserve">0.929888310247904</t>
  </si>
  <si>
    <t xml:space="preserve">GA binding protein transcription factor beta subunit 1</t>
  </si>
  <si>
    <t xml:space="preserve">FUNCTION: Transcription factor capable of interacting with purine rich repeats (GA repeats). Necessary for the expression of the Adenovirus E4 gene. {ECO:0000269|PubMed:10675337, ECO:0000269|PubMed:8816484}.; </t>
  </si>
  <si>
    <t xml:space="preserve">118,30</t>
  </si>
  <si>
    <t xml:space="preserve">NM_001330326:exon2:c.50-2-&gt;T;NM_015617:exon2:c.50-2-&gt;T;NM_001367806:exon2:c.50-2-&gt;T;uc010bfl.1:exon2:c.50-2-&gt;T;uc002adf.1:exon2:c.50-2-&gt;T;ENST00000302000:exon2:c.50-2-&gt;T;ENST00000563719:exon2:c.50-2-&gt;T</t>
  </si>
  <si>
    <t xml:space="preserve">0.956651521929469</t>
  </si>
  <si>
    <t xml:space="preserve">pygopus family PHD finger 1</t>
  </si>
  <si>
    <t xml:space="preserve">FUNCTION: Involved in signal transduction through the Wnt pathway.; </t>
  </si>
  <si>
    <t xml:space="preserve">562.64</t>
  </si>
  <si>
    <t xml:space="preserve">23</t>
  </si>
  <si>
    <t xml:space="preserve">6,17</t>
  </si>
  <si>
    <t xml:space="preserve">5.04679454539172e-07</t>
  </si>
  <si>
    <t xml:space="preserve">hexosaminidase subunit alpha</t>
  </si>
  <si>
    <t xml:space="preserve">FUNCTION: Responsible for the degradation of GM2 gangliosides, and a variety of other molecules containing terminal N-acetyl hexosamines, in the brain and other tissues. The form B is active against certain oligosaccharides. The form S has no measurable activity.; </t>
  </si>
  <si>
    <t xml:space="preserve">DISEASE: GM2-gangliosidosis 1 (GM2G1) [MIM:272800]: An autosomal recessive lysosomal storage disease marked by the accumulation of GM2 gangliosides in the neuronal cells. It is characterized by GM2 gangliosides accumulation in the absence of HEXA activity, leading to neurodegeneration and, in the infantile form, death in early childhood. It exists in several forms: infantile (most common and most severe), juvenile and adult (late-onset). {ECO:0000269|PubMed:1301189, ECO:0000269|PubMed:1301190, ECO:0000269|PubMed:1302612, ECO:0000269|PubMed:14566483, ECO:0000269|PubMed:1532289, ECO:0000269|PubMed:1837283, ECO:0000269|PubMed:2144098, ECO:0000269|PubMed:2522679, ECO:0000269|PubMed:2970528, ECO:0000269|PubMed:7717398, ECO:0000269|PubMed:7837766, ECO:0000269|PubMed:7898712, ECO:0000269|PubMed:7951261, ECO:0000269|PubMed:8445615, ECO:0000269|PubMed:8490625, ECO:0000269|PubMed:8581357, ECO:0000269|PubMed:8757036, ECO:0000269|PubMed:9150157, ECO:0000269|PubMed:9338583, ECO:0000269|PubMed:9375850, ECO:0000269|PubMed:9401008, ECO:0000269|PubMed:9603435}. Note=The disease is caused by mutations affecting the gene represented in this entry.; </t>
  </si>
  <si>
    <t xml:space="preserve">599.64</t>
  </si>
  <si>
    <t xml:space="preserve">9,17</t>
  </si>
  <si>
    <t xml:space="preserve">604.64</t>
  </si>
  <si>
    <t xml:space="preserve">65</t>
  </si>
  <si>
    <t xml:space="preserve">38,27</t>
  </si>
  <si>
    <t xml:space="preserve">0.00160800069630225</t>
  </si>
  <si>
    <t xml:space="preserve">semaphorin 4B</t>
  </si>
  <si>
    <t xml:space="preserve">FUNCTION: Inhibits axonal extension by providing local signals to specify territories inaccessible for growing axons. {ECO:0000250}.; </t>
  </si>
  <si>
    <t xml:space="preserve">TTTTTTTTT</t>
  </si>
  <si>
    <t xml:space="preserve">2136.02</t>
  </si>
  <si>
    <t xml:space="preserve">61</t>
  </si>
  <si>
    <t xml:space="preserve">0,21,40</t>
  </si>
  <si>
    <t xml:space="preserve">uc010urq.2:c.-50_-47delins-;uc002bul.3:c.-50_-47delins-;uc010bon.3:c.-50_-47delins-;ENST00000268035:c.-55_-47del-;ENST00000558762:c.-55_-47del-</t>
  </si>
  <si>
    <t xml:space="preserve">2;1</t>
  </si>
  <si>
    <t xml:space="preserve">0.552974259646112</t>
  </si>
  <si>
    <t xml:space="preserve">IGF1R antisense imprinted non-protein coding RNA;insulin like growth factor 1 receptor</t>
  </si>
  <si>
    <t xml:space="preserve">FUNCTION: Receptor tyrosine kinase which mediates actions of insulin-like growth factor 1 (IGF1). Binds IGF1 with high affinity and IGF2 and insulin (INS) with a lower affinity. The activated IGF1R is involved in cell growth and survival control. IGF1R is crucial for tumor transformation and survival of malignant cell. Ligand binding activates the receptor kinase, leading to receptor autophosphorylation, and tyrosines phosphorylation of multiple substrates, that function as signaling adapter proteins including, the insulin-receptor substrates (IRS1/2), Shc and 14-3-3 proteins. Phosphorylation of IRSs proteins lead to the activation of two main signaling pathways: the PI3K-AKT/PKB pathway and the Ras-MAPK pathway. The result of activating the MAPK pathway is increased cellular proliferation, whereas activating the PI3K pathway inhibits apoptosis and stimulates protein synthesis. Phosphorylated IRS1 can activate the 85 kDa regulatory subunit of PI3K (PIK3R1), leading to activation of several downstream substrates, including protein AKT/PKB. AKT phosphorylation, in turn, enhances protein synthesis through mTOR activation and triggers the antiapoptotic effects of IGFIR through phosphorylation and inactivation of BAD. In parallel to PI3K- driven signaling, recruitment of Grb2/SOS by phosphorylated IRS1 or Shc leads to recruitment of Ras and activation of the ras-MAPK pathway. In addition to these two main signaling pathways IGF1R signals also through the Janus kinase/signal transducer and activator of transcription pathway (JAK/STAT). Phosphorylation of JAK proteins can lead to phosphorylation/activation of signal transducers and activators of transcription (STAT) proteins. In particular activation of STAT3, may be essential for the transforming activity of IGF1R. The JAK/STAT pathway activates gene transcription and may be responsible for the transforming activity. JNK kinases can also be activated by the IGF1R. IGF1 exerts inhibiting activities on JNK activation via phosphorylation and inhibition of MAP3K5/ASK1, which is able to directly associate with the IGF1R.; </t>
  </si>
  <si>
    <t xml:space="preserve">DISEASE: Insulin-like growth factor 1 resistance (IGF1RES) [MIM:270450]: A disorder characterized by intrauterine growth retardation, poor postnatal growth and increased plasma IGF1 levels. {ECO:0000269|PubMed:14657428, ECO:0000269|PubMed:15928254}. Note=The disease is caused by mutations affecting the gene represented in this entry.; </t>
  </si>
  <si>
    <t xml:space="preserve">1872.02</t>
  </si>
  <si>
    <t xml:space="preserve">17,47,55</t>
  </si>
  <si>
    <t xml:space="preserve">NM_001291858:c.*5773delT;NM_000875:c.*5773delT;uc002bul.3:c.*5773delT;uc010bon.3:c.*5773delT</t>
  </si>
  <si>
    <t xml:space="preserve">insulin like growth factor 1 receptor</t>
  </si>
  <si>
    <t xml:space="preserve">47,5</t>
  </si>
  <si>
    <t xml:space="preserve">UTR3</t>
  </si>
  <si>
    <t xml:space="preserve">NM_201400:c.*893A&gt;C;NM_001289029:c.*893A&gt;C;NM_201598:c.*893A&gt;C;uc002cyo.2:c.*893A&gt;C;uc002cyp.2:c.*893A&gt;C;ENST00000427587:c.*893A&gt;C;ENST00000458008:c.*893A&gt;C;ENST00000585436:c.*1394A&gt;C</t>
  </si>
  <si>
    <t xml:space="preserve">eukaryotic elongation factor 2 lysine methyltransferase</t>
  </si>
  <si>
    <t xml:space="preserve">FUNCTION: Catalyzes the trimethylation of eukaryotic elongation factor 2 (EEF2) on 'Lys-525'. {ECO:0000269|PubMed:25231979}.; </t>
  </si>
  <si>
    <t xml:space="preserve">750.64</t>
  </si>
  <si>
    <t xml:space="preserve">57,27</t>
  </si>
  <si>
    <t xml:space="preserve">FLJ00285:uc002ddh.2:exon9:c.C1589G:p.S530X</t>
  </si>
  <si>
    <t xml:space="preserve">1076.64</t>
  </si>
  <si>
    <t xml:space="preserve">105</t>
  </si>
  <si>
    <t xml:space="preserve">60,45</t>
  </si>
  <si>
    <t xml:space="preserve">NM_001143979:c.*320C&gt;T;NM_017668:c.*320C&gt;T;ENST00000396355:c.*320C&gt;T;ENST00000396354:c.*320C&gt;T;ENST00000342673:c.*320C&gt;T</t>
  </si>
  <si>
    <t xml:space="preserve">0.0471095482859516</t>
  </si>
  <si>
    <t xml:space="preserve">nudE neurodevelopment protein 1</t>
  </si>
  <si>
    <t xml:space="preserve">FUNCTION: Required for centrosome duplication and formation and function of the mitotic spindle. Essential for the development of the cerebral cortex. May regulate the production of neurons by controlling the orientation of the mitotic spindle during division of cortical neuronal progenitors of the proliferative ventricular zone of the brain. Orientation of the division plane perpendicular to the layers of the cortex gives rise to two proliferative neuronal progenitors whereas parallel orientation of the division plane yields one proliferative neuronal progenitor and a post- mitotic neuron. A premature shift towards a neuronal fate within the progenitor population may result in an overall reduction in the final number of neurons and an increase in the number of neurons in the deeper layers of the cortex. {ECO:0000269|PubMed:17600710, ECO:0000269|PubMed:21529752}.; </t>
  </si>
  <si>
    <t xml:space="preserve">DISEASE: Lissencephaly 4 (LIS4) [MIM:614019]: A neurodevelopmental disorder characterized by lissencephaly, severe brain atrophy, extreme microcephaly, and profound mental retardation. {ECO:0000269|PubMed:21529751, ECO:0000269|PubMed:21529752}. Note=The disease is caused by mutations affecting the gene represented in this entry.; DISEASE: Microhydranencephaly (MHAC) [MIM:605013]: A severe neurodevelopmental disorder characterized by microcephaly, severe motor and mental retardation, spasticity, and brain malformations that include gross dilation of the ventricles with complete absence of the cerebral hemispheres or severe delay in their development. {ECO:0000269|PubMed:22526350}. Note=The disease is caused by mutations affecting the gene represented in this entry.; </t>
  </si>
  <si>
    <t xml:space="preserve">968.64</t>
  </si>
  <si>
    <t xml:space="preserve">60,42</t>
  </si>
  <si>
    <t xml:space="preserve">0.368698568765529</t>
  </si>
  <si>
    <t xml:space="preserve">sodium channel epithelial 1 gamma subunit</t>
  </si>
  <si>
    <t xml:space="preserve">FUNCTION: Sodium permeable non-voltage-sensitive ion channel inhibited by the diuretic amiloride. Mediates the electrodiffusion of the luminal sodium (and water, which follows osmotically) through the apical membrane of epithelial cells. Plays an essential role in electrolyte and blood pressure homeostasis, but also in airway surface liquid homeostasis, which is important for proper clearance of mucus. Controls the reabsorption of sodium in kidney, colon, lung and sweat glands. Also plays a role in taste perception. {ECO:0000269|PubMed:24124190, ECO:0000303|PubMed:7490094}.; </t>
  </si>
  <si>
    <t xml:space="preserve">DISEASE: Liddle syndrome (LIDLS) [MIM:177200]: An autosomal dominant disorder characterized by hypertension, hypokalemic alkalosis, and suppression of plasma renin activity and aldosterone secretion. {ECO:0000269|PubMed:7550319}. Note=The disease is caused by mutations affecting the gene represented in this entry.; DISEASE: Bronchiectasis with or without elevated sweat chloride 3 (BESC3) [MIM:613071]: A debilitating respiratory disease characterized by chronic, abnormal dilatation of the bronchi and other cystic fibrosis-like symptoms in the absence of known causes of bronchiectasis (cystic fibrosis, autoimmune diseases, ciliary dyskinesia, common variable immunodeficiency, foreign body obstruction). Clinical features include sub-normal lung function, sinopulmonary infections, chronic productive cough, excessive sputum production, and elevated sweat chloride in some cases. {ECO:0000269|PubMed:18507830, ECO:0000269|PubMed:19017867}. Note=The disease is caused by mutations affecting the gene represented in this entry.; </t>
  </si>
  <si>
    <t xml:space="preserve">121.02</t>
  </si>
  <si>
    <t xml:space="preserve">1,5,6</t>
  </si>
  <si>
    <t xml:space="preserve">1.32628496864351e-10</t>
  </si>
  <si>
    <t xml:space="preserve">partner and localizer of BRCA2</t>
  </si>
  <si>
    <t xml:space="preserve">FUNCTION: Plays a critical role in homologous recombination repair (HRR) through its ability to recruit BRCA2 and RAD51 to DNA breaks. Strongly stimulates the DNA strand-invasion activity of RAD51, stabilizes the nucleoprotein filament against a disruptive BRC3-BRC4 polypeptide and helps RAD51 to overcome the suppressive effect of replication protein A (RPA). Functionally cooperates with RAD51AP1 in promoting of D-loop formation by RAD51. Serves as the molecular scaffold in the formation of the BRCA1-PALB2-BRCA2 complex which is essential for homologous recombination. Via its WD repeats is proposed to scaffold a HR complex containing RAD51C and BRCA2 which is thought to play a role in HR-mediated DNA repair. Essential partner of BRCA2 that promotes the localization and stability of BRCA2. Also enables its recombinational repair and checkpoint functions of BRCA2. May act by promoting stable association of BRCA2 with nuclear structures, allowing BRCA2 to escape the effects of proteasome-mediated degradation. Binds DNA with high affinity for D loop, which comprises single-stranded, double-stranded and branched DNA structures. May play a role in the extension step after strand invasion at replication-dependent DNA double-strand breaks; together with BRCA2 is involved in both POLH localization at collapsed replication forks and DNA polymerization activity. {ECO:0000269|PubMed:16793542, ECO:0000269|PubMed:19369211, ECO:0000269|PubMed:19423707, ECO:0000269|PubMed:20871615, ECO:0000269|PubMed:20871616, ECO:0000269|PubMed:22941656, ECO:0000269|PubMed:24141787, ECO:0000269|PubMed:24485656}.; </t>
  </si>
  <si>
    <t xml:space="preserve">DISEASE: Breast cancer (BC) [MIM:114480]: A common malignancy originating from breast epithelial tissue. Breast neoplasms can be distinguished by their histologic pattern. Invasive ductal carcinoma is by far the most common type. Breast cancer is etiologically and genetically heterogeneous. Important genetic factors have been indicated by familial occurrence and bilateral involvement. Mutations at more than one locus can be involved in different families or even in the same case. {ECO:0000269|PubMed:17287723, ECO:0000269|PubMed:22241545}. Note=Disease susceptibility is associated with variations affecting the gene represented in this entry. Breast cancer susceptibility is strongly associated with PALB2 truncating mutations. Conversely, rare missense mutations do not strongly influence breast cancer risk (PubMed:22241545). {ECO:0000269|PubMed:22241545}.; DISEASE: Fanconi anemia complementation group N (FANCN) [MIM:610832]: A disorder affecting all bone marrow elements and resulting in anemia, leukopenia and thrombopenia. It is associated with cardiac, renal and limb malformations, dermal pigmentary changes, and a predisposition to the development of malignancies. At the cellular level it is associated with hypersensitivity to DNA-damaging agents, chromosomal instability (increased chromosome breakage) and defective DNA repair. {ECO:0000269|PubMed:17200672}. Note=The disease is caused by mutations affecting the gene represented in this entry.; DISEASE: Pancreatic cancer 3 (PNCA3) [MIM:613348]: A malignant neoplasm of the pancreas. Tumors can arise from both the exocrine and endocrine portions of the pancreas, but 95% of them develop from the exocrine portion, including the ductal epithelium, acinar cells, connective tissue, and lymphatic tissue. {ECO:0000269|PubMed:19264984}. Note=The disease is caused by mutations affecting the gene represented in this entry.; </t>
  </si>
  <si>
    <t xml:space="preserve">203.64</t>
  </si>
  <si>
    <t xml:space="preserve">262</t>
  </si>
  <si>
    <t xml:space="preserve">232,30</t>
  </si>
  <si>
    <t xml:space="preserve">2.23675804808239e-09</t>
  </si>
  <si>
    <t xml:space="preserve">sulfotransferase family 1A member 1</t>
  </si>
  <si>
    <t xml:space="preserve">FUNCTION: Sulfotransferase that utilizes 3'-phospho-5'-adenylyl sulfate (PAPS) as sulfonate donor to catalyze the sulfate conjugation of catecholamines, phenolic drugs and neurotransmitters. Has also estrogen sulfotransferase activity. responsible for the sulfonation and activation of minoxidil. Is Mediates the metabolic activation of carcinogenic N- hydroxyarylamines to DNA binding products and could so participate as modulating factor of cancer risk. {ECO:0000269|PubMed:12471039, ECO:0000269|PubMed:16221673}.; </t>
  </si>
  <si>
    <t xml:space="preserve">429.64</t>
  </si>
  <si>
    <t xml:space="preserve">41</t>
  </si>
  <si>
    <t xml:space="preserve">19,22</t>
  </si>
  <si>
    <t xml:space="preserve">0.25844682511651</t>
  </si>
  <si>
    <t xml:space="preserve">spinster homolog 1 (Drosophila)</t>
  </si>
  <si>
    <t xml:space="preserve">FUNCTION: Sphingolipid transporter (By similarity). May be involved in necrotic or autophagic cell death. {ECO:0000250, ECO:0000269|PubMed:12815463}.; </t>
  </si>
  <si>
    <t xml:space="preserve">3431.60</t>
  </si>
  <si>
    <t xml:space="preserve">214</t>
  </si>
  <si>
    <t xml:space="preserve">105,109</t>
  </si>
  <si>
    <t xml:space="preserve">HYDIN:NM_001270974:exon69:c.11712delT:p.Q3905Rfs*5;HYDIN:uc031qwy.1:exon69:c.11712delT:p.Q3905Rfs*5;ENSG00000157423:ENST00000393567:exon69:c.11712delT:p.Q3905Rfs*5</t>
  </si>
  <si>
    <t xml:space="preserve">HYDIN, axonemal central pair apparatus protein</t>
  </si>
  <si>
    <t xml:space="preserve">FUNCTION: Required for ciliary motility. {ECO:0000250}.; </t>
  </si>
  <si>
    <t xml:space="preserve">DISEASE: Ciliary dyskinesia, primary, 5 (CILD5) [MIM:608647]: An autosomal recessive form of primary dyskinesia,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CILD5 is characterized by early onset of a progressive decline in lung function due to an inability to clear mucus and particles from the airways. Affected individuals have recurrent infections of the sinuses, ears, airways, and lungs. Sperm motility is also decreased. Individuals with CILD5 do not have situs inversus. {ECO:0000269|PubMed:23022101, ECO:0000269|PubMed:25186273}. Note=The disease is caused by mutations affecting the gene represented in this entry.; </t>
  </si>
  <si>
    <t xml:space="preserve">1674.64</t>
  </si>
  <si>
    <t xml:space="preserve">110</t>
  </si>
  <si>
    <t xml:space="preserve">43,67</t>
  </si>
  <si>
    <t xml:space="preserve">0.217594377239137</t>
  </si>
  <si>
    <t xml:space="preserve">cadherin 13</t>
  </si>
  <si>
    <t xml:space="preserve">FUNCTION: Cadherins are calcium-dependent cell adhesion proteins. They preferentially interact with themselves in a homophilic manner in connecting cells; cadherins may thus contribute to the sorting of heterogeneous cell types. May act as a negative regulator of neural cell growth. {ECO:0000269|PubMed:10737605}.; </t>
  </si>
  <si>
    <t xml:space="preserve">205.56</t>
  </si>
  <si>
    <t xml:space="preserve">0,16,6</t>
  </si>
  <si>
    <t xml:space="preserve">0.535969010144802</t>
  </si>
  <si>
    <t xml:space="preserve">piezo type mechanosensitive ion channel component 1</t>
  </si>
  <si>
    <t xml:space="preserve">FUNCTION: Pore-forming subunit of a mechanosensitive non-specific cation channel (PubMed:23479567, PubMed:23695678). Generates currents characterized by a linear current-voltage relationship that are sensitive to ruthenium red and gadolinium. Plays a key role in epithelial cell adhesion by maintaining integrin activation through R-Ras recruitment to the ER, most probably in its activated state, and subsequent stimulation of calpain signaling (PubMed:20016066). In the kidney, may contribute to the detection of intraluminal pressure changes and to urine flow sensing. Acts as shear-stress sensor that promotes endothelial cell organization and alignment in the direction of blood flow through calpain activation (PubMed:25119035). Plays a key role in blood vessel formation and vascular structure in both development and adult physiology (By similarity). {ECO:0000250|UniProtKB:E2JF22, ECO:0000269|PubMed:20016066, ECO:0000269|PubMed:23479567, ECO:0000269|PubMed:23695678, ECO:0000269|PubMed:25119035}.; </t>
  </si>
  <si>
    <t xml:space="preserve">DISEASE: Dehydrated hereditary stomatocytosis with or without pseudohyperkalemia and/or perinatal edema (DHS) [MIM:194380]: An autosomal dominant hemolytic anemia characterized by primary erythrocyte dehydration. DHS erythrocytes exhibit decreased total cation and potassium content that are not accompanied by a proportional net gain of sodium and water. DHS patients typically exhibit mild to moderate compensated hemolytic anemia, with an increased erythrocyte mean corpuscular hemoglobin concentration and a decreased osmotic fragility, both of which reflect cellular dehydration. Patients may also show perinatal edema and pseudohyperkalemia due to loss of potassium from red cells stored at room temperature. A minor proportion of red cells appear as stomatocytes on blood films. Complications such as splenomegaly and cholelithiasis, resulting from increased red cell trapping in the spleen and elevated bilirubin levels, respectively, may occur. The course of DHS is frequently associated with iron overload, which may lead to hepatosiderosis. {ECO:0000269|PubMed:22529292, ECO:0000269|PubMed:23479567, ECO:0000269|PubMed:23487776, ECO:0000269|PubMed:23581886, ECO:0000269|PubMed:23695678, ECO:0000269|PubMed:23973043}. Note=The disease is caused by mutations affecting the gene represented in this entry. All disease-causing mutations characterized so far produce a gain-of- function phenotype, mutated channels exhibiting increased cation transport in erythroid cells, that could be due to slower channel inactivation rate compared to the wild-type protein.; </t>
  </si>
  <si>
    <t xml:space="preserve">47.64</t>
  </si>
  <si>
    <t xml:space="preserve">1.37225554153478e-15</t>
  </si>
  <si>
    <t xml:space="preserve">acyl-CoA synthetase family member 3</t>
  </si>
  <si>
    <t xml:space="preserve">FUNCTION: Catalyzes the initial reaction in intramitochondrial fatty acid synthesis, by activating malonate and methylmalonate, but not acetate, into their respective CoA thioester. May have some preference toward very-long-chain substrates. {ECO:0000269|PubMed:17762044, ECO:0000269|PubMed:21841779}.; </t>
  </si>
  <si>
    <t xml:space="preserve">DISEASE: Combined malonic and methylmalonic aciduria (CMAMMA) [MIM:614265]: A metabolic disease characterized by malonic and methylmalonic aciduria, with urinary excretion of much larger amounts of methylmalonic acid than malonic acid, in the presence of normal malonyl-CoA decarboxylase activity. Clinical features include coma, ketoacidosis, hypoglycemia, failure to thrive, microcephaly, dystonia, axial hypotonia and/or developmental delay, and neurologic manifestations including seizures, psychiatric disease and/or cognitive decline. {ECO:0000269|PubMed:21841779}. Note=The disease is caused by mutations affecting the gene represented in this entry.; </t>
  </si>
  <si>
    <t xml:space="preserve">38.60</t>
  </si>
  <si>
    <t xml:space="preserve">36,6</t>
  </si>
  <si>
    <t xml:space="preserve">PRPSAP2:uc002guq.2:exon1:c.91dupT:p.P34Sfs*9</t>
  </si>
  <si>
    <t xml:space="preserve">0.0720452015966568</t>
  </si>
  <si>
    <t xml:space="preserve">phosphoribosyl pyrophosphate synthetase-associated protein 2</t>
  </si>
  <si>
    <t xml:space="preserve">FUNCTION: Seems to play a negative regulatory role in 5- phosphoribose 1-diphosphate synthesis.; </t>
  </si>
  <si>
    <t xml:space="preserve">1495.64</t>
  </si>
  <si>
    <t xml:space="preserve">111</t>
  </si>
  <si>
    <t xml:space="preserve">44,67</t>
  </si>
  <si>
    <t xml:space="preserve">RPL23A:uc021ttu.1:exon1:c.A1G:p.M1?;ENSG00000198242:ENST00000394935:exon1:c.A29G:p.H10R,ENSG00000198242:ENST00000394938:exon1:c.A1G:p.M1?</t>
  </si>
  <si>
    <t xml:space="preserve">3/9</t>
  </si>
  <si>
    <t xml:space="preserve">0.876904381937284</t>
  </si>
  <si>
    <t xml:space="preserve">ribosomal protein L23a</t>
  </si>
  <si>
    <t xml:space="preserve">FUNCTION: This protein binds to a specific region on the 26S rRNA. {ECO:0000250}.; </t>
  </si>
  <si>
    <t xml:space="preserve">68.64</t>
  </si>
  <si>
    <t xml:space="preserve">29</t>
  </si>
  <si>
    <t xml:space="preserve">24,5</t>
  </si>
  <si>
    <t xml:space="preserve">Rho GTPase activating protein 23</t>
  </si>
  <si>
    <t xml:space="preserve">FUNCTION: GTPase activator for the Rho-type GTPases by converting them to an inactive GDP-bound state. {ECO:0000250}.; </t>
  </si>
  <si>
    <t xml:space="preserve">699.64</t>
  </si>
  <si>
    <t xml:space="preserve">67</t>
  </si>
  <si>
    <t xml:space="preserve">42,25</t>
  </si>
  <si>
    <t xml:space="preserve">ncRNA_exonic;splicing</t>
  </si>
  <si>
    <t xml:space="preserve">ENST00000579258:exon4:c.2533+2A&gt;C</t>
  </si>
  <si>
    <t xml:space="preserve">leucine-rich repeat containing 37 member A11, pseudogene</t>
  </si>
  <si>
    <t xml:space="preserve">1508.64</t>
  </si>
  <si>
    <t xml:space="preserve">NM_001369519:c.*1999T&gt;C;NM_001369513:c.*1905T&gt;C;NM_001369516:c.*1905T&gt;C;NM_001369518:c.*1999T&gt;C;NM_001369517:c.*1999T&gt;C;NM_001369512:c.*1905T&gt;C;NM_213662:c.*1999T&gt;C;NM_003150:c.*1905T&gt;C;NM_001369514:c.*1905T&gt;C;NM_001369520:c.*1999T&gt;C;NM_139276:c.*1905T&gt;C;ENST00000264657:c.*1905T&gt;C</t>
  </si>
  <si>
    <t xml:space="preserve">0.999989193151158</t>
  </si>
  <si>
    <t xml:space="preserve">signal transducer and activator of transcription 3 (acute-phase response factor)</t>
  </si>
  <si>
    <t xml:space="preserve">FUNCTION: Signal transducer and transcription activator that mediates cellular responses to interleukins, KITLG/SCF, LEP and other growth factors. Once activated, recruits coactivators, such as NCOA1 or MED1, to the promoter region of the target gene (PubMed:17344214). May mediate cellular responses to activated FGFR1, FGFR2, FGFR3 and FGFR4. Binds to the interleukin-6 (IL-6)- responsive elements identified in the promoters of various acute- phase protein genes. Activated by IL31 through IL31RA. Involved in cell cycle regulation by inducing the expression of key genes for the progression from G1 to S phase, such as CCND1 (PubMed:17344214). Mediates the effects of LEP on melanocortin production, body energy homeostasis and lactation (By similarity). May play an apoptotic role by transctivating BIRC5 expression under LEP activation (PubMed:18242580). Cytoplasmic STAT3 represses macroautophagy by inhibiting EIF2AK2/PKR activity. {ECO:0000250|UniProtKB:P42227, ECO:0000269|PubMed:10688651, ECO:0000269|PubMed:12359225, ECO:0000269|PubMed:12873986, ECO:0000269|PubMed:15194700, ECO:0000269|PubMed:17344214, ECO:0000269|PubMed:18242580, ECO:0000269|PubMed:23084476}.; </t>
  </si>
  <si>
    <t xml:space="preserve">DISEASE: Hyperimmunoglobulin E recurrent infection syndrome, autosomal dominant (AD-HIES) [MIM:147060]: A rare disorder of immunity and connective tissue characterized by immunodeficiency, chronic eczema, recurrent Staphylococcal infections, increased serum IgE, eosinophilia, distinctive coarse facial appearance, abnormal dentition, hyperextensibility of the joints, and bone fractures. {ECO:0000269|PubMed:17676033, ECO:0000269|PubMed:17881745, ECO:0000269|PubMed:23342295}. Note=The disease is caused by mutations affecting the gene represented in this entry.; DISEASE: Autoimmune disease, multisystem, infantile-onset (ADMIO) [MIM:615952]: A disorder characterized by early childhood onset of a spectrum of autoimmune manifestations affecting multiple organs, including insulin-dependent diabetes mellitus and autoimmune enteropathy or celiac disease. Other features include short stature, non-specific dermatitis, hypothyroidism, autoimmune arthritis, and delayed puberty. {ECO:0000269|PubMed:25038750}. Note=The disease is caused by mutations affecting the gene represented in this entry.; </t>
  </si>
  <si>
    <t xml:space="preserve">154.64</t>
  </si>
  <si>
    <t xml:space="preserve">9</t>
  </si>
  <si>
    <t xml:space="preserve">4,5</t>
  </si>
  <si>
    <t xml:space="preserve">0.000175624794353708</t>
  </si>
  <si>
    <t xml:space="preserve">myosin light chain 4</t>
  </si>
  <si>
    <t xml:space="preserve">FUNCTION: Regulatory light chain of myosin. Does not bind calcium.; </t>
  </si>
  <si>
    <t xml:space="preserve">113.64</t>
  </si>
  <si>
    <t xml:space="preserve">14,6</t>
  </si>
  <si>
    <t xml:space="preserve">4.63282874453648e-18</t>
  </si>
  <si>
    <t xml:space="preserve">angiotensin I converting enzyme</t>
  </si>
  <si>
    <t xml:space="preserve">FUNCTION: Converts angiotensin I to angiotensin II by release of the terminal His-Leu, this results in an increase of the vasoconstrictor activity of angiotensin. Also able to inactivate bradykinin, a potent vasodilator. Has also a glycosidase activity which releases GPI-anchored proteins from the membrane by cleaving the mannose linkage in the GPI moiety.; </t>
  </si>
  <si>
    <t xml:space="preserve">DISEASE: Ischemic stroke (ISCHSTR) [MIM:601367]: A stroke is an acute neurologic event leading to death of neural tissue of the brain and resulting in loss of motor, sensory and/or cognitive function. Ischemic strokes, resulting from vascular occlusion, is considered to be a highly complex disease consisting of a group of heterogeneous disorders with multiple genetic and environmental risk factors. {ECO:0000269|PubMed:15534175}. Note=Disease susceptibility is associated with variations affecting the gene represented in this entry.; DISEASE: Renal tubular dysgenesis (RTD) [MIM:267430]: Autosomal recessive severe disorder of renal tubular development characterized by persistent fetal anuria and perinatal death, probably due to pulmonary hypoplasia from early-onset oligohydramnios (the Potter phenotype). {ECO:0000269|PubMed:16116425}. Note=The disease is caused by mutations affecting the gene represented in this entry.; DISEASE: Microvascular complications of diabetes 3 (MVCD3) [MIM:612624]: Pathological conditions that develop in numerous tissues and organs as a consequence of diabetes mellitus. They include diabetic retinopathy, diabetic nephropathy leading to end- stage renal disease, and diabetic neuropathy. Diabetic retinopathy remains the major cause of new-onset blindness among diabetic adults. It is characterized by vascular permeability and increased tissue ischemia and angiogenesis. {ECO:0000269|PubMed:10099885}. Note=Disease susceptibility is associated with variations affecting the gene represented in this entry.; DISEASE: Intracerebral hemorrhage (ICH) [MIM:614519]: A pathological condition characterized by bleeding into one or both cerebral hemispheres including the basal ganglia and the cerebral cortex. It is often associated with hypertension and craniocerebral trauma. Intracerebral bleeding is a common cause of stroke. {ECO:0000269|PubMed:15277638}. Note=Disease susceptibility is associated with variations affecting the gene represented in this entry.; </t>
  </si>
  <si>
    <t xml:space="preserve">687.64</t>
  </si>
  <si>
    <t xml:space="preserve">43,28</t>
  </si>
  <si>
    <t xml:space="preserve">2.03911077308728e-10</t>
  </si>
  <si>
    <t xml:space="preserve">regulator of G-protein signaling 9</t>
  </si>
  <si>
    <t xml:space="preserve">FUNCTION: Inhibits signal transduction by increasing the GTPase activity of G protein alpha subunits thereby driving them into their inactive GDP-bound form. Binds to G(t)-alpha. Involved in phototransduction; key element in the recovery phase of visual transduction (By similarity). {ECO:0000250}.; </t>
  </si>
  <si>
    <t xml:space="preserve">DISEASE: Prolonged electroretinal response suppression (PERRS) [MIM:608415]: Characterized by difficulty adjusting to sudden changes in luminance levels mediated by cones. {ECO:0000269|PubMed:14702087}. Note=The disease is caused by mutations affecting the gene represented in this entry.; </t>
  </si>
  <si>
    <t xml:space="preserve">530.81</t>
  </si>
  <si>
    <t xml:space="preserve">2,16</t>
  </si>
  <si>
    <t xml:space="preserve">1.71937025604407e-33</t>
  </si>
  <si>
    <t xml:space="preserve">ATP binding cassette subfamily A member 8</t>
  </si>
  <si>
    <t xml:space="preserve">FUNCTION: ATP-dependent lipophilic drug transporter. {ECO:0000269|PubMed:12379217}.; </t>
  </si>
  <si>
    <t xml:space="preserve">82.60</t>
  </si>
  <si>
    <t xml:space="preserve">16,4</t>
  </si>
  <si>
    <t xml:space="preserve">UTR3;exonic</t>
  </si>
  <si>
    <t xml:space="preserve">NM_001168:c.*221_*222delTC;NM_001012270:c.*118_*119delTC;NM_001012271:c.*221_*222delTC;uc002jvf.3:c.*221_*222delTC;uc002jvg.3:c.*221_*222delTC;uc002jvh.3:c.*118_*119delTC;ENSG00000268310:ENST00000600484:exon4:c.425_426del:p.R142Kfs*28</t>
  </si>
  <si>
    <t xml:space="preserve">0.215847836777704</t>
  </si>
  <si>
    <t xml:space="preserve">baculoviral IAP repeat containing 5</t>
  </si>
  <si>
    <t xml:space="preserve">FUNCTION: Multitasking protein that has dual roles in promoting cell proliferation and preventing apoptosis. Component of a chromosome passage protein complex (CPC) which is essential for chromosome alignment and segregation during mitosis and cytokinesis. Acts as an important regulator of the localization of this complex; directs CPC movement to different locations from the inner centromere during prometaphase to midbody during cytokinesis and participates in the organization of the center spindle by associating with polymerized microtubules. The complex with RAN plays a role in mitotic spindle formation by serving as a physical scaffold to help deliver the RAN effector molecule TPX2 to microtubules. May counteract a default induction of apoptosis in G2/M phase. The acetylated form represses STAT3 transactivation of target gene promoters. May play a role in neoplasia. Inhibitor of CASP3 and CASP7. Isoform 2 and isoform 3 do not appear to play vital roles in mitosis. Isoform 3 shows a marked reduction in its anti-apoptotic effects when compared with the displayed wild-type isoform. {ECO:0000269|PubMed:10626797, ECO:0000269|PubMed:12773388, ECO:0000269|PubMed:16291752, ECO:0000269|PubMed:16322459, ECO:0000269|PubMed:18591255, ECO:0000269|PubMed:20826784, ECO:0000269|PubMed:21536684, ECO:0000269|PubMed:9859993}.; </t>
  </si>
  <si>
    <t xml:space="preserve">81.64</t>
  </si>
  <si>
    <t xml:space="preserve">0.991910743527009</t>
  </si>
  <si>
    <t xml:space="preserve">casein kinase 1 delta</t>
  </si>
  <si>
    <t xml:space="preserve">FUNCTION: Essential serine/threonine-protein kinase that regulates diverse cellular growth and survival processes including Wnt signaling, DNA repair and circadian rhythms. It can phosphorylate a large number of proteins. Casein kinases are operationally defined by their preferential utilization of acidic proteins such as caseins as substrates. Phosphorylates connexin-43/GJA1, MAP1A, SNAPIN, MAPT/TAU, TOP2A, DCK, HIF1A, EIF6, p53/TP53, DVL2, DVL3, ESR1, AIB1/NCOA3, DNMT1, PKD2, YAP1, PER1 and PER2. Central component of the circadian clock. In balance with PP1, determines the circadian period length through the regulation of the speed and rhythmicity of PER1 and PER2 phospohorylation. Controls PER1 and PER2 nuclear transport and degradation. YAP1 phosphorylation promotes its SCF(beta-TRCP) E3 ubiquitin ligase-mediated ubiquitination and subsequent degradation. DNMT1 phosphorylation reduces its DNA-binding activity. Phosphorylation of ESR1 and AIB1/NCOA3 stimulates their activity and coactivation. Phosphorylation of DVL2 and DVL3 regulates WNT3A signaling pathway that controls neurite outgrowth. EIF6 phosphorylation promotes its nuclear export. Triggers down-regulation of dopamine receptors in the forebrain. Activates DCK in vitro by phosphorylation. TOP2A phosphorylation favors DNA cleavable complex formation. May regulate the formation of the mitotic spindle apparatus in extravillous trophoblast. Modulates connexin-43/GJA1 gap junction assembly by phosphorylation. Probably involved in lymphocyte physiology. Regulates fast synaptic transmission mediated by glutamate. {ECO:0000269|PubMed:10606744, ECO:0000269|PubMed:12270943, ECO:0000269|PubMed:14761950, ECO:0000269|PubMed:16027726, ECO:0000269|PubMed:17562708, ECO:0000269|PubMed:17962809, ECO:0000269|PubMed:19043076, ECO:0000269|PubMed:19339517, ECO:0000269|PubMed:20041275, ECO:0000269|PubMed:20048001, ECO:0000269|PubMed:20407760, ECO:0000269|PubMed:20637175, ECO:0000269|PubMed:20696890, ECO:0000269|PubMed:20699359, ECO:0000269|PubMed:21084295, ECO:0000269|PubMed:21422228, ECO:0000269|PubMed:23636092}.; </t>
  </si>
  <si>
    <t xml:space="preserve">DISEASE: Advanced sleep phase syndrome, familial, 2 (FASPS2) [MIM:615224]: A disorder characterized by very early sleep onset and offset. Individuals are 'morning larks' with a 4 hours advance of the sleep, temperature and melatonin rhythms. {ECO:0000269|PubMed:15800623, ECO:0000269|PubMed:23636092}. Note=The disease is caused by mutations affecting the gene represented in this entry.; </t>
  </si>
  <si>
    <t xml:space="preserve">118.64</t>
  </si>
  <si>
    <t xml:space="preserve">9,5</t>
  </si>
  <si>
    <t xml:space="preserve">0.000595568731470111</t>
  </si>
  <si>
    <t xml:space="preserve">2-oxoglutarate and iron dependent oxygenase domain containing 3</t>
  </si>
  <si>
    <t xml:space="preserve">chr18</t>
  </si>
  <si>
    <t xml:space="preserve">45,34</t>
  </si>
  <si>
    <t xml:space="preserve">0.999999998790609</t>
  </si>
  <si>
    <t xml:space="preserve">structural maintenance of chromosomes flexible hinge domain containing 1</t>
  </si>
  <si>
    <t xml:space="preserve">FUNCTION: Required for maintenance of X inactivation in females and hypermethylation of CpG islands associated with inactive X. Involved in a pathway that mediates the methylation of a subset of CpG islands slowly and requires the de novo methyltransferase DNMT3B (By similarity). Required for DUX4 silencing in somatic cells. {ECO:0000250, ECO:0000269|PubMed:23143600}.; </t>
  </si>
  <si>
    <t xml:space="preserve">DISEASE: Facioscapulohumeral muscular dystrophy 2 (FSHD2) [MIM:158901]: A degenerative muscle disease characterized by slowly progressive weakness of the muscles of the face, upper-arm, and shoulder girdle. The onset of symptoms usually occurs in the first or second decade of life. Affected individuals usually present with impairment of upper extremity elevation. This tends to be followed by facial weakness, primarily involving the orbicularis oris and orbicularis oculi muscles. {ECO:0000269|PubMed:23143600}. Note=The disease is caused by mutations affecting the gene represented in this entry. SMCHD1 mutations lead to DUX4 expression in somatic tissues, including muscle cells, when an haplotype on chromosome 4 is permissive for DUX4 expression. Ectopic expression of DUX4 in skeletal muscle activates the expression of stem cell and germline genes, and, when overexpressed in somatic cells, DUX4 can ultimately lead to cell death.; </t>
  </si>
  <si>
    <t xml:space="preserve">663.02</t>
  </si>
  <si>
    <t xml:space="preserve">24</t>
  </si>
  <si>
    <t xml:space="preserve">0,12,12</t>
  </si>
  <si>
    <t xml:space="preserve">0.673512974845848</t>
  </si>
  <si>
    <t xml:space="preserve">lipin 2</t>
  </si>
  <si>
    <t xml:space="preserve">FUNCTION: Plays important roles in controlling the metabolism of fatty acids at differents levels. Acts as a magnesium-dependent phosphatidate phosphatase enzyme which catalyzes the conversion of phosphatidic acid to diacylglycerol during triglyceride, phosphatidylcholine and phosphatidylethanolamine biosynthesis in the reticulum endoplasmic membrane. Acts also as a nuclear transcriptional coactivator for PPARGC1A to modulate lipid metabolism (By similarity). {ECO:0000250}.; </t>
  </si>
  <si>
    <t xml:space="preserve">DISEASE: Majeed syndrome (MAJEEDS) [MIM:609628]: An autosomal recessive syndrome characterized by chronic recurrent multifocal osteomyelitis that is of early onset with a lifelong course, congenital dyserythropoietic anemia that presents as hypochromic, microcytic anemia during the first year of life and ranges from mild to transfusion-dependent, and transient inflammatory dermatosis, often manifesting as Sweet syndrome (neutrophilic skin infiltration). {ECO:0000269|PubMed:15994876}. Note=The disease is caused by mutations affecting the gene represented in this entry.; </t>
  </si>
  <si>
    <t xml:space="preserve">CCCCA</t>
  </si>
  <si>
    <t xml:space="preserve">894.02</t>
  </si>
  <si>
    <t xml:space="preserve">0,21,5</t>
  </si>
  <si>
    <t xml:space="preserve">SOGA2:uc010dkw.1:exon2:c.1429_1430insCCCCA:p.A478Pfs*33</t>
  </si>
  <si>
    <t xml:space="preserve">microtubule crosslinking factor 1</t>
  </si>
  <si>
    <t xml:space="preserve">FUNCTION: Microtubule-associated factor involved in the late phase of epithelial polarization and microtubule dynamics regulation. Plays a role in the development and maintenance of non-centrosomal microtubule bundles at the lateral membrane in polarized epithelial cells. {ECO:0000269|PubMed:23902687}.; </t>
  </si>
  <si>
    <t xml:space="preserve">199.64</t>
  </si>
  <si>
    <t xml:space="preserve">2,7</t>
  </si>
  <si>
    <t xml:space="preserve">0.603955312622787</t>
  </si>
  <si>
    <t xml:space="preserve">piezo type mechanosensitive ion channel component 2</t>
  </si>
  <si>
    <t xml:space="preserve">FUNCTION: Component of a mechanosensitive channel required for rapidly adapting mechanically activated (MA) currents. Required for Merkel-cell mechanotransduction. Plays a major role in light- touch mechanosensation. {ECO:0000250|UniProtKB:Q8CD54}.; </t>
  </si>
  <si>
    <t xml:space="preserve">DISEASE: Arthrogryposis, distal, 5 (DA5) [MIM:108145]: A form of distal arthrogryposis, a disease characterized by congenital joint contractures that mainly involve two or more distal parts of the limbs, in the absence of a primary neurological or muscle disease. DA5 features include ocular abnormalities, typically ptosis, ophthalmoplegia and/or strabismus, in addition to contractures of the skeletal muscles. Some patients have pulmonary hypertension as a result of restrictive lung disease. {ECO:0000269|PubMed:23487782}. Note=The disease is caused by mutations affecting the gene represented in this entry.; DISEASE: Arthrogryposis, distal, 3 (DA3) [MIM:114300]: A form of distal arthrogryposis, a disease characterized by congenital joint contractures that mainly involve two or more distal parts of the limbs, in the absence of a primary neurological or muscle disease. DA3 features include short stature and cleft palate. {ECO:0000269|PubMed:24726473}. Note=The disease is caused by mutations affecting the gene represented in this entry.; DISEASE: Marden-Walker syndrome (MWKS) [MIM:248700]: A syndrome characterized by a mask-like face with blepharophimosis, micrognathia, cleft or high-arched palate, low-set ears, congenital joint contractures, kyphoscoliosis, pectus excavatum or carinatum, and arachnodactyly. Additional features include decreased muscular mass, failure to thrive, renal anomalies, hypoplastic corpus callosum, cerebellar vermis hypoplasia, enlarged cisterna magna, and psychomotor retardation. {ECO:0000269|PubMed:24726473}. Note=The disease is caused by mutations affecting the gene represented in this entry.; </t>
  </si>
  <si>
    <t xml:space="preserve">31</t>
  </si>
  <si>
    <t xml:space="preserve">27,4</t>
  </si>
  <si>
    <t xml:space="preserve">uc002ldz.3:c.*3443A&gt;C;uc002lea.2:c.*3443A&gt;C;uc002leb.2:c.*3443A&gt;C</t>
  </si>
  <si>
    <t xml:space="preserve">5;4</t>
  </si>
  <si>
    <t xml:space="preserve">5.4231747689238e-10</t>
  </si>
  <si>
    <t xml:space="preserve">myosin VB;small nucleolar RNA host gene 22</t>
  </si>
  <si>
    <t xml:space="preserve">FUNCTION: May be involved in vesicular trafficking via its association with the CART complex. The CART complex is necessary for efficient transferrin receptor recycling but not for EGFR degradation. Required in a complex with RAB11A and RAB11FIP2 for the transport of NPC1L1 to the plasma membrane. Together with RAB11A participates in CFTR trafficking to the plasma membrane and TF (transferrin) recycling in nonpolarized cells. Together with RAB11A and RAB8A participates in epithelial cell polarization. Together with RAB25 regulates transcytosis. {ECO:0000269|PubMed:21206382, ECO:0000269|PubMed:21282656}.; </t>
  </si>
  <si>
    <t xml:space="preserve">DISEASE: Diarrhea 2, with microvillus atrophy (DIAR2) [MIM:251850]: A disease characterized by onset of intractable life-threatening watery diarrhea during infancy. Two forms are recognized: early-onset microvillus inclusion disease with diarrhea beginning in the neonatal period, and late-onset, with first symptoms appearing after 3 or 4 months of life. {ECO:0000269|PubMed:18724368, ECO:0000269|PubMed:19006234, ECO:0000269|PubMed:20186687, ECO:0000269|PubMed:21206382, ECO:0000269|PubMed:24138727, ECO:0000269|PubMed:24892806}. Note=The disease is caused by mutations affecting the gene represented in this entry.; </t>
  </si>
  <si>
    <t xml:space="preserve">uc002ldz.3:c.*3440A&gt;G;uc002lea.2:c.*3440A&gt;G;uc002leb.2:c.*3440A&gt;G</t>
  </si>
  <si>
    <t xml:space="preserve">252.64</t>
  </si>
  <si>
    <t xml:space="preserve">167</t>
  </si>
  <si>
    <t xml:space="preserve">148,19</t>
  </si>
  <si>
    <t xml:space="preserve">uc002ldz.3:c.*242C&gt;A;uc002lea.2:c.*242C&gt;A;uc002leb.2:c.*242C&gt;A</t>
  </si>
  <si>
    <t xml:space="preserve">783.64</t>
  </si>
  <si>
    <t xml:space="preserve">191</t>
  </si>
  <si>
    <t xml:space="preserve">157,34</t>
  </si>
  <si>
    <t xml:space="preserve">uc002ldz.3:c.*56T&gt;G;uc002lea.2:c.*56T&gt;G;uc002leb.2:c.*56T&gt;G</t>
  </si>
  <si>
    <t xml:space="preserve">19</t>
  </si>
  <si>
    <t xml:space="preserve">12,7</t>
  </si>
  <si>
    <t xml:space="preserve">myosin VB</t>
  </si>
  <si>
    <t xml:space="preserve">32,47</t>
  </si>
  <si>
    <t xml:space="preserve">0.99999895681268</t>
  </si>
  <si>
    <t xml:space="preserve">DCC netrin 1 receptor</t>
  </si>
  <si>
    <t xml:space="preserve">FUNCTION: Receptor for netrin required for axon guidance. Mediates axon attraction of neuronal growth cones in the developing nervous system upon ligand binding. Its association with UNC5 proteins may trigger signaling for axon repulsion. It also acts as a dependence receptor required for apoptosis induction when not associated with netrin ligand. Implicated as a tumor suppressor gene. {ECO:0000269|PubMed:8187090, ECO:0000269|PubMed:8861902}.; </t>
  </si>
  <si>
    <t xml:space="preserve">DISEASE: Mirror movements 1 (MRMV1) [MIM:157600]: A disorder characterized by contralateral involuntary movements that mirror voluntary ones. While mirror movements are occasionally found in young children, persistence beyond the age of 10 is abnormal. Mirror movements occur more commonly in the upper extremities. {ECO:0000269|PubMed:20431009}. Note=The disease is caused by mutations affecting the gene represented in this entry.; </t>
  </si>
  <si>
    <t xml:space="preserve">159.02</t>
  </si>
  <si>
    <t xml:space="preserve">7,13,13</t>
  </si>
  <si>
    <t xml:space="preserve">0.994144577983795</t>
  </si>
  <si>
    <t xml:space="preserve">MALT1 paracaspase</t>
  </si>
  <si>
    <t xml:space="preserve">FUNCTION: Enhances BCL10-induced activation of NF-kappa-B. Involved in nuclear export of BCL10. Binds to TRAF6, inducing TRAF6 oligomerization and activation of its ligase activity. Has ubiquitin ligase activity. MALT1-dependent BCL10 cleavage plays an important role in T-cell antigen receptor-induced integrin adhesion. {ECO:0000269|PubMed:11262391, ECO:0000269|PubMed:14695475, ECO:0000269|PubMed:18264101}.; </t>
  </si>
  <si>
    <t xml:space="preserve">DISEASE: Note=A chromosomal aberration involving MALT1 is recurrent in low-grade mucosa-associated lymphoid tissue (MALT lymphoma). Translocation t(11;18)(q21;q21) with BIRC2. This translocation is found in approximately 50% of cytogenetically abnormal low-grade MALT lymphoma. {ECO:0000269|PubMed:10339464, ECO:0000269|PubMed:10523859, ECO:0000269|PubMed:10702396, ECO:0000269|PubMed:11090634}.; </t>
  </si>
  <si>
    <t xml:space="preserve">247.64</t>
  </si>
  <si>
    <t xml:space="preserve">14,9</t>
  </si>
  <si>
    <t xml:space="preserve">0.924155318985366</t>
  </si>
  <si>
    <t xml:space="preserve">CTD phosphatase subunit 1</t>
  </si>
  <si>
    <t xml:space="preserve">FUNCTION: Processively dephosphorylates 'Ser-2' and 'Ser-5' of the heptad repeats YSPTSPS in the C-terminal domain of the largest RNA polymerase II subunit. This promotes the activity of RNA polymerase II. Plays a role in the exit from mitosis by dephosphorylating crucial mitotic substrates (USP44, CDC20 and WEE1) that are required for M-phase-promoting factor (MPF)/CDK1 inactivation. {ECO:0000269|PubMed:22692537}.; </t>
  </si>
  <si>
    <t xml:space="preserve">DISEASE: Congenital cataracts, facial dysmorphism, and neuropathy (CCFDN) [MIM:604168]: An autosomal recessive developmental disorder characterized by a complex clinical phenotype with seemingly unrelated features involving multiple organs and systems. Developmental abnormalities include congenital cataracts and microcorneae, hypomyelination of the peripheral nervous system, impaired physical growth, delayed early motor and intellectual development, facial dysmorphism and hypogonadism. Central nervous system involvement, with cerebral and spinal cord atrophy, may be the result of disrupted development with superimposed degenerative changes. Affected individuals are prone to severe rhabdomyolysis after viral infections and to serious complications related to general anesthesia (such as pulmonary edema and epileptic seizures). {ECO:0000269|PubMed:14517542}. Note=The disease is caused by mutations affecting the gene represented in this entry.; </t>
  </si>
  <si>
    <t xml:space="preserve">AAAG</t>
  </si>
  <si>
    <t xml:space="preserve">630.01</t>
  </si>
  <si>
    <t xml:space="preserve">9,16,41</t>
  </si>
  <si>
    <t xml:space="preserve">UTR3;downstream;ncRNA_intronic;upstream</t>
  </si>
  <si>
    <t xml:space="preserve">NM_002067:c.*289_*292delins0;dist=338;dist=12</t>
  </si>
  <si>
    <t xml:space="preserve">0.966183014336431</t>
  </si>
  <si>
    <t xml:space="preserve">G protein subunit alpha 11</t>
  </si>
  <si>
    <t xml:space="preserve">FUNCTION: Guanine nucleotide-binding proteins (G proteins) are involved as modulators or transducers in various transmembrane signaling systems. Acts as an activator of phospholipase C.; </t>
  </si>
  <si>
    <t xml:space="preserve">DISEASE: Hypocalciuric hypercalcemia, familial 2 (HHC2) [MIM:145981]: A form of hypocalciuric hypercalcemia, a disorder of mineral homeostasis that is transmitted as an autosomal dominant trait with a high degree of penetrance. It is characterized biochemically by lifelong elevation of serum calcium concentrations and is associated with inappropriately low urinary calcium excretion and a normal or mildly elevated circulating parathyroid hormone level. Hypermagnesemia is typically present. Affected individuals are usually asymptomatic and the disorder is considered benign. However, chondrocalcinosis and pancreatitis occur in some adults. {ECO:0000269|PubMed:23802516}. Note=The disease is caused by mutations affecting the gene represented in this entry.; DISEASE: Hypocalcemia, autosomal dominant 2 (HYPOC2) [MIM:615361]: A form of hypocalcemia, a disorder of mineral homeostasis characterized by blood calcium levels below normal, and low or normal serum parathyroid hormone concentrations. Disease manifestations include hypocalcemia, paresthesias, carpopedal spasm, seizures, hypercalciuria with nephrocalcinosis or kidney stones, and ectopic and basal ganglia calcifications. {ECO:0000269|PubMed:23782177, ECO:0000269|PubMed:23802516}. Note=The disease is caused by mutations affecting the gene represented in this entry.; </t>
  </si>
  <si>
    <t xml:space="preserve">413.64</t>
  </si>
  <si>
    <t xml:space="preserve">22,15</t>
  </si>
  <si>
    <t xml:space="preserve">1.35475416104555e-27</t>
  </si>
  <si>
    <t xml:space="preserve">fibrillin 3</t>
  </si>
  <si>
    <t xml:space="preserve">FUNCTION: Fibrillins are structural components of 10-12 nm extracellular calcium-binding microfibrils, which occur either in association with elastin or in elastin-free bundles. Fibrillin- containing microfibrils provide long-term force bearing structural support. {ECO:0000269|PubMed:14962672}.; </t>
  </si>
  <si>
    <t xml:space="preserve">2999.64</t>
  </si>
  <si>
    <t xml:space="preserve">227</t>
  </si>
  <si>
    <t xml:space="preserve">145,82</t>
  </si>
  <si>
    <t xml:space="preserve">mucin 16, cell surface associated</t>
  </si>
  <si>
    <t xml:space="preserve">FUNCTION: Thought to provide a protective, lubricating barrier against particles and infectious agents at mucosal surfaces. {ECO:0000250}.; </t>
  </si>
  <si>
    <t xml:space="preserve">2869.60</t>
  </si>
  <si>
    <t xml:space="preserve">176</t>
  </si>
  <si>
    <t xml:space="preserve">84,92</t>
  </si>
  <si>
    <t xml:space="preserve">MUC16:NM_024690:exon3:c.28170delC:p.S9391Pfs*18;MUC16:uc002mkp.3:exon3:c.28170delC:p.S9391Pfs*18;ENSG00000181143:ENST00000397910:exon3:c.28170delC:p.S9391Pfs*18</t>
  </si>
  <si>
    <t xml:space="preserve">684.64</t>
  </si>
  <si>
    <t xml:space="preserve">19,27</t>
  </si>
  <si>
    <t xml:space="preserve">7.11903366992312e-07</t>
  </si>
  <si>
    <t xml:space="preserve">collagen type V alpha 3</t>
  </si>
  <si>
    <t xml:space="preserve">FUNCTION: Type V collagen is a member of group I collagen (fibrillar forming collagen). It is a minor connective tissue component of nearly ubiquitous distribution. Type V collagen binds to DNA, heparan sulfate, thrombospondin, heparin, and insulin.; </t>
  </si>
  <si>
    <t xml:space="preserve">255.64</t>
  </si>
  <si>
    <t xml:space="preserve">10,9</t>
  </si>
  <si>
    <t xml:space="preserve">0.982340267394972</t>
  </si>
  <si>
    <t xml:space="preserve">ribonucleoprotein, PTB-binding 1</t>
  </si>
  <si>
    <t xml:space="preserve">FUNCTION: Cooperates with PTBP1 to modulate regulated alternative splicing events. Promotes exon skipping. Cooperates with PTBP1 to modulate switching between mutually exclusive exons during maturation of the TPM1 pre-mRNA (By similarity). {ECO:0000250}.; </t>
  </si>
  <si>
    <t xml:space="preserve">55.60</t>
  </si>
  <si>
    <t xml:space="preserve">exonic;intergenic;intronic</t>
  </si>
  <si>
    <t xml:space="preserve">dist=4468;dist=124188;ENSG00000160229:ENST00000594534:exon4:c.291delC:p.L102*</t>
  </si>
  <si>
    <t xml:space="preserve">5.45295491875167e-17</t>
  </si>
  <si>
    <t xml:space="preserve">zinc finger protein 66</t>
  </si>
  <si>
    <t xml:space="preserve">FUNCTION: May be involved in transcriptional regulation. {ECO:0000250}.; </t>
  </si>
  <si>
    <t xml:space="preserve">AC</t>
  </si>
  <si>
    <t xml:space="preserve">223.60</t>
  </si>
  <si>
    <t xml:space="preserve">7,6</t>
  </si>
  <si>
    <t xml:space="preserve">ZNF100:NM_001351672:exon3:c.694_695insGT:p.H232Rfs*4,ZNF100:NM_001351670:exon4:c.1240_1241insGT:p.H414Rfs*4,ZNF100:NM_001351671:exon4:c.1036_1037insGT:p.H346Rfs*4,ZNF100:NM_001351669:exon5:c.1336_1337insGT:p.H446Rfs*4,ZNF100:NM_173531:exon5:c.1339_1340insGT:p.H447Rfs*4;ZNF100:uc002nqh.3:exon4:c.1147_1148insGT:p.H383Rfs*4,ZNF100:uc002nqi.3:exon5:c.1339_1340insGT:p.H447Rfs*4;ENSG00000197020:ENST00000305570:exon4:c.1147_1148insGT:p.H383Rfs*4,ENSG00000197020:ENST00000358296:exon5:c.1339_1340insGT:p.H447Rfs*4</t>
  </si>
  <si>
    <t xml:space="preserve">7.10189425692909e-13</t>
  </si>
  <si>
    <t xml:space="preserve">zinc finger protein 100</t>
  </si>
  <si>
    <t xml:space="preserve">447.64</t>
  </si>
  <si>
    <t xml:space="preserve">15,14</t>
  </si>
  <si>
    <t xml:space="preserve">0.885285923722225</t>
  </si>
  <si>
    <t xml:space="preserve">zinc finger protein 507</t>
  </si>
  <si>
    <t xml:space="preserve">676.64</t>
  </si>
  <si>
    <t xml:space="preserve">18,27</t>
  </si>
  <si>
    <t xml:space="preserve">0.137954529384416</t>
  </si>
  <si>
    <t xml:space="preserve">transmembrane protein 147</t>
  </si>
  <si>
    <t xml:space="preserve">227.64</t>
  </si>
  <si>
    <t xml:space="preserve">32</t>
  </si>
  <si>
    <t xml:space="preserve">21,11</t>
  </si>
  <si>
    <t xml:space="preserve">UTR3;intronic</t>
  </si>
  <si>
    <t xml:space="preserve">uc002ofb.3:c.*70A&gt;G</t>
  </si>
  <si>
    <t xml:space="preserve">1.84766387824288e-08</t>
  </si>
  <si>
    <t xml:space="preserve">zinc finger protein 829</t>
  </si>
  <si>
    <t xml:space="preserve">1009.64</t>
  </si>
  <si>
    <t xml:space="preserve">36,38</t>
  </si>
  <si>
    <t xml:space="preserve">0.249570217341025</t>
  </si>
  <si>
    <t xml:space="preserve">NFKB inhibitor beta</t>
  </si>
  <si>
    <t xml:space="preserve">FUNCTION: Inhibits NF-kappa-B by complexing with and trapping it in the cytoplasm. However, the unphosphorylated form resynthesized after cell stimulation is able to bind NF-kappa-B allowing its transport to the nucleus and protecting it to further NFKBIA- dependent inactivation. Association with inhibitor kappa B- interacting NKIRAS1 and NKIRAS2 prevent its phosphorylation rendering it more resistant to degradation, explaining its slower degradation.; </t>
  </si>
  <si>
    <t xml:space="preserve">694.64</t>
  </si>
  <si>
    <t xml:space="preserve">23,27</t>
  </si>
  <si>
    <t xml:space="preserve">MIA-RAB4B readthrough (NMD candidate)</t>
  </si>
  <si>
    <t xml:space="preserve">CAGCAGCAGCAGCAGCAGCAGCAG</t>
  </si>
  <si>
    <t xml:space="preserve">339.02</t>
  </si>
  <si>
    <t xml:space="preserve">0,6,3</t>
  </si>
  <si>
    <t xml:space="preserve">uc021uwb.1:c.*255_*232delCTGCTGCTGCTGCTGCTGCTGCTG;uc010xxs.1:c.*255_*232delCTGCTGCTGCTGCTGCTGCTGCTG;uc002pdd.1:c.*262_*239delCTGCTGCTGCTGCTGCTGCTGCTG;uc002pde.1:c.*255_*232delCTGCTGCTGCTGCTGCTGCTGCTG;uc002pdg.1:c.*255_*232delCTGCTGCTGCTGCTGCTGCTGCTG;uc002pdf.1:c.*262_*239delCTGCTGCTGCTGCTGCTGCTGCTG;uc002pdh.1:c.*262_*239delCTGCTGCTGCTGCTGCTGCTGCTG;uc002pdi.1:c.*262_*239delCTGCTGCTGCTGCTGCTGCTGCTG;uc010xxt.1:c.*407_*384delCTGCTGCTGCTGCTGCTGCTGCTG</t>
  </si>
  <si>
    <t xml:space="preserve">0.0330811788641306</t>
  </si>
  <si>
    <t xml:space="preserve">dystrophia myotonica protein kinase</t>
  </si>
  <si>
    <t xml:space="preserve">FUNCTION: Non-receptor serine/threonine protein kinase which is necessary for the maintenance of skeletal muscle structure and function. May play a role in myocyte differentiation and survival by regulating the integrity of the nuclear envelope and the expression of muscle-specific genes. May also phosphorylate PPP1R12A and inhibit the myosin phosphatase activity to regulate myosin phosphorylation. Also critical to the modulation of cardiac contractility and to the maintenance of proper cardiac conduction activity probably through the regulation of cellular calcium homeostasis. Phosphorylates PLN, a regulator of calcium pumps and may regulate sarcoplasmic reticulum calcium uptake in myocytes. May also phosphorylate FXYD1/PLM which is able to induce chloride currents. May also play a role in synaptic plasticity. {ECO:0000269|PubMed:10811636, ECO:0000269|PubMed:10913253, ECO:0000269|PubMed:11287000, ECO:0000269|PubMed:15598648, ECO:0000269|PubMed:21457715, ECO:0000269|PubMed:21949239}.; </t>
  </si>
  <si>
    <t xml:space="preserve">DISEASE: Dystrophia myotonica 1 (DM1) [MIM:160900]: A muscular disorder characterized by myotonia, muscle wasting in the distal extremities, cataract, hypogonadism, defective endocrine functions, male baldness and cardiac arrhythmias. {ECO:0000269|PubMed:1302022, ECO:0000269|PubMed:1310900, ECO:0000269|PubMed:1546326, ECO:0000269|PubMed:19514047}. Note=The disease is caused by mutations affecting the gene represented in this entry. The causative mutation is a CTG expansion in the 3'- UTR of the DMPK gene. A length exceeding 50 CTG repeats is pathogenic, while normal individuals have 5 to 37 repeats. Intermediate alleles with 35-49 triplets are not disease-causing but show instability in intergenerational transmissions. Disease severity varies with the number of repeats: mildly affected persons have 50 to 150 repeats, patients with classic DM have 100 to 1,000 repeats, and those with congenital onset can have more than 2,000 repeats. {ECO:0000269|PubMed:1310900, ECO:0000269|PubMed:19514047}.; </t>
  </si>
  <si>
    <t xml:space="preserve">1125.64</t>
  </si>
  <si>
    <t xml:space="preserve">89</t>
  </si>
  <si>
    <t xml:space="preserve">44,45</t>
  </si>
  <si>
    <t xml:space="preserve">0.919495985397116</t>
  </si>
  <si>
    <t xml:space="preserve">adaptor related protein complex 2 sigma 1 subunit</t>
  </si>
  <si>
    <t xml:space="preserve">FUNCTION: Component of the adaptor protein complex 2 (AP-2). Adaptor protein complexes function in protein Transport via Transport vesicles in different membrane traffic pathways. Adaptor protein complexes are vesicle coat components and appear to be involved in cargo selection and vesicle formation. AP-2 is involved in clathrin-dependent endocytosis in which cargo proteins are incorporated into vesicles surrounded by clathrin (clathrin- coated vesicles, CCVs) which are destined for fusion with the early endosome. The clathrin lattice serves as a mechanical scaffold but is itself unable to bind directly to membrane components. Clathrin-associated adaptor protein (AP) complexes which can bind directly to both the clathrin lattice and to the lipid and protein components of membranes are considered to be the major clathrin adaptors contributing the CCV formation. AP-2 also serves as a cargo receptor to selectively sort the membrane proteins involved in receptor-mediated endocytosis. AP-2 seems to play a role in the recycling of synaptic vesicle membranes from the presynaptic surface. AP-2 recognizes Y-X-X-[FILMV] (Y-X-X-Phi) and [ED]-X-X-X-L-[LI] endocytosis signal motifs within the cytosolic tails of transmembrane cargo molecules. AP-2 may also play a role in maintaining normal post-endocytic trafficking through the ARF6-regulated, non-clathrin pathway. The AP-2 alpha and AP-2 sigma subunits are thought to contribute to the recognition of the [ED]-X-X-X-L-[LI] motif (By similarity). May also play a role in extracellular calcium homeostasis. {ECO:0000250, ECO:0000269|PubMed:14745134, ECO:0000269|PubMed:15473838, ECO:0000269|PubMed:19033387, ECO:0000269|PubMed:23222959}.; </t>
  </si>
  <si>
    <t xml:space="preserve">DISEASE: Hypocalciuric hypercalcemia, familial 3 (HHC3) [MIM:600740]: A form of hypocalciuric hypercalcemia, a disorder of mineral homeostasis that is transmitted as an autosomal dominant trait with a high degree of penetrance. It is characterized biochemically by lifelong elevation of serum calcium concentrations and is associated with inappropriately low urinary calcium excretion and a normal or mildly elevated circulating parathyroid hormone level. Hypermagnesemia is typically present. Affected individuals are usually asymptomatic and the disorder is considered benign. However, chondrocalcinosis and pancreatitis occur in some adults. {ECO:0000269|PubMed:23222959, ECO:0000269|PubMed:24081735}. Note=The disease is caused by mutations affecting the gene represented in this entry.; </t>
  </si>
  <si>
    <t xml:space="preserve">1127.64</t>
  </si>
  <si>
    <t xml:space="preserve">85</t>
  </si>
  <si>
    <t xml:space="preserve">37,48</t>
  </si>
  <si>
    <t xml:space="preserve">6.36301802229804e-19</t>
  </si>
  <si>
    <t xml:space="preserve">transient receptor potential cation channel subfamily M member 4</t>
  </si>
  <si>
    <t xml:space="preserve">FUNCTION: Calcium-activated non selective (CAN) cation channel that mediates membrane depolarization. While it is activated by increase in intracellular Ca(2+), it is impermeable to it. Mediates transport of monovalent cations (Na(+) &gt; K(+) &gt; Cs(+) &gt; Li(+)), leading to depolarize the membrane. It thereby plays a central role in cadiomyocytes, neurons from entorhinal cortex, dorsal root and vomeronasal neurons, endocrine pancreas cells, kidney epithelial cells, cochlea hair cells etc. Participates in T-cell activation by modulating Ca(2+) oscillations after T lymphocyte activation, which is required for NFAT-dependent IL2 production. Involved in myogenic constriction of cerebral arteries. Controls insulin secretion in pancreatic beta-cells. May also be involved in pacemaking or could cause irregular electrical activity under conditions of Ca(2+) overload. Affects T-helper 1 (Th1) and T-helper 2 (Th2) cell motility and cytokine production through differential regulation of calcium signaling and NFATC1 localization. Enhances cell proliferation through up-regulation of the beta-catenin signaling pathway. {ECO:0000269|PubMed:12015988, ECO:0000269|PubMed:12799367, ECO:0000269|PubMed:15121803, ECO:0000269|PubMed:15472118, ECO:0000269|PubMed:15550671, ECO:0000269|PubMed:16806463, ECO:0000269|PubMed:20625999, ECO:0000269|PubMed:20656926}.; </t>
  </si>
  <si>
    <t xml:space="preserve">DISEASE: Progressive familial heart block 1B (PFHB1B) [MIM:604559]: A cardiac bundle branch disorder characterized by progressive alteration of cardiac conduction through the His- Purkinje system, with a pattern of a right bundle-branch block and/or left anterior hemiblock occurring individually or together. It leads to complete atrio-ventricular block causing syncope and sudden death. {ECO:0000269|PubMed:19726882, ECO:0000269|PubMed:20562447, ECO:0000269|PubMed:21887725}. Note=The disease is caused by mutations affecting the gene represented in this entry.; </t>
  </si>
  <si>
    <t xml:space="preserve">981.64</t>
  </si>
  <si>
    <t xml:space="preserve">69</t>
  </si>
  <si>
    <t xml:space="preserve">29,40</t>
  </si>
  <si>
    <t xml:space="preserve">intronic;splicing</t>
  </si>
  <si>
    <t xml:space="preserve">uc002pqi.3:exon2:UTR5;ENST00000593946:exon2:c.152-2A&gt;G;ENST00000598020:exon3:c.152-2A&gt;G</t>
  </si>
  <si>
    <t xml:space="preserve">2.8844490761323e-07</t>
  </si>
  <si>
    <t xml:space="preserve">polynucleotide kinase 3'-phosphatase</t>
  </si>
  <si>
    <t xml:space="preserve">FUNCTION: Plays a key role in the repair of DNA damage, functioning as part of both the non-homologous end-joining (NHEJ) and base excision repair (BER) pathways. Through its two catalytic activities, PNK ensures that DNA termini are compatible with extension and ligation by either removing 3'-phosphates from, or by phosphorylating 5'-hydroxyl groups on, the ribose sugar of the DNA backbone. {ECO:0000269|PubMed:10446192}.; </t>
  </si>
  <si>
    <t xml:space="preserve">DISEASE: Microcephaly, seizures, and developmental delay (MCSZ) [MIM:613402]: A disease characterized by infantile-onset seizures, microcephaly, severe intellectual disability and delayed motor milestones with absent speech or only achieving a few words. Most patients also have behavioral problems with hyperactivity. Microcephaly is progressive and without neuronal migration or structural abnormalities, consistent with primary microcephaly. {ECO:0000269|PubMed:20118933}. Note=The disease is caused by mutations affecting the gene represented in this entry.; DISEASE: Ataxia-oculomotor apraxia 4 (AOA4) [MIM:616267]: An autosomal recessive disease characterized by cerebellar ataxia, oculomotor apraxia, areflexia and peripheral neuropathy. {ECO:0000269|PubMed:25728773}. Note=The disease is caused by mutations affecting the gene represented in this entry.; </t>
  </si>
  <si>
    <t xml:space="preserve">TA</t>
  </si>
  <si>
    <t xml:space="preserve">226.60</t>
  </si>
  <si>
    <t xml:space="preserve">87</t>
  </si>
  <si>
    <t xml:space="preserve">74,13</t>
  </si>
  <si>
    <t xml:space="preserve">NM_001282333:c.*555_*556delTA;NM_024075:c.*864_*865delTA;NM_001282332:c.*864_*865delTA;NM_001077446:c.*864_*865delTA;uc002qdu.3:c.*864_*865delTA;uc002qdv.3:c.*864_*865delTA;uc002qdw.3:c.*864_*865delTA</t>
  </si>
  <si>
    <t xml:space="preserve">0.396480812083883</t>
  </si>
  <si>
    <t xml:space="preserve">tRNA splicing endonuclease subunit 34</t>
  </si>
  <si>
    <t xml:space="preserve">FUNCTION: Constitutes one of the two catalytic subunit of the tRNA-splicing endonuclease complex, a complex responsible for identification and cleavage of the splice sites in pre-tRNA. It cleaves pre-tRNA at the 5'- and 3'-splice sites to release the intron. The products are an intron and two tRNA half-molecules bearing 2',3'-cyclic phosphate and 5'-OH termini. There are no conserved sequences at the splice sites, but the intron is invariably located at the same site in the gene, placing the splice sites an invariant distance from the constant structural features of the tRNA body. It probably carries the active site for 3'-splice site cleavage. The tRNA splicing endonuclease is also involved in mRNA processing via its association with pre-mRNA 3'- end processing factors, establishing a link between pre-tRNA splicing and pre-mRNA 3'-end formation, suggesting that the endonuclease subunits function in multiple RNA-processing events. {ECO:0000269|PubMed:15109492}.; </t>
  </si>
  <si>
    <t xml:space="preserve">DISEASE: Pontocerebellar hypoplasia 2C (PCH2C) [MIM:612390]: A disorder characterized by an abnormally small cerebellum and brainstem, and progressive microcephaly from birth combined with extrapyramidal dyskinesia. Severe chorea occurs and epilepsy is frequent. There are no signs of spinal cord anterior horn cells degeneration. {ECO:0000269|PubMed:18711368}. Note=The disease is caused by mutations affecting the gene represented in this entry.; </t>
  </si>
  <si>
    <t xml:space="preserve">704.64</t>
  </si>
  <si>
    <t xml:space="preserve">386</t>
  </si>
  <si>
    <t xml:space="preserve">342,44</t>
  </si>
  <si>
    <t xml:space="preserve">4;4</t>
  </si>
  <si>
    <t xml:space="preserve">0.0380264991528057;0.184502116558515</t>
  </si>
  <si>
    <t xml:space="preserve">killer cell immunoglobulin like receptor, two Ig domains and long cytoplasmic tail 1;killer cell immunoglobulin like receptor, two Ig domains and long cytoplasmic tail 3</t>
  </si>
  <si>
    <t xml:space="preserve">FUNCTION: Receptor on natural killer (NK) cells for HLA-C alleles (HLA-Cw1, HLA-Cw3 and HLA-Cw7). Inhibits the activity of NK cells thus preventing cell lysis.; ;FUNCTION: Receptor on natural killer (NK) cells for HLA-C alleles. Inhibits the activity of NK cells thus preventing cell lysis. {ECO:0000269|PubMed:18604210}.; </t>
  </si>
  <si>
    <t xml:space="preserve">3174.64</t>
  </si>
  <si>
    <t xml:space="preserve">104</t>
  </si>
  <si>
    <t xml:space="preserve">20,84</t>
  </si>
  <si>
    <t xml:space="preserve">310.64</t>
  </si>
  <si>
    <t xml:space="preserve">128.64</t>
  </si>
  <si>
    <t xml:space="preserve">26,7</t>
  </si>
  <si>
    <t xml:space="preserve">4;4;15;1</t>
  </si>
  <si>
    <t xml:space="preserve">killer cell immunoglobulin like receptor, two Ig domains and long cytoplasmic tail 1;killer cell immunoglobulin like receptor, two Ig domains and long cytoplasmic tail 3;killer cell immunoglobulin like receptor, two Ig domains and short cytoplasmic tail 4</t>
  </si>
  <si>
    <t xml:space="preserve">FUNCTION: Receptor on natural killer (NK) cells for HLA-C alleles (HLA-Cw1, HLA-Cw3 and HLA-Cw7). Inhibits the activity of NK cells thus preventing cell lysis.; ;FUNCTION: Receptor on natural killer (NK) cells for HLA-C alleles. Does not inhibit the activity of NK cells. {ECO:0000269|PubMed:19858347}.; ;FUNCTION: Receptor on natural killer (NK) cells for HLA-C alleles. Inhibits the activity of NK cells thus preventing cell lysis. {ECO:0000269|PubMed:18604210}.; </t>
  </si>
  <si>
    <t xml:space="preserve">14,2</t>
  </si>
  <si>
    <t xml:space="preserve">8;15;13;8;8</t>
  </si>
  <si>
    <t xml:space="preserve">0.875263421473205;9.78327262907819e-06</t>
  </si>
  <si>
    <t xml:space="preserve">killer cell immunoglobulin like receptor, three Ig domains and long cytoplasmic tail 1;killer cell immunoglobulin like receptor, two Ig domains and long cytoplasmic tail 4;killer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</si>
  <si>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HLA-C alleles. Does not inhibit the activity of NK cells. {ECO:0000269|PubMed:19858347}.; ;FUNCTION: Receptor on natural killer (NK) cells for HLA-C alleles. Inhibits the activity of NK cells thus preventing cell lysis.; </t>
  </si>
  <si>
    <t xml:space="preserve">43.64</t>
  </si>
  <si>
    <t xml:space="preserve">11,2</t>
  </si>
  <si>
    <t xml:space="preserve">419.64</t>
  </si>
  <si>
    <t xml:space="preserve">28</t>
  </si>
  <si>
    <t xml:space="preserve">16,12</t>
  </si>
  <si>
    <t xml:space="preserve">582.64</t>
  </si>
  <si>
    <t xml:space="preserve">133</t>
  </si>
  <si>
    <t xml:space="preserve">111,22</t>
  </si>
  <si>
    <t xml:space="preserve">GG</t>
  </si>
  <si>
    <t xml:space="preserve">1916.60</t>
  </si>
  <si>
    <t xml:space="preserve">213</t>
  </si>
  <si>
    <t xml:space="preserve">156,57</t>
  </si>
  <si>
    <t xml:space="preserve">KIR2DL4:NM_001080770:exon5:c.674_675del:p.W225Sfs*5,KIR2DL4:NM_001080772:exon5:c.674_675del:p.W225Sfs*5;LOC100287534:uc002qhh.4:exon4:c.506_507del:p.W169Sfs*5,LOC100287534:uc002qhg.4:exon5:c.674_675del:p.W225Sfs*5,KIR2DL4:uc010yfl.2:exon5:c.668_669del:p.W223Sfs*5,LOC100287534:uc021vbn.2:exon6:c.674_675del:p.W225Sfs*5;ENSG00000189013:ENST00000346587:exon4:c.389_390del:p.W130Sfs*5,ENSG00000189013:ENST00000345540:exon5:c.674_675del:p.W225Sfs*5,ENSG00000189013:ENST00000359085:exon5:c.674_675del:p.W225Sfs*5,ENSG00000189013:ENST00000396284:exon5:c.668_669del:p.W223Sfs*5</t>
  </si>
  <si>
    <t xml:space="preserve">8;8;8</t>
  </si>
  <si>
    <t xml:space="preserve">0.875263421473205</t>
  </si>
  <si>
    <t xml:space="preserve">killer cell immunoglobulin like receptor, two Ig domains and long cytoplasmic tail 4</t>
  </si>
  <si>
    <t xml:space="preserve">FUNCTION: Receptor on natural killer (NK) cells for HLA-C alleles. Inhibits the activity of NK cells thus preventing cell lysis.; </t>
  </si>
  <si>
    <t xml:space="preserve">AT</t>
  </si>
  <si>
    <t xml:space="preserve">1877.60</t>
  </si>
  <si>
    <t xml:space="preserve">211</t>
  </si>
  <si>
    <t xml:space="preserve">155,56</t>
  </si>
  <si>
    <t xml:space="preserve">KIR2DL4:NM_001080770:exon5:c.676_677insAT:p.P226Hfs*15,KIR2DL4:NM_001080772:exon5:c.676_677insAT:p.P226Hfs*20;LOC100287534:uc002qhh.4:exon4:c.508_509insAT:p.P170Hfs*15,LOC100287534:uc002qhg.4:exon5:c.676_677insAT:p.P226Hfs*15,KIR2DL4:uc010yfl.2:exon5:c.670_671insAT:p.P224Hfs*20,LOC100287534:uc021vbn.2:exon6:c.676_677insAT:p.P226Hfs*20;ENSG00000189013:ENST00000346587:exon4:c.391_392insAT:p.P131Hfs*15,ENSG00000189013:ENST00000345540:exon5:c.676_677insAT:p.P226Hfs*15,ENSG00000189013:ENST00000359085:exon5:c.676_677insAT:p.P226Hfs*20,ENSG00000189013:ENST00000396284:exon5:c.670_671insAT:p.P224Hfs*20</t>
  </si>
  <si>
    <t xml:space="preserve">382.64</t>
  </si>
  <si>
    <t xml:space="preserve">38,12</t>
  </si>
  <si>
    <t xml:space="preserve">3047.03</t>
  </si>
  <si>
    <t xml:space="preserve">129</t>
  </si>
  <si>
    <t xml:space="preserve">7,122</t>
  </si>
  <si>
    <t xml:space="preserve">KIR2DL4:NM_001080772:exon6:c.802dupA:p.M271Nfs*108;LOC100287534:uc002qhi.4:exon5:c.868dupA:p.M293Nfs*108,KIR2DL4:uc010yfl.2:exon6:c.796dupA:p.V269Sfs*43,LOC100287534:uc021vbn.2:exon7:c.802dupA:p.M271Nfs*108;ENSG00000189013:ENST00000359085:exon6:c.802dupA:p.M271Nfs*108,ENSG00000189013:ENST00000396284:exon6:c.796dupA:p.V269Sfs*43</t>
  </si>
  <si>
    <t xml:space="preserve">816.64</t>
  </si>
  <si>
    <t xml:space="preserve">103,27</t>
  </si>
  <si>
    <t xml:space="preserve">15;13</t>
  </si>
  <si>
    <t xml:space="preserve">9.78327262907819e-06</t>
  </si>
  <si>
    <t xml:space="preserve">killer cell immunoglobulin like receptor, three Ig domains and long cytoplasmic tail 1;killer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</si>
  <si>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HLA-C alleles. Does not inhibit the activity of NK cells. {ECO:0000269|PubMed:19858347}.; </t>
  </si>
  <si>
    <t xml:space="preserve">940.64</t>
  </si>
  <si>
    <t xml:space="preserve">1082.06</t>
  </si>
  <si>
    <t xml:space="preserve">39</t>
  </si>
  <si>
    <t xml:space="preserve">1,38</t>
  </si>
  <si>
    <t xml:space="preserve">85.64</t>
  </si>
  <si>
    <t xml:space="preserve">796.03</t>
  </si>
  <si>
    <t xml:space="preserve">0,18</t>
  </si>
  <si>
    <t xml:space="preserve">KIR3DL1:NM_001322168:exon9:c.1313delC:p.V440Lfs*38,KIR3DL1:NM_013289:exon9:c.1313delC:p.V440Lfs*38;KIR3DL1:uc010esf.3:exon8:c.1028delC:p.V345Lfs*38,KIR3DL1:uc021vbo.1:exon8:c.1262delC:p.V423Lfs*38,KIR3DL1:uc002qhk.4:exon9:c.1313delC:p.V440Lfs*38,KIR3DL1:uc021vbm.1:exon9:c.1313delC:p.V440Lfs*38;ENSG00000167633:ENST00000326542:exon8:c.1262delC:p.V423Lfs*38,ENSG00000167633:ENST00000358178:exon8:c.1028delC:p.V345Lfs*38,ENSG00000167633:ENST00000541392:exon8:c.1262delC:p.V423Lfs*38,ENSG00000167633:ENST00000391728:exon9:c.1313delC:p.V440Lfs*38,ENSG00000167633:ENST00000538269:exon9:c.1313delC:p.V440Lfs*38</t>
  </si>
  <si>
    <t xml:space="preserve">killer cell immunoglobulin like receptor, three Ig domains and long cytoplasmic tail 1</t>
  </si>
  <si>
    <t xml:space="preserve">FUNCTION: Receptor on natural killer (NK) cells for HLA Bw4 allele. Inhibits the activity of NK cells thus preventing cell lysis. {ECO:0000269|PubMed:22020283}.; </t>
  </si>
  <si>
    <t xml:space="preserve">706.06</t>
  </si>
  <si>
    <t xml:space="preserve">0,16</t>
  </si>
  <si>
    <t xml:space="preserve">46.64</t>
  </si>
  <si>
    <t xml:space="preserve">10,2</t>
  </si>
  <si>
    <t xml:space="preserve">15;13;4</t>
  </si>
  <si>
    <t xml:space="preserve">0.221236755494515;9.78327262907819e-06</t>
  </si>
  <si>
    <t xml:space="preserve">killer cell immunoglobulin like receptor, three Ig domains and long cytoplasmic tail 1;killer cell immunoglobulin like receptor, three Ig domains and long cytoplasmic tail 2;killer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</si>
  <si>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HLA-A alleles. Inhibits the activity of NK cells thus preventing cell lysis.; ;FUNCTION: Receptor on natural killer (NK) cells for HLA-C alleles. Does not inhibit the activity of NK cells. {ECO:0000269|PubMed:19858347}.; </t>
  </si>
  <si>
    <t xml:space="preserve">2140.64</t>
  </si>
  <si>
    <t xml:space="preserve">237</t>
  </si>
  <si>
    <t xml:space="preserve">136,101</t>
  </si>
  <si>
    <t xml:space="preserve">682.60</t>
  </si>
  <si>
    <t xml:space="preserve">279</t>
  </si>
  <si>
    <t xml:space="preserve">245,34</t>
  </si>
  <si>
    <t xml:space="preserve">KIR3DL2:NM_001242867:exon5:c.704_705del:p.Q235Rfs*10,KIR3DL2:NM_006737:exon5:c.704_705del:p.Q235Rfs*10;KIR2DS4:uc002qhn.1:exon2:c.260_261del:p.Q87Rfs*10,KIR3DL2:uc002qho.4:exon5:c.704_705del:p.Q235Rfs*10,KIR3DL2:uc010esh.3:exon5:c.704_705del:p.Q235Rfs*10;ENSG00000240403:ENST00000270442:exon5:c.704_705del:p.Q235Rfs*10,ENSG00000240403:ENST00000326321:exon5:c.704_705del:p.Q235Rfs*10</t>
  </si>
  <si>
    <t xml:space="preserve">15;4</t>
  </si>
  <si>
    <t xml:space="preserve">0.221236755494515</t>
  </si>
  <si>
    <t xml:space="preserve">killer cell immunoglobulin like receptor, three Ig domains and long cytoplasmic tail 2;killer cell immunoglobulin like receptor, two Ig domains and short cytoplasmic tail 4</t>
  </si>
  <si>
    <t xml:space="preserve">FUNCTION: Receptor on natural killer (NK) cells for HLA-A alleles. Inhibits the activity of NK cells thus preventing cell lysis.; ;FUNCTION: Receptor on natural killer (NK) cells for HLA-C alleles. Does not inhibit the activity of NK cells. {ECO:0000269|PubMed:19858347}.; </t>
  </si>
  <si>
    <t xml:space="preserve">CA</t>
  </si>
  <si>
    <t xml:space="preserve">691.60</t>
  </si>
  <si>
    <t xml:space="preserve">242,34</t>
  </si>
  <si>
    <t xml:space="preserve">KIR3DL2:NM_001242867:exon5:c.706_707insCA:p.G237Qfs*5,KIR3DL2:NM_006737:exon5:c.706_707insCA:p.G237Qfs*5;KIR2DS4:uc002qhn.1:exon2:c.262_263insCA:p.G89Qfs*5,KIR3DL2:uc002qho.4:exon5:c.706_707insCA:p.G237Qfs*5,KIR3DL2:uc010esh.3:exon5:c.706_707insCA:p.G237Qfs*5;ENSG00000240403:ENST00000270442:exon5:c.706_707insCA:p.G237Qfs*5,ENSG00000240403:ENST00000326321:exon5:c.706_707insCA:p.G237Qfs*5</t>
  </si>
  <si>
    <t xml:space="preserve">640.64</t>
  </si>
  <si>
    <t xml:space="preserve">19,26</t>
  </si>
  <si>
    <t xml:space="preserve">0.997367645320671</t>
  </si>
  <si>
    <t xml:space="preserve">ADAM metallopeptidase domain 17</t>
  </si>
  <si>
    <t xml:space="preserve">FUNCTION: Cleaves the membrane-bound precursor of TNF-alpha to its mature soluble form. Responsible for the proteolytical release of soluble JAM3 from endothelial cells surface. Responsible for the proteolytic release of several other cell-surface proteins, including p75 TNF-receptor, interleukin 1 receptor type II, p55 TNF-receptor, transforming growth factor-alpha, L-selectin, growth hormone receptor, MUC1 and the amyloid precursor protein. Acts as an activator of Notch pathway by mediating cleavage of Notch, generating the membrane-associated intermediate fragment called Notch extracellular truncation (NEXT). Plays a role in the proteolytic processing of ACE2. {ECO:0000269|PubMed:12441351, ECO:0000269|PubMed:20592283, ECO:0000269|PubMed:24226769, ECO:0000269|PubMed:24227843}.; </t>
  </si>
  <si>
    <t xml:space="preserve">DISEASE: Inflammatory skin and bowel disease, neonatal, 1 (NISBD1) [MIM:614328]: A disorder characterized by inflammatory features with neonatal onset, involving the skin, hair, and gut. The skin lesions involve perioral and perianal erythema, psoriasiform erythroderma, with flares of erythema, scaling, and widespread pustules. Gastrointestinal symptoms include malabsorptive diarrhea that is exacerbated by intercurrent gastrointestinal infections. The hair is short or broken, and the eyelashes and eyebrows are wiry and disorganized. {ECO:0000269|PubMed:22010916}. Note=The disease is caused by mutations affecting the gene represented in this entry.; </t>
  </si>
  <si>
    <t xml:space="preserve">0.0244336907969597</t>
  </si>
  <si>
    <t xml:space="preserve">intersectin 2</t>
  </si>
  <si>
    <t xml:space="preserve">FUNCTION: Adapter protein that may provide indirect link between the endocytic membrane traffic and the actin assembly machinery. May regulate the formation of clathrin-coated vesicles (CCPs). Seems to be involved in CCPs maturation including invagination or budding. Involved in endocytosis of integrin beta-1 (ITGB1) and transferrin receptor (TFR). Plays a role in dendrite formation by melanocytes (PubMed:23999003). {ECO:0000269|PubMed:19458185, ECO:0000269|PubMed:22648170, ECO:0000269|PubMed:23999003}.; </t>
  </si>
  <si>
    <t xml:space="preserve">935.64</t>
  </si>
  <si>
    <t xml:space="preserve">NM_199193:exon13:c.1089-2A&gt;C;NM_199192:exon12:c.1089-2A&gt;C;uc002rlq.3:exon13:c.1089-2A&gt;C;uc002rlt.3:exon12:c.1089-2A&gt;C;ENST00000361704:exon12:c.1089-2A&gt;C;ENST00000379632:exon13:c.1089-2A&gt;C</t>
  </si>
  <si>
    <t xml:space="preserve">0.279976282823241</t>
  </si>
  <si>
    <t xml:space="preserve">brain and reproductive organ-expressed (TNFRSF1A modulator)</t>
  </si>
  <si>
    <t xml:space="preserve">FUNCTION: Component of the BRCA1-A complex, a complex that specifically recognizes 'Lys-63'-linked ubiquitinated histones H2A and H2AX at DNA lesions sites, leading to target the BRCA1-BARD1 heterodimer to sites of DNA damage at double-strand breaks (DSBs). The BRCA1-A complex also possesses deubiquitinase activity that specifically removes 'Lys-63'-linked ubiquitin on histones H2A and H2AX (PubMed:17525341, PubMed:19261746, PubMed:19261749, PubMed:19261748). In the BRCA1-A complex, it acts as an adapter that bridges the interaction between BABAM1/NBA1 and the rest of the complex, thereby being required for the complex integrity and modulating the E3 ubiquitin ligase activity of the BRCA1-BARD1 heterodimer (PubMed:21282113, PubMed:19261748). Component of the BRISC complex, a multiprotein complex that specifically cleaves 'Lys-63'-linked ubiquitin in various substrates (PubMed:19214193, PubMed:24075985, PubMed:25283148, PubMed:26195665). Within the BRISC complex, acts as an adapter that bridges the interaction between BABAM1/NBA1 and the rest of the complex, thereby being required for the complex integrity (PubMed:21282113). The BRISC complex is required for normal mitotic spindle assembly and microtubule attachment to kinetochores via its role in deubiquitinating NUMA1 (PubMed:26195665). The BRISC complex plays a role in interferon signaling via its role in the deubiquitination of the interferon receptor IFNAR1; deubiquitination increases IFNAR1 activity by enhancing its stability and cell surface expression (PubMed:24075985). Down- regulates the response to bacterial lipopolysaccharide (LPS) via its role in IFNAR1 deubiquitination (PubMed:24075985). May play a role in homeostasis or cellular differentiation in cells of neural, epithelial and germline origins. May also act as a death receptor-associated anti-apoptotic protein, which inhibits the mitochondrial apoptotic pathway. May regulate TNF-alpha signaling through its interactions with TNFRSF1A; however these effects may be indirect (PubMed:15465831). {ECO:0000269|PubMed:14636569, ECO:0000269|PubMed:19261748, ECO:0000269|PubMed:19261749, ECO:0000269|PubMed:24075985, ECO:0000269|PubMed:26195665, ECO:0000305|PubMed:15465831}.; </t>
  </si>
  <si>
    <t xml:space="preserve">859.64</t>
  </si>
  <si>
    <t xml:space="preserve">74,43</t>
  </si>
  <si>
    <t xml:space="preserve">uc002rmd.1:c.*19C&gt;G</t>
  </si>
  <si>
    <t xml:space="preserve">1.9931529274349e-56</t>
  </si>
  <si>
    <t xml:space="preserve">phospholipase B1</t>
  </si>
  <si>
    <t xml:space="preserve">FUNCTION: Membrane-associated phospholipase. Exhibits a calcium- independent broad substrate specificity including phospholipase A2/lysophospholipase activity. Preferential hydrolysis at the sn-2 position of diacylphospholipids and diacyglycerol, whereas it shows no positional specificity toward triacylglycerol. Exhibits also esterase activity toward p-nitrophenyl. May act on the brush border membrane to facilitate the absorption of digested lipids (By similarity). {ECO:0000250}.; </t>
  </si>
  <si>
    <t xml:space="preserve">286.64</t>
  </si>
  <si>
    <t xml:space="preserve">11,8</t>
  </si>
  <si>
    <t xml:space="preserve">2.53209738989517e-20</t>
  </si>
  <si>
    <t xml:space="preserve">family with sequence similarity 179 member A</t>
  </si>
  <si>
    <t xml:space="preserve">1457.60</t>
  </si>
  <si>
    <t xml:space="preserve">135</t>
  </si>
  <si>
    <t xml:space="preserve">70,65</t>
  </si>
  <si>
    <t xml:space="preserve">QPCT:NM_012413:exon3:c.536delT:p.S180Pfs*2;QPCT:uc002rqg.3:exon3:c.536delT:p.S180Pfs*2;ENSG00000115828:ENST00000404976:exon2:c.389delT:p.S131Pfs*2,ENSG00000115828:ENST00000537448:exon2:c.389delT:p.S131Pfs*2,ENSG00000115828:ENST00000338415:exon3:c.536delT:p.S180Pfs*2</t>
  </si>
  <si>
    <t xml:space="preserve">1.87382648510695e-08</t>
  </si>
  <si>
    <t xml:space="preserve">glutaminyl-peptide cyclotransferase</t>
  </si>
  <si>
    <t xml:space="preserve">FUNCTION: Responsible for the biosynthesis of pyroglutamyl peptides. Has a bias against acidic and tryptophan residues adjacent to the N-terminal glutaminyl residue and a lack of importance of chain length after the second residue. Also catalyzes N-terminal pyroglutamate formation. In vitro, catalyzes pyroglutamate formation of N-terminally truncated form of APP amyloid-beta peptides [Glu-3]-beta-amyloid. May be involved in the N-terminal pyroglutamate formation of several amyloid-related plaque-forming peptides. {ECO:0000269|PubMed:15063747, ECO:0000269|PubMed:18486145, ECO:0000269|PubMed:21288892}.; </t>
  </si>
  <si>
    <t xml:space="preserve">216.60</t>
  </si>
  <si>
    <t xml:space="preserve">19,19</t>
  </si>
  <si>
    <t xml:space="preserve">PLEKHH2:uc002rte.3:exon14:c.2311dupT:p.V779Cfs*13</t>
  </si>
  <si>
    <t xml:space="preserve">1.78874098604568e-26</t>
  </si>
  <si>
    <t xml:space="preserve">pleckstrin homology, MyTH4 and FERM domain containing H2</t>
  </si>
  <si>
    <t xml:space="preserve">FUNCTION: In the kidney glomerulus may play a role in linking podocyte foot processes to the glomerular basement membrane. May be involved in stabilization of F-actin by attenuating its depolymerization. Can recruit TGFB1I1 from focal adhesions to podocyte lamellipodia.; </t>
  </si>
  <si>
    <t xml:space="preserve">693.60</t>
  </si>
  <si>
    <t xml:space="preserve">33,19</t>
  </si>
  <si>
    <t xml:space="preserve">CHAC2:NM_001008708:exon1:c.95_96del:p.F32Lfs*22;CHAC2:uc002rxk.1:exon1:c.95_96del:p.F32Lfs*22;ENSG00000143942:ENST00000295304:exon1:c.95_96del:p.F32Lfs*22</t>
  </si>
  <si>
    <t xml:space="preserve">0.00282189031328415</t>
  </si>
  <si>
    <t xml:space="preserve">ChaC, cation transport regulator homolog 2 (E. coli)</t>
  </si>
  <si>
    <t xml:space="preserve">FUNCTION: Catalyzes the cleavage glutathione into 5-oxoproline and a Cys-Gly dipeptide. Acts specifically on glutathione, but not on other gamma-glutamyl peptides. {ECO:0000250|UniProtKB:P32656}.; </t>
  </si>
  <si>
    <t xml:space="preserve">603.64</t>
  </si>
  <si>
    <t xml:space="preserve">17,25</t>
  </si>
  <si>
    <t xml:space="preserve">3.32934655708566e-06</t>
  </si>
  <si>
    <t xml:space="preserve">KIAA1841</t>
  </si>
  <si>
    <t xml:space="preserve">151.64</t>
  </si>
  <si>
    <t xml:space="preserve">7,7</t>
  </si>
  <si>
    <t xml:space="preserve">2.32411054871015e-09</t>
  </si>
  <si>
    <t xml:space="preserve">WD repeat containing planar cell polarity effector</t>
  </si>
  <si>
    <t xml:space="preserve">FUNCTION: Probable effector of the planar cell polarity signaling pathway which regulates the septin cytoskeleton in both ciliogenesis and collective cell movements. {ECO:0000250}.; </t>
  </si>
  <si>
    <t xml:space="preserve">DISEASE: Bardet-Biedl syndrome 15 (BBS15) [MIM:615992]: A syndrome characterized by usually severe pigmentary retinopathy, early- onset obesity, polydactyly, hypogenitalism, renal malformation and mental retardation. Secondary features include diabetes mellitus, hypertension and congenital heart disease. Bardet-Biedl syndrome inheritance is autosomal recessive, but three mutated alleles (two at one locus, and a third at a second locus) may be required for clinical manifestation of some forms of the disease. {ECO:0000269|PubMed:20671153}. Note=The disease is caused by mutations affecting the gene represented in this entry.; DISEASE: Congenital heart defects, hamartomas of tongue, and polysyndactyly (CHDTHP) [MIM:217085]: A disease characterized by a constellation of anomalies including tongue hamartomas, polysyndactyly, and congenital heart defects such as atrioventricular canal and coarctation of the aorta. {ECO:0000269|PubMed:25427950}. Note=The disease is caused by mutations affecting the gene represented in this entry.; DISEASE: Note=Mutations in WDPCP may act as modifiers of the phenotypic expression of Bardet-Biedl syndrome and Meckel syndrome by interacting in trans with primary BBS and MKS loci. {ECO:0000269|PubMed:20671153}.; </t>
  </si>
  <si>
    <t xml:space="preserve">4263.64</t>
  </si>
  <si>
    <t xml:space="preserve">396</t>
  </si>
  <si>
    <t xml:space="preserve">220,176</t>
  </si>
  <si>
    <t xml:space="preserve">intronic;ncRNA_exonic;ncRNA_intronic;splicing</t>
  </si>
  <si>
    <t xml:space="preserve">ENST00000575193:exon12:c.903-1G&gt;A</t>
  </si>
  <si>
    <t xml:space="preserve">ankyrin repeat domain 36B pseudogene 2</t>
  </si>
  <si>
    <t xml:space="preserve">53.60</t>
  </si>
  <si>
    <t xml:space="preserve">72,11</t>
  </si>
  <si>
    <t xml:space="preserve">ANKRD36BP2:uc010fhg.4:exon16:c.657delA:p.Q220Rfs*7</t>
  </si>
  <si>
    <t xml:space="preserve">147.60</t>
  </si>
  <si>
    <t xml:space="preserve">102,11</t>
  </si>
  <si>
    <t xml:space="preserve">intergenic;ncRNA_exonic;ncRNA_splicing;splicing</t>
  </si>
  <si>
    <t xml:space="preserve">NR_003366:exon4:r.spl;dist=31508;dist=19367;ENST00000432432:exon4:r.spl</t>
  </si>
  <si>
    <t xml:space="preserve">ankyrin repeat domain 20 family member A8, pseudogene</t>
  </si>
  <si>
    <t xml:space="preserve">TCGT</t>
  </si>
  <si>
    <t xml:space="preserve">740.60</t>
  </si>
  <si>
    <t xml:space="preserve">170</t>
  </si>
  <si>
    <t xml:space="preserve">142,28</t>
  </si>
  <si>
    <t xml:space="preserve">ANKRD36C:NM_001310154:exon85:c.6141_6144del:p.K2047Nfs*18;dist=26830;dist=2194;ENSG00000174501:ENST00000420871:exon55:c.2796_2799del:p.K932Nfs*18,ENSG00000174501:ENST00000419039:exon56:c.2124_2127del:p.K708Nfs*18,ENSG00000174501:ENST00000456556:exon64:c.5043_5046del:p.K1681Nfs*18</t>
  </si>
  <si>
    <t xml:space="preserve">12091.60</t>
  </si>
  <si>
    <t xml:space="preserve">897</t>
  </si>
  <si>
    <t xml:space="preserve">439,458</t>
  </si>
  <si>
    <t xml:space="preserve">ANKRD36C:NM_001310154:exon84:c.5629dupC:p.L1877Pfs*9;dist=279;ENSG00000174501:ENST00000420871:exon54:c.2284dupC:p.L762Pfs*9,ENSG00000174501:ENST00000419039:exon55:c.1612dupC:p.L538Pfs*9,ENSG00000174501:ENST00000456556:exon63:c.4531dupC:p.L1511Pfs*9</t>
  </si>
  <si>
    <t xml:space="preserve">20082.60</t>
  </si>
  <si>
    <t xml:space="preserve">834</t>
  </si>
  <si>
    <t xml:space="preserve">229,605</t>
  </si>
  <si>
    <t xml:space="preserve">ANKRD36C:NM_001310154:exon84:c.5627_5628insA:p.L1877Sfs*9;dist=277;ENSG00000174501:ENST00000420871:exon54:c.2282_2283insA:p.L762Sfs*9,ENSG00000174501:ENST00000419039:exon55:c.1610_1611insA:p.L538Sfs*9,ENSG00000174501:ENST00000456556:exon63:c.4529_4530insA:p.L1511Sfs*9</t>
  </si>
  <si>
    <t xml:space="preserve">TG</t>
  </si>
  <si>
    <t xml:space="preserve">24246.60</t>
  </si>
  <si>
    <t xml:space="preserve">858</t>
  </si>
  <si>
    <t xml:space="preserve">216,642</t>
  </si>
  <si>
    <t xml:space="preserve">ANKRD36C:NM_001310154:exon84:c.5623_5624del:p.H1875Cfs*10;dist=272;ENSG00000174501:ENST00000420871:exon54:c.2278_2279del:p.H760Cfs*10,ENSG00000174501:ENST00000419039:exon55:c.1606_1607del:p.H536Cfs*10,ENSG00000174501:ENST00000456556:exon63:c.4525_4526del:p.H1509Cfs*10</t>
  </si>
  <si>
    <t xml:space="preserve">554.60</t>
  </si>
  <si>
    <t xml:space="preserve">932</t>
  </si>
  <si>
    <t xml:space="preserve">837,95</t>
  </si>
  <si>
    <t xml:space="preserve">ANKRD36C:NM_001310154:exon84:c.5619_5620insGT:p.S1874Vfs*5;dist=269;ENSG00000174501:ENST00000420871:exon54:c.2274_2275insGT:p.S759Vfs*5,ENSG00000174501:ENST00000419039:exon55:c.1602_1603insGT:p.S535Vfs*5,ENSG00000174501:ENST00000456556:exon63:c.4521_4522insGT:p.S1508Vfs*5</t>
  </si>
  <si>
    <t xml:space="preserve">523.64</t>
  </si>
  <si>
    <t xml:space="preserve">25,20</t>
  </si>
  <si>
    <t xml:space="preserve">0.894352624053566</t>
  </si>
  <si>
    <t xml:space="preserve">testis specific 10</t>
  </si>
  <si>
    <t xml:space="preserve">FUNCTION: May play a role in the sperm tail fibrous sheath, a major sperm tail structure. {ECO:0000250}.; </t>
  </si>
  <si>
    <t xml:space="preserve">757.60</t>
  </si>
  <si>
    <t xml:space="preserve">29,23</t>
  </si>
  <si>
    <t xml:space="preserve">CCDC138:NM_001351557:exon12:c.1624_1625insG:p.S542Cfs*8;dist=6342;dist=11738;ENSG00000163006:ENST00000608781:exon2:c.106_107insG:p.S36Cfs*8</t>
  </si>
  <si>
    <t xml:space="preserve">1.08334074018145e-05</t>
  </si>
  <si>
    <t xml:space="preserve">coiled-coil domain containing 138</t>
  </si>
  <si>
    <t xml:space="preserve">119.59</t>
  </si>
  <si>
    <t xml:space="preserve">0,10,5</t>
  </si>
  <si>
    <t xml:space="preserve">3.93787753538719e-07</t>
  </si>
  <si>
    <t xml:space="preserve">STEAP3 antisense RNA 1;STEAP3 metalloreductase</t>
  </si>
  <si>
    <t xml:space="preserve">FUNCTION: Endosomal ferrireductase required for efficient transferrin-dependent iron uptake in erythroid cells. Participates in erythroid iron homeostasis by reducing Fe(3+) to Fe(2+). Can also reduce of Cu(2+) to Cu(1+), suggesting that it participates in copper homeostasis. Uses NADP(+) as acceptor. May play a role downstream of p53/TP53 to interface apoptosis and cell cycle progression. Indirectly involved in exosome secretion by facilitating the secretion of proteins such as TCTP. {ECO:0000269|PubMed:15319436, ECO:0000269|PubMed:16651434}.; </t>
  </si>
  <si>
    <t xml:space="preserve">DISEASE: Anemia, hypochromic microcytic, with iron overload 2 (AHMIO2) [MIM:615234]: A hematologic disease characterized by abnormal hemoglobin content in the erythrocytes which are reduced in size, severe anemia, erythropoietic hyperplasia of bone marrow, massive hepatic iron deposition, and hepatosplenomegaly. {ECO:0000269|PubMed:22031863}. Note=The disease is caused by mutations affecting the gene represented in this entry.; </t>
  </si>
  <si>
    <t xml:space="preserve">880.64</t>
  </si>
  <si>
    <t xml:space="preserve">41,41</t>
  </si>
  <si>
    <t xml:space="preserve">0.0685948768686647</t>
  </si>
  <si>
    <t xml:space="preserve">Rho guanine nucleotide exchange factor 4</t>
  </si>
  <si>
    <t xml:space="preserve">FUNCTION: Acts as guanine nucleotide exchange factor (GEF) for RHOA, RAC1 and CDC42 GTPases. Binding of APC may activate RAC1 GEF activity. The APC-ARHGEF4 complex seems to be involved in cell migration as well as in E-cadherin-mediated cell-cell adhesion. Required for MMP9 up-regulation via the JNK signaling pathway in colorectal tumor cells. Involved in tumor angiogenesis and may play a role in intestinal adenoma formation and tumor progression. {ECO:0000269|PubMed:10947987, ECO:0000269|PubMed:12598901, ECO:0000269|PubMed:17145773, ECO:0000269|PubMed:17599059, ECO:0000269|PubMed:19893577}.; </t>
  </si>
  <si>
    <t xml:space="preserve">331.64</t>
  </si>
  <si>
    <t xml:space="preserve">44,12</t>
  </si>
  <si>
    <t xml:space="preserve">ankyrin repeat domain 30B-like</t>
  </si>
  <si>
    <t xml:space="preserve">CT</t>
  </si>
  <si>
    <t xml:space="preserve">53,6</t>
  </si>
  <si>
    <t xml:space="preserve">LOC100129961:uc010zbe.3:exon5:c.196_197del:p.R66Gfs*6</t>
  </si>
  <si>
    <t xml:space="preserve">CCNT2 antisense RNA 1</t>
  </si>
  <si>
    <t xml:space="preserve">3336.02</t>
  </si>
  <si>
    <t xml:space="preserve">109</t>
  </si>
  <si>
    <t xml:space="preserve">3,41,65</t>
  </si>
  <si>
    <t xml:space="preserve">0.999999999535395</t>
  </si>
  <si>
    <t xml:space="preserve">sodium voltage-gated channel alpha subunit 1</t>
  </si>
  <si>
    <t xml:space="preserve">FUNCTION: Mediates the voltage-dependent sodium ion permeability of excitable membranes. Assuming opened or closed conformations in response to the voltage difference across the membrane, the protein forms a sodium-selective channel through which Na(+) ions may pass in accordance with their electrochemical gradient.; </t>
  </si>
  <si>
    <t xml:space="preserve">DISEASE: Generalized epilepsy with febrile seizures plus 2 (GEFS+2) [MIM:604403]: A rare autosomal dominant, familial condition with incomplete penetrance and large intrafamilial variability. Patients display febrile seizures persisting sometimes beyond the age of 6 years and/or a variety of afebrile seizure types. This disease combines febrile seizures, generalized seizures often precipitated by fever at age 6 years or more, and partial seizures, with a variable degree of severity. {ECO:0000269|PubMed:10742094, ECO:0000269|PubMed:11254444, ECO:0000269|PubMed:11254445, ECO:0000269|PubMed:11524484, ECO:0000269|PubMed:11756608, ECO:0000269|PubMed:12535936, ECO:0000269|PubMed:12576172, ECO:0000269|PubMed:12919402, ECO:0000269|PubMed:14672992, ECO:0000269|PubMed:15525788, ECO:0000269|PubMed:15694566, ECO:0000269|PubMed:15715999, ECO:0000269|PubMed:16525050, ECO:0000269|PubMed:17347258, ECO:0000269|PubMed:17507202, ECO:0000269|PubMed:17561957, ECO:0000269|PubMed:17927801, ECO:0000269|PubMed:18251839, ECO:0000269|PubMed:18413471, ECO:0000269|PubMed:18566737, ECO:0000269|PubMed:19339291, ECO:0000269|PubMed:19464195, ECO:0000269|PubMed:19522081, ECO:0000269|PubMed:20117752, ECO:0000269|PubMed:20550552, ECO:0000269|PubMed:20600615, ECO:0000269|PubMed:20729507, ECO:0000269|PubMed:21248271, ECO:0000269|PubMed:21864321}. Note=The disease is caused by mutations affecting the gene represented in this entry.; DISEASE: Epileptic encephalopathy, early infantile, 6 (EIEE6) [MIM:607208]: A severe form of epileptic encephalopathy characterized by generalized tonic, clonic, and tonic-clonic seizures that are initially induced by fever and begin during the first year of life. Later, patients also manifest other seizure types, including absence, myoclonic, and simple and complex partial seizures. Psychomotor development delay is observed around the second year of life. Some patients manifest a borderline disease phenotype and do not necessarily fulfill all diagnostic criteria for core EIEE6. EIEE6 is considered to be the most severe phenotype within the spectrum of generalized epilepsies with febrile seizures-plus. {ECO:0000269|PubMed:11359211, ECO:0000269|PubMed:12083760, ECO:0000269|PubMed:12566275, ECO:0000269|PubMed:12754708, ECO:0000269|PubMed:12821740, ECO:0000269|PubMed:14504318, ECO:0000269|PubMed:14738421, ECO:0000269|PubMed:15087100, ECO:0000269|PubMed:15944908, ECO:0000269|PubMed:16122630, ECO:0000269|PubMed:16458823, ECO:0000269|PubMed:16713920, ECO:0000269|PubMed:17054684, ECO:0000269|PubMed:17054685, ECO:0000269|PubMed:17129991, ECO:0000269|PubMed:17347258, ECO:0000269|PubMed:17561957, ECO:0000269|PubMed:18413471, ECO:0000269|PubMed:18639757, ECO:0000269|PubMed:18930999, ECO:0000269|PubMed:19522081, ECO:0000269|PubMed:19563458, ECO:0000269|PubMed:19589774, ECO:0000269|PubMed:19783390, ECO:0000269|PubMed:20110217, ECO:0000269|PubMed:20431604, ECO:0000269|PubMed:20452746, ECO:0000269|PubMed:20522430, ECO:0000269|PubMed:20729507, ECO:0000269|PubMed:21248271, ECO:0000269|PubMed:21864321, ECO:0000269|PubMed:22092154, ECO:0000269|PubMed:22612257, ECO:0000269|PubMed:23195492}. Note=The disease is caused by mutations affecting the gene represented in this entry.; DISEASE: Intractable childhood epilepsy with generalized tonic- clonic seizures (ICEGTC) [MIM:607208]: A disorder characterized by generalized tonic-clonic seizures beginning usually in infancy and induced by fever. Seizures are associated with subsequent mental decline, as well as ataxia or hypotonia. ICEGTC is similar to SMEI, except for the absence of myoclonic seizures. {ECO:0000269|PubMed:12566275, ECO:0000269|PubMed:16210358, ECO:0000269|PubMed:17507202, ECO:0000269|PubMed:23195492}. Note=The disease is caused by mutations affecting the gene represented in this entry.; DISEASE: Migraine, familial hemiplegic, 3 (FHM3) [MIM:609634]: A subtype of migraine associated with transient blindness in some families. Migraine is a disabling symptom complex of periodic headaches, usually temporal and unilateral. Headaches are often accompanied by irritability, nausea, vomiting and photophobia, preceded by constriction of the cranial arteries. The two major subtypes are common migraine (migraine without aura) and classic migraine (migraine with aura). Classic migraine is characterized by recurrent attacks of reversible neurological symptoms (aura) that precede or accompany the headache. Aura may include a combination of sensory disturbances, such as blurred vision, hallucinations, vertigo, numbness and difficulty in concentrating and speaking. {ECO:0000269|PubMed:16054936, ECO:0000269|PubMed:17397047, ECO:0000269|PubMed:18021921, ECO:0000269|PubMed:19332696}. Note=The disease is caused by mutations affecting the gene represented in this entry.; DISEASE: Febrile seizures, familial, 3A (FEB3A) [MIM:604403]: Seizures associated with febrile episodes in childhood without any evidence of intracranial infection or defined pathologic or traumatic cause. It is a common condition, affecting 2-5% of children aged 3 months to 5 years. The majority are simple febrile seizures (generally defined as generalized onset, single seizures with a duration of less than 30 minutes). Complex febrile seizures are characterized by focal onset, duration greater than 30 minutes, and/or more than one seizure in a 24 hour period. The likelihood of developing epilepsy following simple febrile seizures is low. Complex febrile seizures are associated with a moderately increased incidence of epilepsy. {ECO:0000269|PubMed:16326807, ECO:0000269|PubMed:19522081}. Note=The disease is caused by mutations affecting the gene represented in this entry.; DISEASE: Note=SCN1A mutations may be involved in Panayiotopoulos syndrome, a benign age-related focal seizure disorder occurring in early and mid-childhood. It is characterized by seizures, often prolonged, with predominantly autonomic symptoms, and by an electroencephalogram that shows shifting and/or multiple foci, often with occipital predominance. Autonomic seizures in Panayiotopoulos syndrome consist of episodes of disturbed autonomic function with emesis as the predominant symptom. Cardiorespiratory arrest is exceptional. {ECO:0000269|PubMed:17679682, ECO:0000269|PubMed:19339291, ECO:0000269|PubMed:19522081}.; </t>
  </si>
  <si>
    <t xml:space="preserve">768.02</t>
  </si>
  <si>
    <t xml:space="preserve">3,26,9</t>
  </si>
  <si>
    <t xml:space="preserve">8.79556820389947e-06</t>
  </si>
  <si>
    <t xml:space="preserve">cholinergic receptor nicotinic alpha 1 subunit</t>
  </si>
  <si>
    <t xml:space="preserve">FUNCTION: After binding acetylcholine, the AChR responds by an extensive change in conformation that affects all subunits and leads to opening of an ion-conducting channel across the plasma membrane.; </t>
  </si>
  <si>
    <t xml:space="preserve">DISEASE: Note=The alpha subunit is the main focus for antibody binding in myasthenia gravis. Myasthenia gravis is characterized by sporadic muscular fatigability and weakness, occurring chiefly in muscles innervated by cranial nerves, and characteristically improved by cholinesterase-inhibiting drugs.; DISEASE: Myasthenic syndrome, congenital, 1A, slow-channel (CMS1A) [MIM:601462]: A common congenital myasthenic syndrome. Congenital myasthenic syndromes are characterized by muscle weakness affecting the axial and limb muscles (with hypotonia in early- onset forms), the ocular muscles (leading to ptosis and ophthalmoplegia), and the facial and bulbar musculature (affecting sucking and swallowing, and leading to dysphonia). The symptoms fluctuate and worsen with physical effort. CMS1A is a slow-channel myasthenic syndrome. It is caused by kinetic abnormalities of the AChR, resulting in prolonged AChR channel opening episodes, prolonged endplate currents, and depolarization block. This is associated with calcium overload, which may contribute to subsequent degeneration of the endplate and postsynaptic membrane. {ECO:0000269|PubMed:16685696, ECO:0000269|PubMed:7619526, ECO:0000269|PubMed:8872460, ECO:0000269|PubMed:9158151, ECO:0000269|PubMed:9221765}. Note=The disease is caused by mutations affecting the gene represented in this entry.; DISEASE: Myasthenic syndrome, congenital, 1B, fast-channel (CMS1B) [MIM:608930]: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CMS1B is a fast-channel myasthenic syndrome. It is caused by kinetic abnormalities of the AChR, resulting in brief opening and activity of the channel, with a rapid decay in endplate current, failure to achieve threshold depolarization of the endplate and consequent failure to fire an action potential. {ECO:0000269|PubMed:10195214, ECO:0000269|PubMed:12588888, ECO:0000269|PubMed:15079006}. Note=The disease is caused by mutations affecting the gene represented in this entry.; </t>
  </si>
  <si>
    <t xml:space="preserve">50.60</t>
  </si>
  <si>
    <t xml:space="preserve">35,5</t>
  </si>
  <si>
    <t xml:space="preserve">1.21111377105808e-32</t>
  </si>
  <si>
    <t xml:space="preserve">titin</t>
  </si>
  <si>
    <t xml:space="preserve">FUNCTION: 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 {ECO:0000269|PubMed:9804419}.; </t>
  </si>
  <si>
    <t xml:space="preserve">DISEASE: Hereditary myopathy with early respiratory failure (HMERF) [MIM:603689]: Autosomal dominant, adult-onset myopathy with early respiratory muscle involvement. {ECO:0000269|PubMed:15802564}. Note=The disease is caused by mutations affecting the gene represented in this entry.; DISEASE: Cardiomyopathy, familial hypertrophic 9 (CMH9) [MIM:613765]: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{ECO:0000269|PubMed:10462489}. Note=The disease is caused by mutations affecting the gene represented in this entry.; DISEASE: Cardiomyopathy, dilated 1G (CMD1G) [MIM:604145]: A disorder characterized by ventricular dilation and impaired systolic function, resulting in congestive heart failure and arrhythmia. Patients are at risk of premature death. {ECO:0000269|PubMed:11788824, ECO:0000269|PubMed:11846417, ECO:0000269|PubMed:16465475}. Note=The disease is caused by mutations affecting the gene represented in this entry.; DISEASE: Tardive tibial muscular dystrophy (TMD) [MIM:600334]: Autosomal dominant, late-onset distal myopathy. Muscle weakness and atrophy are usually confined to the anterior compartment of the lower leg, in particular the tibialis anterior muscle. Clinical symptoms usually occur at age 35-45 years or much later. {ECO:0000269|PubMed:12145747, ECO:0000269|PubMed:12891679}. Note=The disease is caused by mutations affecting the gene represented in this entry.; DISEASE: Limb-girdle muscular dystrophy 2J (LGMD2J) [MIM:608807]: An autosomal recessive degenerative myopathy characterized by progressive weakness of the pelvic and shoulder girdle muscles. Severe disability is observed within 20 years of onset. {ECO:0000269|PubMed:12145747}. Note=The disease is caused by mutations affecting the gene represented in this entry.; DISEASE: Early-onset myopathy with fatal cardiomyopathy (EOMFC) [MIM:611705]: Early-onset myopathies are inherited muscle disorders that manifest typically from birth or infancy with hypotonia, muscle weakness, and delayed motor development. EOMFC is a titinopathy that, in contrast with the previously described examples, involves both heart and skeletal muscle, has a congenital onset, and is purely recessive. This phenotype is due to homozygous out-of-frame TTN deletions, which lead to a total absence of titin's C-terminal end from striated muscles and to secondary CAPN3 depletion. {ECO:0000269|PubMed:17444505}. Note=The disease is caused by mutations affecting the gene represented in this entry.; </t>
  </si>
  <si>
    <t xml:space="preserve">155.60</t>
  </si>
  <si>
    <t xml:space="preserve">7,12</t>
  </si>
  <si>
    <t xml:space="preserve">383.84</t>
  </si>
  <si>
    <t xml:space="preserve">1,11</t>
  </si>
  <si>
    <t xml:space="preserve">218.64</t>
  </si>
  <si>
    <t xml:space="preserve">17,11</t>
  </si>
  <si>
    <t xml:space="preserve">2.02270864482359e-07</t>
  </si>
  <si>
    <t xml:space="preserve">ATP binding cassette subfamily A member 12</t>
  </si>
  <si>
    <t xml:space="preserve">FUNCTION: Probable transporter involved in lipid homeostasis.; </t>
  </si>
  <si>
    <t xml:space="preserve">DISEASE: Ichthyosis, congenital, autosomal recessive 4A (ARCI4A) [MIM:601277]: A form of autosomal recessive congenital ichthyosis, a disorder of keratinization with abnormal differentiation and desquamation of the epidermis, resulting in abnormal skin scaling over the whole body. The main skin phenotypes are lamellar ichthyosis (LI) and non-bullous congenital ichthyosiform erythroderma (NCIE), although phenotypic overlap within the same patient or among patients from the same family can occur. Lamellar ichthyosis is a condition often associated with an embedment in a collodion-like membrane at birth; skin scales later develop, covering the entire body surface. Non-bullous congenital ichthyosiform erythroderma characterized by fine whitish scaling on an erythrodermal background; larger brownish scales are present on the buttocks, neck and legs. {ECO:0000269|PubMed:12915478, ECO:0000269|PubMed:17508018, ECO:0000269|PubMed:18284401, ECO:0000269|PubMed:19262603, ECO:0000269|PubMed:22257947}. Note=The disease is caused by mutations affecting the gene represented in this entry.; DISEASE: Ichthyosis, congenital, autosomal recessive 4B (ARCI4B) [MIM:242500]: A rare, very severe form of congenital ichthyosis, in which the neonate is born with a thick covering of armor-like scales. The skin dries out to form hard diamond-shaped plaques separated by fissures, resembling 'armor plating'. The normal facial features are severely affected, with distortion of the lips (eclabion), eyelids (ectropion), ears, and nostrils. Affected babies are often born prematurely and rarely survive the perinatal period. Babies who survive into infancy and beyond develop skin changes resembling severe non-bullous congenital ichthyosiform erythroderma. {ECO:0000269|PubMed:15756637, ECO:0000269|PubMed:16675967, ECO:0000269|PubMed:16902423}. Note=The disease is caused by mutations affecting the gene represented in this entry.; </t>
  </si>
  <si>
    <t xml:space="preserve">484.64</t>
  </si>
  <si>
    <t xml:space="preserve">36</t>
  </si>
  <si>
    <t xml:space="preserve">18,18</t>
  </si>
  <si>
    <t xml:space="preserve">3.16369314039825e-09</t>
  </si>
  <si>
    <t xml:space="preserve">SP110 nuclear body protein</t>
  </si>
  <si>
    <t xml:space="preserve">FUNCTION: Transcription factor. May be a nuclear hormone receptor coactivator. Enhances transcription of genes with retinoic acid response elements (RARE).; </t>
  </si>
  <si>
    <t xml:space="preserve">DISEASE: Hepatic venoocclusive disease with immunodeficiency (VODI) [MIM:235550]: Autosomal recessive primary immunodeficiency associated with hepatic vascular occlusion and fibrosis. The immunodeficiency is characterized by severe hypogammaglobulinemia, combined T and B-cell immunodeficiency, absent lymph node germinal centers, and absent tissue plasma cells. {ECO:0000269|PubMed:16648851}. Note=The disease is caused by mutations affecting the gene represented in this entry.; </t>
  </si>
  <si>
    <t xml:space="preserve">77.60</t>
  </si>
  <si>
    <t xml:space="preserve">43,9</t>
  </si>
  <si>
    <t xml:space="preserve">0.99999999997935</t>
  </si>
  <si>
    <t xml:space="preserve">GRB10 interacting GYF protein 2</t>
  </si>
  <si>
    <t xml:space="preserve">FUNCTION: May act cooperatively with GRB10 to regulate tyrosine kinase receptor signaling, including IGF1 and insulin receptors. {ECO:0000269|PubMed:12771153}.; </t>
  </si>
  <si>
    <t xml:space="preserve">DISEASE: Parkinson disease 11 (PARK11) [MIM:607688]: A complex neurodegenerative disorder characterized by bradykinesia, resting tremor, muscular rigidity and postural instability, as well as by a clinically significant response to treatment with levodopa. The pathology involves the loss of dopaminergic neurons in the substantia nigra and the presence of Lewy bodies (intraneuronal accumulations of aggregated proteins), in surviving neurons in various areas of the brain. {ECO:0000269|PubMed:18358451}. Note=The disease may be caused by mutations affecting the gene represented in this entry.; </t>
  </si>
  <si>
    <t xml:space="preserve">1204.64</t>
  </si>
  <si>
    <t xml:space="preserve">13,44</t>
  </si>
  <si>
    <t xml:space="preserve">0.999989726820827</t>
  </si>
  <si>
    <t xml:space="preserve">histone deacetylase 4</t>
  </si>
  <si>
    <t xml:space="preserve">FUNCTION: Responsible for the deacetylation of lysine residues on the N-terminal part of the core histones (H2A, H2B, H3 and H4). Histone deacetylation gives a tag for epigenetic repression and plays an important role in transcriptional regulation, cell cycle progression and developmental events. Histone deacetylases act via the formation of large multiprotein complexes. Involved in muscle maturation via its interaction with the myocyte enhancer factors such as MEF2A, MEF2C and MEF2D. Involved in the MTA1-mediated epigenetic regulation of ESR1 expression in breast cancer. {ECO:0000269|PubMed:10523670, ECO:0000269|PubMed:24413532}.; </t>
  </si>
  <si>
    <t xml:space="preserve">DISEASE: Brachydactyly-mental retardation syndrome (BDMR) [MIM:600430]: A syndrome resembling the physical anomalies found in Albright hereditary osteodystrophy. Common features are mild facial dysmorphism, congenital heart defects, distinct brachydactyly type E, mental retardation, developmental delay, seizures, autism spectrum disorder, and stocky build. Soft tissue ossification is absent, and there are no abnormalities in parathyroid hormone or calcium metabolism. {ECO:0000269|PubMed:20691407, ECO:0000269|PubMed:23188045, ECO:0000269|PubMed:24715439}. Note=The gene represented in this entry is involved in disease pathogenesis. HDAC4 point mutations and chromosomal microdeletions encompassing this gene have been found in BDMR patients (PubMed:20691407, PubMed:24715439, PubMed:23188045). However, HDAC4 haploinsufficiency is not fully penetrant and multiple genes may contribute to manifestation of the full phenotypic spectrum (PubMed:24715439, PubMed:23188045). {ECO:0000269|PubMed:20691407, ECO:0000269|PubMed:23188045, ECO:0000269|PubMed:24715439}.; </t>
  </si>
  <si>
    <t xml:space="preserve">46,15</t>
  </si>
  <si>
    <t xml:space="preserve">0.959806530251926</t>
  </si>
  <si>
    <t xml:space="preserve">synaptosome associated protein 25kDa</t>
  </si>
  <si>
    <t xml:space="preserve">FUNCTION: t-SNARE involved in the molecular regulation of neurotransmitter release. May play an important role in the synaptic function of specific neuronal systems. Associates with proteins involved in vesicle docking and membrane fusion. Regulates plasma membrane recycling through its interaction with CENPF. Modulates the gating characteristics of the delayed rectifier voltage-dependent potassium channel KCNB1 in pancreatic beta cells. {ECO:0000250|UniProtKB:P60881}.; </t>
  </si>
  <si>
    <t xml:space="preserve">DISEASE: Myasthenic syndrome, congenital, 18 (CMS18) [MIM:616330]: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CMS18 is an autosomal dominant presynaptic disorder clinically characterized by early-onset muscle weakness and easy fatigability associated with delayed psychomotor development and ataxia. {ECO:0000269|PubMed:25381298}. Note=The disease is caused by mutations affecting the gene represented in this entry.; </t>
  </si>
  <si>
    <t xml:space="preserve">301.64</t>
  </si>
  <si>
    <t xml:space="preserve">9,8</t>
  </si>
  <si>
    <t xml:space="preserve">intronic;upstream</t>
  </si>
  <si>
    <t xml:space="preserve">dist=65;dist=65</t>
  </si>
  <si>
    <t xml:space="preserve">486.64</t>
  </si>
  <si>
    <t xml:space="preserve">27,21</t>
  </si>
  <si>
    <t xml:space="preserve">0.999990177147491</t>
  </si>
  <si>
    <t xml:space="preserve">itchy E3 ubiquitin protein ligase</t>
  </si>
  <si>
    <t xml:space="preserve">FUNCTION: Acts as an E3 ubiquitin-protein ligase which accepts ubiquitin from an E2 ubiquitin-conjugating enzyme in the form of a thioester and then directly transfers the ubiquitin to targeted substrates. It catalyzes 'Lys-29'-, 'Lys-48'- and 'Lys-63'-linked ubiquitin conjugation. It is involved in the control of inflammatory signaling pathways. Is an essential component of a ubiquitin-editing protein complex, comprising also TNFAIP3, TAX1BP1 and RNF11, that ensures the transient nature of inflammatory signaling pathways. Promotes the association of the complex after TNF stimulation. Once the complex is formed, TNFAIP3 deubiquitinates 'Lys-63' polyubiquitin chains on RIPK1 and catalyzes the formation of 'Lys-48'-polyubiquitin chains. This leads to RIPK1 proteasomal degradation and consequently termination of the TNF- or LPS-mediated activation of NFKB1. Ubiquitinates RIPK2 by 'Lys-63'-linked conjugation and influences NOD2-dependent signal transduction pathways. Regulates the transcriptional activity of several transcription factors, and probably plays an important role in the regulation of immune response. Ubiquitinates NFE2 by 'Lys-63' linkages and is implicated in the control of the development of hematopoietic lineages. Critical regulator of T-helper (TH2) cytokine development through its ability to induce JUNB ubiquitination and degradation (By similarity). Ubiquitinates SNX9. Ubiquitinates CXCR4 and HGS/HRS and regulates sorting of CXCR4 to the degradative pathway. It is involved in the negative regulation of MAVS-dependent cellular antiviral responses. Ubiquitinates MAVS through 'Lys-48'-linked conjugation resulting in MAVS proteasomal degradation. Involved in the regulation of apoptosis and reactive oxygen species levels through the ubiquitination and proteasomal degradation of TXNIP. Mediates the antiapoptotic activity of epidermal growth factor through the ubiquitination and proteasomal degradation of p15 BID. Targets DTX1 for lysosomal degradation and controls NOTCH1 degradation, in the absence of ligand, through 'Lys-29'-linked polyubiquitination. Ubiquitinates BRAT1 and this ubiquitination is enhanced in the presence of NDFIP1 (PubMed:25631046). {ECO:0000250|UniProtKB:Q8C863, ECO:0000269|PubMed:14602072, ECO:0000269|PubMed:16387660, ECO:0000269|PubMed:17028573, ECO:0000269|PubMed:18628966, ECO:0000269|PubMed:18718448, ECO:0000269|PubMed:18718449, ECO:0000269|PubMed:19131965, ECO:0000269|PubMed:19592251, ECO:0000269|PubMed:19881509, ECO:0000269|PubMed:20068034, ECO:0000269|PubMed:20392206, ECO:0000269|PubMed:23146885, ECO:0000269|PubMed:25631046}.; </t>
  </si>
  <si>
    <t xml:space="preserve">DISEASE: Autoimmune disease, multisystem, with facial dysmorphism (ADMFD) [MIM:613385]: A disorder characterized by organomegaly, failure to thrive, developmental delay, dysmorphic features and autoimmune inflammatory cell infiltration of the lungs, liver and gut. {ECO:0000269|PubMed:20170897}. Note=The disease is caused by mutations affecting the gene represented in this entry.; </t>
  </si>
  <si>
    <t xml:space="preserve">7,9</t>
  </si>
  <si>
    <t xml:space="preserve">DLGAP4 antisense RNA 1</t>
  </si>
  <si>
    <t xml:space="preserve">422.64</t>
  </si>
  <si>
    <t xml:space="preserve">10,18</t>
  </si>
  <si>
    <t xml:space="preserve">0.999997106368404</t>
  </si>
  <si>
    <t xml:space="preserve">zinc finger MYND-type containing 8</t>
  </si>
  <si>
    <t xml:space="preserve">93.60</t>
  </si>
  <si>
    <t xml:space="preserve">96,17</t>
  </si>
  <si>
    <t xml:space="preserve">SLC9A8:NM_001260491:exon7:c.537dupT:p.V183Cfs*14;SLC9A8:uc010zyj.2:exon7:c.537dupT:p.V183Cfs*14;ENSG00000197818:ENST00000417961:exon7:c.537dupT:p.V183Cfs*14</t>
  </si>
  <si>
    <t xml:space="preserve">2.81662458191787e-05</t>
  </si>
  <si>
    <t xml:space="preserve">solute carrier family 9 member A8</t>
  </si>
  <si>
    <t xml:space="preserve">FUNCTION: Involved in pH regulation to eliminate acids generated by active metabolism or to counter adverse environmental conditions. Major proton extruding system driven by the inward sodium ion chemical gradient. Plays an important role in signal transduction. {ECO:0000269|PubMed:15522866}.; </t>
  </si>
  <si>
    <t xml:space="preserve">AlleleImbalance</t>
  </si>
  <si>
    <t xml:space="preserve">680.64</t>
  </si>
  <si>
    <t xml:space="preserve">68</t>
  </si>
  <si>
    <t xml:space="preserve">37,31</t>
  </si>
  <si>
    <t xml:space="preserve">0.536747471706315</t>
  </si>
  <si>
    <t xml:space="preserve">ADNP antisense RNA 1;dolichyl-phosphate mannosyltransferase polypeptide 1, catalytic subunit</t>
  </si>
  <si>
    <t xml:space="preserve">FUNCTION: Transfers mannose from GDP-mannose to dolichol monophosphate to form dolichol phosphate mannose (Dol-P-Man) which is the mannosyl donor in pathways leading to N-glycosylation, glycosyl phosphatidylinositol membrane anchoring, and O- mannosylation of proteins; catalytic subunit of the dolichol- phosphate mannose (DPM) synthase complex.; </t>
  </si>
  <si>
    <t xml:space="preserve">DISEASE: Congenital disorder of glycosylation 1E (CDG1E) [MIM:608799]: A multisystem disorder caused by a defect in glycoprotein biosynthesis and characterized by under-glycosylated serum glycoproteins. Congenital disorders of glycosylation result in a wide variety of clinical features, such as defects in the nervous system development, psychomotor retardation, dysmorphic features, hypotonia, coagulation disorders, and immunodeficiency. The broad spectrum of features reflects the critical role of N- glycoproteins during embryonic development, differentiation, and maintenance of cell functions. Some CDG1E patients have features consistent with a dystroglycanopathy and congenital muscular dystrophy, including O-mannosylation defect, camptodactyly, elevated creatine kinase, motor delay and dystrophic changes on muscel biopsy. {ECO:0000269|PubMed:10642597, ECO:0000269|PubMed:10642602, ECO:0000269|PubMed:15669674, ECO:0000269|PubMed:23856421}. Note=The disease is caused by mutations affecting the gene represented in this entry.; </t>
  </si>
  <si>
    <t xml:space="preserve">236.64</t>
  </si>
  <si>
    <t xml:space="preserve">17,7</t>
  </si>
  <si>
    <t xml:space="preserve">3.24916588705806e-05</t>
  </si>
  <si>
    <t xml:space="preserve">collagen type IX alpha 3</t>
  </si>
  <si>
    <t xml:space="preserve">FUNCTION: Structural component of hyaline cartilage and vitreous of the eye.; </t>
  </si>
  <si>
    <t xml:space="preserve">DISEASE: Multiple epiphyseal dysplasia 3 (EDM3) [MIM:600969]: A generalized skeletal dysplasia associated with significant morbidity. Joint pain, joint deformity, waddling gait, and short stature are the main clinical signs and symptoms. Radiological examination of the skeleton shows delayed, irregular mineralization of the epiphyseal ossification centers and of the centers of the carpal and tarsal bones. Multiple epiphyseal dysplasia is broadly categorized into the more severe Fairbank and the milder Ribbing types. The Fairbank type is characterized by shortness of stature, short and stubby fingers, small epiphyses in several joints, including the knee, ankle, hand, and hip. The Ribbing type is confined predominantly to the hip joints and is characterized by hands that are normal and stature that is normal or near-normal. {ECO:0000269|PubMed:10090888}. Note=The disease is caused by mutations affecting the gene represented in this entry.; DISEASE: Intervertebral disc disease (IDD) [MIM:603932]: A common musculo-skeletal disorder caused by degeneration of intervertebral disks of the lumbar spine. It results in low-back pain and unilateral leg pain. {ECO:0000269|PubMed:11308397, ECO:0000269|PubMed:25381065}. Note=Disease susceptibility is associated with variations affecting the gene represented in this entry. Susceptibility to intervertebral disk disease is conferred by variant p.Arg103Trp (PubMed:11308397). {ECO:0000269|PubMed:11308397}.; </t>
  </si>
  <si>
    <t xml:space="preserve">chr21</t>
  </si>
  <si>
    <t xml:space="preserve">3467.64</t>
  </si>
  <si>
    <t xml:space="preserve">182</t>
  </si>
  <si>
    <t xml:space="preserve">88,94</t>
  </si>
  <si>
    <t xml:space="preserve">intergenic;splicing</t>
  </si>
  <si>
    <t xml:space="preserve">dist=253183;dist=34951;dist=253183;dist=34951;ENST00000540061:exon3:c.118+1G&gt;A</t>
  </si>
  <si>
    <t xml:space="preserve">4695.64</t>
  </si>
  <si>
    <t xml:space="preserve">258</t>
  </si>
  <si>
    <t xml:space="preserve">136,122</t>
  </si>
  <si>
    <t xml:space="preserve">intergenic;intronic</t>
  </si>
  <si>
    <t xml:space="preserve">dist=253229;dist=34905;dist=253229;dist=34905</t>
  </si>
  <si>
    <t xml:space="preserve">282.60</t>
  </si>
  <si>
    <t xml:space="preserve">14,8</t>
  </si>
  <si>
    <t xml:space="preserve">ENSG00000268098:ENST00000600312:exon2:c.78_79del:p.P28Lfs*10</t>
  </si>
  <si>
    <t xml:space="preserve">2.5473165547071e-12</t>
  </si>
  <si>
    <t xml:space="preserve">SET domain containing 4</t>
  </si>
  <si>
    <t xml:space="preserve">1196.64</t>
  </si>
  <si>
    <t xml:space="preserve">91</t>
  </si>
  <si>
    <t xml:space="preserve">37,54</t>
  </si>
  <si>
    <t xml:space="preserve">0.999874192317744</t>
  </si>
  <si>
    <t xml:space="preserve">MORC family CW-type zinc finger 3</t>
  </si>
  <si>
    <t xml:space="preserve">FUNCTION: Nuclear factor which forms MORC3-NBs (nuclear bodies) via an ATP-dependent mechanism (PubMed:20501696). Sumoylated MORC3-NBs can also associate with PML-NBs (PubMed:20501696). Recruits TP53 and SP100 to PML-NBs, thus regulating TP53 activity (PubMed:17332504). Binds RNA in vitro (PubMed:11927593). May be required for influenza A transcription during viral infection (PubMed:26202233). {ECO:0000269|PubMed:11927593, ECO:0000269|PubMed:17332504, ECO:0000269|PubMed:20501696, ECO:0000269|PubMed:26202233}.; </t>
  </si>
  <si>
    <t xml:space="preserve">GGCCCCCCA</t>
  </si>
  <si>
    <t xml:space="preserve">1876.02</t>
  </si>
  <si>
    <t xml:space="preserve">0,28,20</t>
  </si>
  <si>
    <t xml:space="preserve">frameshift deletion;nonframeshift deletion</t>
  </si>
  <si>
    <t xml:space="preserve">COL18A1:NM_030582:exon34:c.3365_3372del:p.P1124Tfs*137,COL18A1:NM_130444:exon34:c.4070_4077del:p.P1359Tfs*137,COL18A1:NM_130445:exon35:c.2825_2832del:p.P944Tfs*137;COL18A1:uc002zhi.3:exon33:c.3373_3381del:p.P1127_P1129del,COL18A1:uc002zhg.3:exon34:c.2833_2841del:p.P947_P949del;ENSG00000182871:ENST00000342220:exon15:c.874_882del:p.P294_P296del,ENSG00000182871:ENST00000355480:exon33:c.3373_3381del:p.P1127_P1129del,ENSG00000182871:ENST00000359759:exon33:c.4078_4086del:p.P1362_P1364del,ENSG00000182871:ENST00000400337:exon34:c.2833_2841del:p.P947_P949del</t>
  </si>
  <si>
    <t xml:space="preserve">1.23766303264373e-05</t>
  </si>
  <si>
    <t xml:space="preserve">collagen type XVIII alpha 1</t>
  </si>
  <si>
    <t xml:space="preserve">FUNCTION: COLA18A probably plays a major role in determining the retinal structure as well as in the closure of the neural tube.; </t>
  </si>
  <si>
    <t xml:space="preserve">DISEASE: Knobloch syndrome 1 (KNO1) [MIM:267750]: A developmental disorder primarily characterized by typical eye abnormalities, including high myopia, cataracts, dislocated lens, vitreoretinal degeneration, and retinal detachment, with occipital skull defects, which can range from occipital encephalocele to occult cutis aplasia. {ECO:0000269|PubMed:10942434, ECO:0000269|PubMed:23667181}. Note=The disease is caused by mutations affecting the gene represented in this entry.; </t>
  </si>
  <si>
    <t xml:space="preserve">321.64</t>
  </si>
  <si>
    <t xml:space="preserve">128,31</t>
  </si>
  <si>
    <t xml:space="preserve">0.676974716705773</t>
  </si>
  <si>
    <t xml:space="preserve">gamma-glutamyltransferase 1</t>
  </si>
  <si>
    <t xml:space="preserve">FUNCTION: Cleaves the gamma-glutamyl bond of extracellular glutathione (gamma-Glu-Cys-Gly), glutathione conjugates, and other gamma-glutamyl compounds. The metabolism of glutathione releases free glutamate and the dipeptide, cysteinyl-glycine, which is hydrolyzed to cysteine and glycine by dipeptidases. In the presence of high concentrations of dipeptides and some amino acids, can also catalyze a transpeptidation reaction, transferring the gamma-glutamyl moiety to an acceptor amino acid to form a new gamma-glutamyl compound. Initiates extracellular glutathione (GSH) breakdown, provides cells with a local cysteine supply and contributes to maintain intracellular GSH level. It is part of the cell antioxidant defense mechanism. Isoform 3 seems to be inactive. {ECO:0000269|PubMed:20622017, ECO:0000269|PubMed:24047895, ECO:0000269|PubMed:7673200, ECO:0000269|PubMed:7759490, ECO:0000269|PubMed:8095045, ECO:0000269|PubMed:8827453}.; </t>
  </si>
  <si>
    <t xml:space="preserve">DISEASE: Glutathionuria (GLUTH) [MIM:231950]: Autosomal recessive disease. Note=The disease is caused by mutations affecting the gene represented in this entry.; </t>
  </si>
  <si>
    <t xml:space="preserve">1368.64</t>
  </si>
  <si>
    <t xml:space="preserve">207</t>
  </si>
  <si>
    <t xml:space="preserve">132,75</t>
  </si>
  <si>
    <t xml:space="preserve">964.64</t>
  </si>
  <si>
    <t xml:space="preserve">147,35</t>
  </si>
  <si>
    <t xml:space="preserve">300.64</t>
  </si>
  <si>
    <t xml:space="preserve">15,11</t>
  </si>
  <si>
    <t xml:space="preserve">3.87405123217097e-11</t>
  </si>
  <si>
    <t xml:space="preserve">LDL receptor related protein 5 like</t>
  </si>
  <si>
    <t xml:space="preserve">117.64</t>
  </si>
  <si>
    <t xml:space="preserve">5,4</t>
  </si>
  <si>
    <t xml:space="preserve">5.98724844744369e-25</t>
  </si>
  <si>
    <t xml:space="preserve">SFI1 centrin binding protein</t>
  </si>
  <si>
    <t xml:space="preserve">FUNCTION: Plays a role in the dynamic structure of centrosome- associated contractile fibers via its interaction with CETN2. {ECO:0000269|PubMed:16956364}.; </t>
  </si>
  <si>
    <t xml:space="preserve">861.64</t>
  </si>
  <si>
    <t xml:space="preserve">23,33</t>
  </si>
  <si>
    <t xml:space="preserve">95.64</t>
  </si>
  <si>
    <t xml:space="preserve">0.99999993402596</t>
  </si>
  <si>
    <t xml:space="preserve">DEP domain containing 5</t>
  </si>
  <si>
    <t xml:space="preserve">FUNCTION: As a component of the GATOR1 complex, inhibitor of the amino acid-sensing branch of the TORC1 pathway. The GATOR1 complex strongly increases GTP hydrolysis by RRAGA and RRAGB within RRAGC- containing heterodimers, thereby deactivating RRAGs, releasing mTORC1 from lysosomal surface and inhibiting mTORC1 signaling. {ECO:0000269|PubMed:23723238}.; </t>
  </si>
  <si>
    <t xml:space="preserve">DISEASE: Note=Inactivating mutations and truncating deletions in the genes encoding GATOR1 proteins, including DEPDC5, are detected in glioblastoma and ovarian tumors and are associated with loss of heterozygosity events. Inactivation of GATOR1 proteins promotes constitutive localization of mTORC1 to the lysosomal membrane and blocks mTORC1 inactivation following amino acid withdrawal (PubMed:23723238). {ECO:0000269|PubMed:23723238}.; </t>
  </si>
  <si>
    <t xml:space="preserve">187.96</t>
  </si>
  <si>
    <t xml:space="preserve">0,5</t>
  </si>
  <si>
    <t xml:space="preserve">0.238540627987742</t>
  </si>
  <si>
    <t xml:space="preserve">nucleoporin 50kDa</t>
  </si>
  <si>
    <t xml:space="preserve">FUNCTION: Component of the nuclear pore complex that has a direct role in nuclear protein import. Actively displaces NLSs from importin-alpha, and facilitates disassembly of the importin- alpha:beta-cargo complex and importin recycling. Interacts with multiple transport receptor proteins including CDKN1B. This interaction is required for correct intracellular transport and degradation of CDKN1B. {ECO:0000269|PubMed:20016008}.; </t>
  </si>
  <si>
    <t xml:space="preserve">229.01</t>
  </si>
  <si>
    <t xml:space="preserve">0,8,9</t>
  </si>
  <si>
    <t xml:space="preserve">UTR5;splicing</t>
  </si>
  <si>
    <t xml:space="preserve">NM_001144382:exon2:c.6-1T&gt;0;uc011awc.2:exon2:UTR5;ENST00000396755:c.-124655T&gt;0;ENST00000418129:c.-124655T&gt;0</t>
  </si>
  <si>
    <t xml:space="preserve">0.999118779774419</t>
  </si>
  <si>
    <t xml:space="preserve">phospholipase C like 2</t>
  </si>
  <si>
    <t xml:space="preserve">FUNCTION: May play an role in the regulation of Ins(1,4,5)P3 around the endoplasmic reticulum. {ECO:0000250}.; </t>
  </si>
  <si>
    <t xml:space="preserve">161.67</t>
  </si>
  <si>
    <t xml:space="preserve">1,5</t>
  </si>
  <si>
    <t xml:space="preserve">0.998926901286195</t>
  </si>
  <si>
    <t xml:space="preserve">lysine acetyltransferase 2B</t>
  </si>
  <si>
    <t xml:space="preserve">FUNCTION: Functions as a histone acetyltransferase (HAT) to promote transcriptional activation. Has significant histone acetyltransferase activity with core histones (H3 and H4), and also with nucleosome core particles. Also acetylates non-histone proteins, such as ACLY. Inhibits cell-cycle progression and counteracts the mitogenic activity of the adenoviral oncoprotein E1A. In case of HIV-1 infection, it is recruited by the viral protein Tat. Regulates Tat's transactivating activity and may help inducing chromatin remodeling of proviral genes. Acts as a circadian transcriptional coactivator which enhances the activity of the circadian transcriptional activators: NPAS2-ARNTL/BMAL1 and CLOCK-ARNTL/BMAL1 heterodimers. {ECO:0000269|PubMed:10675335, ECO:0000269|PubMed:14645221, ECO:0000269|PubMed:23932781, ECO:0000269|PubMed:8684459, ECO:0000269|PubMed:9707565}.; </t>
  </si>
  <si>
    <t xml:space="preserve">197.64</t>
  </si>
  <si>
    <t xml:space="preserve">13,7</t>
  </si>
  <si>
    <t xml:space="preserve">3.45366245550968e-05</t>
  </si>
  <si>
    <t xml:space="preserve">abhydrolase domain containing 5</t>
  </si>
  <si>
    <t xml:space="preserve">FUNCTION: Lysophosphatidic acid acyltransferase which functions in phosphatidic acid biosynthesis (PubMed:18606822). May regulate the cellular storage of triacylglycerol through activation of the phospholipase PNPLA2 (PubMed:16679289). Involved in keratinocyte differentiation (PubMed:18832586). Regulates lipid droplet fusion (By similarity). {ECO:0000250|UniProtKB:Q9DBL9, ECO:0000269|PubMed:16679289, ECO:0000269|PubMed:18606822, ECO:0000269|PubMed:18832586}.; </t>
  </si>
  <si>
    <t xml:space="preserve">DISEASE: Chanarin-Dorfman syndrome (CDS) [MIM:275630]: An autosomal recessive inborn error of lipid metabolism with multisystemic accumulation of triglycerides although plasma concentrations are normal. Clinical characteristics are congenital generalized ichthyosis, vacuolated leukocytes, hepatomegaly, myopathy, cataracts, neurosensory hearing loss and developmental delay. The disorder presents at birth with generalized, fine, white scaling of the skin and a variable degree of erythema resembling non-bullous congenital ichthyosiform erythroderma. {ECO:0000269|PubMed:11590543, ECO:0000269|PubMed:17495960}. Note=The disease is caused by mutations affecting the gene represented in this entry.; </t>
  </si>
  <si>
    <t xml:space="preserve">722.64</t>
  </si>
  <si>
    <t xml:space="preserve">24,30</t>
  </si>
  <si>
    <t xml:space="preserve">0.0141395293232584</t>
  </si>
  <si>
    <t xml:space="preserve">exosome component 7</t>
  </si>
  <si>
    <t xml:space="preserve">FUNCTION: Non-catalytic component of the RNA exosome complex which has 3'-&gt;5' exoribonuclease activity and participates in a multitude of cellular RNA processing and degradation events. In the nucleus, the RNA exosome complex is involved in proper maturation of stable RNA species such as rRNA, snRNA and snoRNA, in the elimination of RNA processing by-products and non-coding 'pervasive' transcripts, such as antisense RNA species and promoter-upstream transcripts (PROMPTs), and of mRNAs with processing defects, thereby limiting or excluding their export to the cytoplasm. The RNA exosome may be involved in Ig class switch recombination (CSR) and/or Ig variable region somatic hypermutation (SHM) by targeting AICDA deamination activity to transcribed dsDNA substrates. In the cytoplasm, the RNA exosome complex is involved in general mRNA turnover and specifically degrades inherently unstable mRNAs containing AU-rich elements (AREs) within their 3' untranslated regions, and in RNA surveillance pathways, preventing translation of aberrant mRNAs. It seems to be involved in degradation of histone mRNA. The catalytic inactive RNA exosome core complex of 9 subunits (Exo-9) is proposed to play a pivotal role in the binding and presentation of RNA for ribonucleolysis, and to serve as a scaffold for the association with catalytic subunits and accessory proteins or complexes.; </t>
  </si>
  <si>
    <t xml:space="preserve">799.02</t>
  </si>
  <si>
    <t xml:space="preserve">9,35,13</t>
  </si>
  <si>
    <t xml:space="preserve">ENSG00000004534:ENST00000454079:exon14:c.2059dupT:p.Y694Lfs*81</t>
  </si>
  <si>
    <t xml:space="preserve">0.999999963583324</t>
  </si>
  <si>
    <t xml:space="preserve">RNA binding motif protein 6</t>
  </si>
  <si>
    <t xml:space="preserve">FUNCTION: Specifically binds poly(G) RNA homopolymers in vitro.; </t>
  </si>
  <si>
    <t xml:space="preserve">1047.60</t>
  </si>
  <si>
    <t xml:space="preserve">26,27</t>
  </si>
  <si>
    <t xml:space="preserve">CCDC66:NM_001353151:exon6:c.747_748del:p.E250Sfs*3,CCDC66:NM_001012506:exon7:c.744_745del:p.E249Sfs*3,CCDC66:NM_001141947:exon7:c.846_847del:p.E283Sfs*3,CCDC66:NM_001353147:exon7:c.846_847del:p.E283Sfs*3,CCDC66:NM_001353148:exon7:c.846_847del:p.E283Sfs*3,CCDC66:NM_001353149:exon7:c.825_826del:p.E276Sfs*3,CCDC66:NM_001353150:exon7:c.846_847del:p.E283Sfs*3,CCDC66:NM_001353153:exon7:c.744_745del:p.E249Sfs*3,CCDC66:NM_001353154:exon7:c.846_847del:p.E283Sfs*3,CCDC66:NM_001353155:exon7:c.825_826del:p.E276Sfs*3,CCDC66:NM_001353152:exon8:c.744_745del:p.E249Sfs*3;CCDC66:uc003dhu.3:exon7:c.744_745del:p.E249Sfs*3,CCDC66:uc003dhz.3:exon7:c.846_847del:p.E283Sfs*3;ENSG00000180376:ENST00000326595:exon7:c.744_745del:p.E249Sfs*3,ENSG00000180376:ENST00000394672:exon7:c.846_847del:p.E283Sfs*3,ENSG00000180376:ENST00000422222:exon7:c.846_847del:p.E283Sfs*3,ENSG00000180376:ENST00000436465:exon7:c.846_847del:p.E283Sfs*3,ENSG00000180376:ENST00000471681:exon7:c.744_745del:p.E249Sfs*3</t>
  </si>
  <si>
    <t xml:space="preserve">GACT</t>
  </si>
  <si>
    <t xml:space="preserve">923.60</t>
  </si>
  <si>
    <t xml:space="preserve">38,25</t>
  </si>
  <si>
    <t xml:space="preserve">FAM86DP:uc003dpq.4:exon6:c.290_293del:p.Q97Lfs*23,FAM86DP:uc003dpp.4:exon7:c.566_569del:p.Q189Lfs*23</t>
  </si>
  <si>
    <t xml:space="preserve">family with sequence similarity 86 member D, pseudogene</t>
  </si>
  <si>
    <t xml:space="preserve">1763.64</t>
  </si>
  <si>
    <t xml:space="preserve">124</t>
  </si>
  <si>
    <t xml:space="preserve">54,70</t>
  </si>
  <si>
    <t xml:space="preserve">5.75236747593882e-08</t>
  </si>
  <si>
    <t xml:space="preserve">KIAA1524</t>
  </si>
  <si>
    <t xml:space="preserve">FUNCTION: Oncoprotein that inhibits PP2A and stabilizes MYC in human malignancies. Promotes anchorage-independent cell growth and tumor formation. {ECO:0000269|PubMed:17632056}.; </t>
  </si>
  <si>
    <t xml:space="preserve">103.60</t>
  </si>
  <si>
    <t xml:space="preserve">75,14</t>
  </si>
  <si>
    <t xml:space="preserve">NM_001319086:exon5:c.334-2-&gt;T;NM_003707:exon5:c.514-2-&gt;T;NM_001319084:exon5:c.514-2-&gt;T;uc003ekf.3:exon5:c.334-2-&gt;T;uc003ekh.3:exon5:c.514-2-&gt;T;uc010hss.3:exon5:c.514-2-&gt;T;ENST00000464873:exon5:c.334-2-&gt;T;ENST00000322623:exon5:c.514-2-&gt;T;ENST00000417360:exon5:c.514-2-&gt;T</t>
  </si>
  <si>
    <t xml:space="preserve">0.998897690232788</t>
  </si>
  <si>
    <t xml:space="preserve">RuvB like AAA ATPase 1</t>
  </si>
  <si>
    <t xml:space="preserve">FUNCTION: Possesses single-stranded DNA-stimulated ATPase and ATP- dependent DNA helicase (3' to 5') activity; hexamerization is thought to be critical for ATP hydrolysis and adjacent subunits in the ring-like structure contribute to the ATPase activity.; FUNCTION: Proposed core component of the chromatin remodeling INO80 complex which is involved in transcriptional regulation, DNA replication and probably DNA repair.; FUNCTION: May be able to bind plasminogen at cell surface and enhance plasminogen activation.; </t>
  </si>
  <si>
    <t xml:space="preserve">25,7</t>
  </si>
  <si>
    <t xml:space="preserve">ENSG00000175066:ENST00000487672:exon4:c.456dupT:p.L153Sfs*6</t>
  </si>
  <si>
    <t xml:space="preserve">0.519887601252046</t>
  </si>
  <si>
    <t xml:space="preserve">glycerol kinase 5 (putative)</t>
  </si>
  <si>
    <t xml:space="preserve">81.60</t>
  </si>
  <si>
    <t xml:space="preserve">16,6</t>
  </si>
  <si>
    <t xml:space="preserve">UTR3;intronic;ncRNA_exonic</t>
  </si>
  <si>
    <t xml:space="preserve">uc003euy.1:c.*1307_*1308insT</t>
  </si>
  <si>
    <t xml:space="preserve">0.701297833041861</t>
  </si>
  <si>
    <t xml:space="preserve">ATR serine/threonine kinase</t>
  </si>
  <si>
    <t xml:space="preserve">FUNCTION: Serine/threonine protein kinase which activates checkpoint signaling upon genotoxic stresses such as ionizing radiation (IR), ultraviolet light (UV), or DNA replication stalling, thereby acting as a DNA damage sensor. Recognizes the substrate consensus sequence [ST]-Q. Phosphorylates BRCA1, CHEK1, MCM2, RAD17, RPA2, SMC1 and p53/TP53, which collectively inhibit DNA replication and mitosis and promote DNA repair, recombination and apoptosis. Phosphorylates 'Ser-139' of histone variant H2AX/H2AFX at sites of DNA damage, thereby regulating DNA damage response mechanism. Required for FANCD2 ubiquitination. Critical for maintenance of fragile site stability and efficient regulation of centrosome duplication. {ECO:0000269|PubMed:10597277, ECO:0000269|PubMed:10608806, ECO:0000269|PubMed:10859164, ECO:0000269|PubMed:11114888, ECO:0000269|PubMed:11418864, ECO:0000269|PubMed:11673449, ECO:0000269|PubMed:11721054, ECO:0000269|PubMed:11865061, ECO:0000269|PubMed:12526805, ECO:0000269|PubMed:12791985, ECO:0000269|PubMed:12814551, ECO:0000269|PubMed:14657349, ECO:0000269|PubMed:14729973, ECO:0000269|PubMed:14742437, ECO:0000269|PubMed:15210935, ECO:0000269|PubMed:15314022, ECO:0000269|PubMed:15496423, ECO:0000269|PubMed:16260606, ECO:0000269|PubMed:21144835, ECO:0000269|PubMed:9427750, ECO:0000269|PubMed:9636169, ECO:0000269|PubMed:9925639}.; </t>
  </si>
  <si>
    <t xml:space="preserve">DISEASE: Seckel syndrome 1 (SCKL1) [MIM:210600]: A rare autosomal recessive disorder characterized by proportionate dwarfism of prenatal onset associated with low birth weight, growth retardation, severe microcephaly with a bird-headed like appearance, and mental retardation. {ECO:0000269|PubMed:12640452}. Note=The disease is caused by mutations affecting the gene represented in this entry.; DISEASE: Cutaneous telangiectasia and cancer syndrome, familial (FCTCS) [MIM:614564]: A disease characterized by cutaneous telangiectases in infancy with patchy alopecia over areas of affected skin, thinning of the lateral eyebrows, and mild dental and nail anomalies. Affected individuals are at increased risk of developing oropharyngeal cancer, and other malignancies have been reported as well. {ECO:0000269|PubMed:22341969}. Note=The disease is caused by mutations affecting the gene represented in this entry.; </t>
  </si>
  <si>
    <t xml:space="preserve">11,4</t>
  </si>
  <si>
    <t xml:space="preserve">1313.64</t>
  </si>
  <si>
    <t xml:space="preserve">121</t>
  </si>
  <si>
    <t xml:space="preserve">67,54</t>
  </si>
  <si>
    <t xml:space="preserve">0.99055580055265</t>
  </si>
  <si>
    <t xml:space="preserve">DEAH-box helicase 36</t>
  </si>
  <si>
    <t xml:space="preserve">FUNCTION: Proposed to have a global role in regulating mRNA expression including transcriptional regulation and mRNA stability. Binds with high affinity to and resolves tetramolecular RNA and DNA quadruplex structures. Unwinds intramolecular quadruplexes derived from the ZIC1 and the MYC promoters. Binds to quadruplex structures in the promoters of YY1 and ALPL genes and regulates their expression. Binds to telomerase RNA template component (TERC) 5'-end (nucleotides 1-43) and unwinds an internal quadruplex formation in TERC 5'-end to promote P1 helix formation; the P1 helix acts as a template boundary ensuring accurate reverse transcription and is disrupted by quadruplex formation. May be involved in regulation of telomere length. Plays a role in degradation and deadenylation of mRNAs containing in their 3'-UTR the consensus ARE sequence element. May function in sex development and spermatogenesis. May play a role in ossification. {ECO:0000269|PubMed:12198572, ECO:0000269|PubMed:14731398, ECO:0000269|PubMed:16150737, ECO:0000269|PubMed:18842585, ECO:0000269|PubMed:20472641, ECO:0000269|PubMed:21149580, ECO:0000269|PubMed:21586581, ECO:0000269|PubMed:21993297, ECO:0000269|PubMed:22238380}.; </t>
  </si>
  <si>
    <t xml:space="preserve">196.64</t>
  </si>
  <si>
    <t xml:space="preserve">9,7</t>
  </si>
  <si>
    <t xml:space="preserve">leucine, glutamate and lysine rich 1</t>
  </si>
  <si>
    <t xml:space="preserve">8</t>
  </si>
  <si>
    <t xml:space="preserve">4,4</t>
  </si>
  <si>
    <t xml:space="preserve">4.4226191654738e-05</t>
  </si>
  <si>
    <t xml:space="preserve">NMD3 ribosome export adaptor</t>
  </si>
  <si>
    <t xml:space="preserve">FUNCTION: Acts as an adapter for the XPO1/CRM1-mediated export of the 60S ribosomal subunit. {ECO:0000269|PubMed:12724356, ECO:0000269|PubMed:12773398}.; </t>
  </si>
  <si>
    <t xml:space="preserve">1615.64</t>
  </si>
  <si>
    <t xml:space="preserve">54,65</t>
  </si>
  <si>
    <t xml:space="preserve">6.22871619777347e-28</t>
  </si>
  <si>
    <t xml:space="preserve">ATPase 13A5</t>
  </si>
  <si>
    <t xml:space="preserve">GTGT</t>
  </si>
  <si>
    <t xml:space="preserve">1717.04</t>
  </si>
  <si>
    <t xml:space="preserve">0,28,17</t>
  </si>
  <si>
    <t xml:space="preserve">6.07648654021509e-10</t>
  </si>
  <si>
    <t xml:space="preserve">ATP13A4 antisense RNA 1;ATPase 13A4</t>
  </si>
  <si>
    <t xml:space="preserve">DISEASE: Note=A chromosomal aberration involving ATP13A4 is found in 2 patients with specific language impairment (SLI) disorders. Paracentric inversion inv(3)(q25;q29). The inversion produces a disruption of the protein. {ECO:0000269|PubMed:15925480}.; </t>
  </si>
  <si>
    <t xml:space="preserve">1037.64</t>
  </si>
  <si>
    <t xml:space="preserve">32,40</t>
  </si>
  <si>
    <t xml:space="preserve">0.999918184975784</t>
  </si>
  <si>
    <t xml:space="preserve">ArfGAP with coiled-coil, ankyrin repeat and PH domains 2</t>
  </si>
  <si>
    <t xml:space="preserve">FUNCTION: GTPase-activating protein (GAP) for ADP ribosylation factor 6 (ARF6). {ECO:0000269|PubMed:11062263}.; </t>
  </si>
  <si>
    <t xml:space="preserve">321.60</t>
  </si>
  <si>
    <t xml:space="preserve">178,29</t>
  </si>
  <si>
    <t xml:space="preserve">C4orf50:NM_001364690:exon5:c.2366_2367del:p.E789Gfs*11,C4orf50:NM_001364689:exon6:c.2903_2904del:p.E968Gfs*11;ENSG00000181215:ENST00000531445:exon1:c.629_630del:p.E210Gfs*11</t>
  </si>
  <si>
    <t xml:space="preserve">6.34225080498418e-10</t>
  </si>
  <si>
    <t xml:space="preserve">chromosome 4 open reading frame 50</t>
  </si>
  <si>
    <t xml:space="preserve">1116.64</t>
  </si>
  <si>
    <t xml:space="preserve">29,45</t>
  </si>
  <si>
    <t xml:space="preserve">family with sequence similarity 184 member B</t>
  </si>
  <si>
    <t xml:space="preserve">11</t>
  </si>
  <si>
    <t xml:space="preserve">2,9</t>
  </si>
  <si>
    <t xml:space="preserve">0.628820331551994</t>
  </si>
  <si>
    <t xml:space="preserve">SEL1L family member 3</t>
  </si>
  <si>
    <t xml:space="preserve">2762.02</t>
  </si>
  <si>
    <t xml:space="preserve">12,24,97</t>
  </si>
  <si>
    <t xml:space="preserve">NM_004407:c.*747delT;NM_001079911:c.*747delT;uc003hqv.3:c.*747delT;uc003hqw.3:c.*747delT</t>
  </si>
  <si>
    <t xml:space="preserve">0.000223014124025285</t>
  </si>
  <si>
    <t xml:space="preserve">dentin matrix acidic phosphoprotein 1</t>
  </si>
  <si>
    <t xml:space="preserve">FUNCTION: May have a dual function during osteoblast differentiation. In the nucleus of undifferentiated osteoblasts, unphosphorylated form acts as a transcriptional component for activation of osteoblast-specific genes like osteocalcin. During the osteoblast to osteocyte transition phase it is phosphorylated and exported into the extracellular matrix, where it regulates nucleation of hydroxyapatite. {ECO:0000269|PubMed:12615915}.; </t>
  </si>
  <si>
    <t xml:space="preserve">DISEASE: Hypophosphatemic rickets, autosomal recessive, 1 (ARHR1) [MIM:241520]: A hereditary form of hypophosphatemic rickets, a disorder of proximal renal tubule function that causes phosphate loss, hypophosphatemia and skeletal deformities, including rickets and osteomalacia unresponsive to vitamin D. Symptoms are bone pain, fractures and growth abnormalities. {ECO:0000269|PubMed:17033621, ECO:0000269|PubMed:17033625}. Note=The disease is caused by mutations affecting the gene represented in this entry.; </t>
  </si>
  <si>
    <t xml:space="preserve">959.64</t>
  </si>
  <si>
    <t xml:space="preserve">57,41</t>
  </si>
  <si>
    <t xml:space="preserve">7.33278354117419e-09</t>
  </si>
  <si>
    <t xml:space="preserve">alcohol dehydrogenase 7 (class IV), mu or sigma polypeptide</t>
  </si>
  <si>
    <t xml:space="preserve">FUNCTION: Could function in retinol oxidation for the synthesis of retinoic acid, a hormone important for cellular differentiation. Medium-chain (octanol) and aromatic (m-nitrobenzaldehyde) compounds are the best substrates. Ethanol is not a good substrate but at the high ethanol concentrations reached in the digestive tract, it plays a role in the ethanol oxidation and contributes to the first pass ethanol metabolism.; </t>
  </si>
  <si>
    <t xml:space="preserve">141.60</t>
  </si>
  <si>
    <t xml:space="preserve">0.0125833671870721</t>
  </si>
  <si>
    <t xml:space="preserve">microsomal triglyceride transfer protein</t>
  </si>
  <si>
    <t xml:space="preserve">FUNCTION: Catalyzes the transport of triglyceride, cholesteryl ester, and phospholipid between phospholipid surfaces (PubMed:23475612, PubMed:8939939, PubMed:26224785, PubMed:25108285, PubMed:22236406). Required for the secretion of plasma lipoproteins that contain apolipoprotein B (PubMed:23475612, PubMed:8939939, PubMed:26224785). {ECO:0000269|PubMed:22236406, ECO:0000269|PubMed:23475612, ECO:0000269|PubMed:25108285, ECO:0000269|PubMed:26224785, ECO:0000269|PubMed:8939939}.; </t>
  </si>
  <si>
    <t xml:space="preserve">DISEASE: Abetalipoproteinemia (ABL) [MIM:200100]: An autosomal recessive disorder of lipoprotein metabolism. Affected individuals produce virtually no circulating apolipoprotein B-containing lipoproteins (chylomicrons, VLDL, LDL, lipoprotein(A)). Malabsorption of the antioxidant vitamin E occurs, leading to spinocerebellar and retinal degeneration. {ECO:0000269|PubMed:10679949, ECO:0000269|PubMed:10946006, ECO:0000269|PubMed:22236406, ECO:0000269|PubMed:23475612, ECO:0000269|PubMed:25108285, ECO:0000269|PubMed:26224785, ECO:0000269|PubMed:8939939}. Note=The disease is caused by mutations affecting the gene represented in this entry.; </t>
  </si>
  <si>
    <t xml:space="preserve">30,16</t>
  </si>
  <si>
    <t xml:space="preserve">1.76433043896144e-10</t>
  </si>
  <si>
    <t xml:space="preserve">B-cell scaffold protein with ankyrin repeats 1</t>
  </si>
  <si>
    <t xml:space="preserve">FUNCTION: Involved in B-cell receptor (BCR)-induced Ca(2+) mobilization from intracellular stores. Promotes Lyn-mediated phosphorylation of IP3 receptors 1 and 2. {ECO:0000269|PubMed:11782428}.; </t>
  </si>
  <si>
    <t xml:space="preserve">DISEASE: Systemic lupus erythematosus (SLE) [MIM:152700]: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{ECO:0000269|PubMed:18204447}. Note=Disease susceptibility may be associated with variations affecting the gene represented in this entry.; </t>
  </si>
  <si>
    <t xml:space="preserve">208.64</t>
  </si>
  <si>
    <t xml:space="preserve">50,11</t>
  </si>
  <si>
    <t xml:space="preserve">536.64</t>
  </si>
  <si>
    <t xml:space="preserve">19,17</t>
  </si>
  <si>
    <t xml:space="preserve">0.687399443679649</t>
  </si>
  <si>
    <t xml:space="preserve">integrator complex subunit 12</t>
  </si>
  <si>
    <t xml:space="preserve">FUNCTION: Component of the Integrator complex, a complex involved in the small nuclear RNAs (snRNA) U1 and U2 transcription and in their 3'-box-dependent processing. The Integrator complex is associated with the C-terminal domain (CTD) of RNA polymerase II largest subunit (POLR2A) and is recruited to the U1 and U2 snRNAs genes.; </t>
  </si>
  <si>
    <t xml:space="preserve">63.60</t>
  </si>
  <si>
    <t xml:space="preserve">47,9</t>
  </si>
  <si>
    <t xml:space="preserve">FNIP2:uc003iqd.2:exon6:c.741delT:p.C251Afs*65</t>
  </si>
  <si>
    <t xml:space="preserve">0.997777001640614</t>
  </si>
  <si>
    <t xml:space="preserve">folliculin interacting protein 2</t>
  </si>
  <si>
    <t xml:space="preserve">FUNCTION: May play a role in the signal transduction pathway of apoptosis induced by O6-methylguanine-mispaired lesions (By similarity). May be involved in energy and/or nutrient sensing through the AMPK and mTOR signaling pathways. May regulate phosphorylation of RPS6KB1. {ECO:0000250, ECO:0000269|PubMed:18403135, ECO:0000269|PubMed:18663353}.; </t>
  </si>
  <si>
    <t xml:space="preserve">1128.64</t>
  </si>
  <si>
    <t xml:space="preserve">103</t>
  </si>
  <si>
    <t xml:space="preserve">56,47</t>
  </si>
  <si>
    <t xml:space="preserve">5.78867795702671e-37</t>
  </si>
  <si>
    <t xml:space="preserve">dynein axonemal heavy chain 5</t>
  </si>
  <si>
    <t xml:space="preserve">FUNCTION: Force generating protein of respiratory cilia. Produces force towards the minus ends of microtubules. Dynein has ATPase activity; the force-producing power stroke is thought to occur on release of ADP. Required for structural and functional integrity of the cilia of ependymal cells lining the brain ventricles.; </t>
  </si>
  <si>
    <t xml:space="preserve">DISEASE: Ciliary dyskinesia, primary, 3 (CILD3) [MIM:608644]: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{ECO:0000269|PubMed:11062149, ECO:0000269|PubMed:16627867, ECO:0000269|PubMed:25186273}. Note=The disease is caused by mutations affecting the gene represented in this entry.; DISEASE: Kartagener syndrome (KTGS) [MIM:244400]: An autosomal recessive disorder characterized by the association of primary ciliary dyskinesia with situs inversus. Clinical features include recurrent respiratory infections, bronchiectasis, infertility, and lateral transposition of the viscera of the thorax and abdomen. The situs inversus is most often total, although it can be partial in some cases (isolated dextrocardia or isolated transposition of abdominal viscera). {ECO:0000269|PubMed:11788826}. Note=The disease is caused by mutations affecting the gene represented in this entry.; </t>
  </si>
  <si>
    <t xml:space="preserve">1058.02</t>
  </si>
  <si>
    <t xml:space="preserve">11,38,19</t>
  </si>
  <si>
    <t xml:space="preserve">302.64</t>
  </si>
  <si>
    <t xml:space="preserve">0.999999670342593</t>
  </si>
  <si>
    <t xml:space="preserve">zinc finger RNA binding protein</t>
  </si>
  <si>
    <t xml:space="preserve">FUNCTION: Involved in postimplantation and gastrulation stages of development. Involved in the nucleocytoplasmic shuttling of STAU2. Binds to DNA and RNA (By similarity). {ECO:0000250}.; </t>
  </si>
  <si>
    <t xml:space="preserve">1355.64</t>
  </si>
  <si>
    <t xml:space="preserve">41,49</t>
  </si>
  <si>
    <t xml:space="preserve">0.000232177140704853</t>
  </si>
  <si>
    <t xml:space="preserve">growth hormone receptor</t>
  </si>
  <si>
    <t xml:space="preserve">FUNCTION: Receptor for pituitary gland growth hormone involved in regulating postnatal body growth. On ligand binding, couples to the JAK2/STAT5 pathway (By similarity). {ECO:0000250}.; FUNCTION: Isoform 2 up-regulates the production of GHBP and acts as a negative inhibitor of GH signaling.; </t>
  </si>
  <si>
    <t xml:space="preserve">DISEASE: Laron syndrome (LARS) [MIM:262500]: A severe form of growth hormone insensitivity characterized by growth impairment, short stature, dysfunctional growth hormone receptor, and failure to generate insulin-like growth factor I in response to growth hormone. {ECO:0000269|PubMed:10870033, ECO:0000269|PubMed:14678285, ECO:0000269|PubMed:2779634, ECO:0000269|PubMed:8137822, ECO:0000269|PubMed:8421103, ECO:0000269|PubMed:8504296, ECO:0000269|PubMed:9024232, ECO:0000269|PubMed:9661642, ECO:0000269|PubMed:9851797}. Note=The disease is caused by mutations affecting the gene represented in this entry.; DISEASE: Growth hormone insensitivity, partial (GHIP) [MIM:604271]: A disease characterized by partial resistance to growth hormone resulting in short stature. Short stature is defined by a standing height more than 2 standard deviations below the mean (or below the 2.5 percentile) for sex and chronological age, compared with a well-nourished, healthy, genetically relevant population. {ECO:0000269|PubMed:7565946}. Note=The disease is caused by mutations affecting the gene represented in this entry.; </t>
  </si>
  <si>
    <t xml:space="preserve">31.60</t>
  </si>
  <si>
    <t xml:space="preserve">71,11</t>
  </si>
  <si>
    <t xml:space="preserve">NLN:uc003jue.3:exon9:c.1533dupT:p.P515Sfs*8</t>
  </si>
  <si>
    <t xml:space="preserve">3.59597227684907e-07</t>
  </si>
  <si>
    <t xml:space="preserve">neurolysin</t>
  </si>
  <si>
    <t xml:space="preserve">FUNCTION: Hydrolyzes oligopeptides such as neurotensin, bradykinin and dynorphin A. {ECO:0000250}.; </t>
  </si>
  <si>
    <t xml:space="preserve">AAAAAAAA</t>
  </si>
  <si>
    <t xml:space="preserve">2519.02</t>
  </si>
  <si>
    <t xml:space="preserve">1,26,49</t>
  </si>
  <si>
    <t xml:space="preserve">0.0896398214145992</t>
  </si>
  <si>
    <t xml:space="preserve">proprotein convertase subtilisin/kexin type 1</t>
  </si>
  <si>
    <t xml:space="preserve">FUNCTION: Involved in the processing of hormone and other protein precursors at sites comprised of pairs of basic amino acid residues. Substrates include POMC, renin, enkephalin, dynorphin, somatostatin, insulin and AGRP. {ECO:0000250|UniProtKB:P63239}.; </t>
  </si>
  <si>
    <t xml:space="preserve">DISEASE: Proprotein convertase 1 deficiency (PC1 deficiency) [MIM:600955]: Characterized by obesity, hypogonadism, hypoadrenalism, reactive hypoglycemia as well as marked small- intestinal absorptive dysfunction It is due to impaired processing of prohormones. {ECO:0000269|PubMed:14617756, ECO:0000269|PubMed:17595246, ECO:0000269|PubMed:9207799}. Note=The disease is caused by mutations affecting the gene represented in this entry.; </t>
  </si>
  <si>
    <t xml:space="preserve">39.60</t>
  </si>
  <si>
    <t xml:space="preserve">2.64170747311334e-05</t>
  </si>
  <si>
    <t xml:space="preserve">myotilin</t>
  </si>
  <si>
    <t xml:space="preserve">FUNCTION: Component of a complex of multiple actin cross-linking proteins. Involved in the control of myofibril assembly and stability at the Z lines in muscle cells. {ECO:0000269|PubMed:12499399}.; </t>
  </si>
  <si>
    <t xml:space="preserve">DISEASE: Myopathy, myofibrillar, 3 (MFM3) [MIM:609200]: A neuromuscular disorder characterized by progressive skeletal muscle weakness greater distally than proximally, tight heel cords, hyporeflexia, cardiomyopathy and peripheral neuropathy in some patients. Affected muscle exhibits disorganization and streaming of the Z-line, presence of large hyaline structures, excessive accumulation of myotilin and other ectopically expressed proteins and prominent congophilic deposits. {ECO:0000269|PubMed:15111675}. Note=The disease is caused by mutations affecting the gene represented in this entry.; DISEASE: Spheroid body myopathy (SBM) [MIM:182920]: Autosomal dominant form of myofibrillar myopathy (MFM), characterized by slowly progressing proximal muscle weakness and dysarthric nasal speech. There is no evidence of cardiomyopathy. Muscle biopsy shows spheroid bodies within the type I muscle fibers. {ECO:0000269|PubMed:16380616}. Note=The disease is caused by mutations affecting the gene represented in this entry.; </t>
  </si>
  <si>
    <t xml:space="preserve">431.64</t>
  </si>
  <si>
    <t xml:space="preserve">473.64</t>
  </si>
  <si>
    <t xml:space="preserve">15,18</t>
  </si>
  <si>
    <t xml:space="preserve">0.995154288008006</t>
  </si>
  <si>
    <t xml:space="preserve">neuregulin 2</t>
  </si>
  <si>
    <t xml:space="preserve">FUNCTION: Direct ligand for ERBB3 and ERBB4 tyrosine kinase receptors. Concomitantly recruits ERBB1 and ERBB2 coreceptors, resulting in ligand-stimulated tyrosine phosphorylation and activation of the ERBB receptors. May also promote the heterodimerization with the EGF receptor.; </t>
  </si>
  <si>
    <t xml:space="preserve">296.64</t>
  </si>
  <si>
    <t xml:space="preserve">173</t>
  </si>
  <si>
    <t xml:space="preserve">146,27</t>
  </si>
  <si>
    <t xml:space="preserve">6.60508610952056e-12</t>
  </si>
  <si>
    <t xml:space="preserve">phosphodiesterase 6A</t>
  </si>
  <si>
    <t xml:space="preserve">FUNCTION: This protein participates in processes of transmission and amplification of the visual signal.; </t>
  </si>
  <si>
    <t xml:space="preserve">DISEASE: Retinitis pigmentosa 43 (RP43) [MIM:613810]: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{ECO:0000269|PubMed:10393062, ECO:0000269|PubMed:7493036}. Note=The disease is caused by mutations affecting the gene represented in this entry.; </t>
  </si>
  <si>
    <t xml:space="preserve">152,27</t>
  </si>
  <si>
    <t xml:space="preserve">364.64</t>
  </si>
  <si>
    <t xml:space="preserve">159,20</t>
  </si>
  <si>
    <t xml:space="preserve">315.64</t>
  </si>
  <si>
    <t xml:space="preserve">162</t>
  </si>
  <si>
    <t xml:space="preserve">142,20</t>
  </si>
  <si>
    <t xml:space="preserve">112.60</t>
  </si>
  <si>
    <t xml:space="preserve">76,14</t>
  </si>
  <si>
    <t xml:space="preserve">NM_001329991:exon3:c.89-2-&gt;T;NM_145266:exon3:c.239-2-&gt;T;uc003lze.3:exon3:c.239-2-&gt;T;ENST00000302764:exon3:c.239-2-&gt;T</t>
  </si>
  <si>
    <t xml:space="preserve">0.000812082193063064</t>
  </si>
  <si>
    <t xml:space="preserve">NudC domain containing 2</t>
  </si>
  <si>
    <t xml:space="preserve">FUNCTION: May regulate the LIS1/dynein pathway by stabilizing LIS1 with Hsp90 chaperone. {ECO:0000269|PubMed:20133715}.; </t>
  </si>
  <si>
    <t xml:space="preserve">1150.64</t>
  </si>
  <si>
    <t xml:space="preserve">26,45</t>
  </si>
  <si>
    <t xml:space="preserve">0.971310088681335</t>
  </si>
  <si>
    <t xml:space="preserve">family with sequence similarity 65 member B</t>
  </si>
  <si>
    <t xml:space="preserve">FUNCTION: Required for hearing (PubMed:24958875). Involved in skeletal muscle development (PubMed:24687993). {ECO:0000269|PubMed:24687993, ECO:0000269|PubMed:24958875}.; </t>
  </si>
  <si>
    <t xml:space="preserve">DISEASE: Note=FAM65B mutations may be a cause of non-syndromic deafness. A splice site mutation causing in-frame skipping of exon 3 has been found in a large consanguineous kindred with recessive non-syndromic, prelingual, profound hearing loss. The mutation perfectly cosegregates with the phenotype in the family. {ECO:0000269|PubMed:24958875}.; </t>
  </si>
  <si>
    <t xml:space="preserve">765.64</t>
  </si>
  <si>
    <t xml:space="preserve">36,28</t>
  </si>
  <si>
    <t xml:space="preserve">0.999969901472702</t>
  </si>
  <si>
    <t xml:space="preserve">gamma-aminobutyric acid type B receptor subunit 1</t>
  </si>
  <si>
    <t xml:space="preserve">FUNCTION: Component of a heterodimeric G-protein coupled receptor for GABA, formed by GABBR1 and GABBR2. Within the heterodimeric GABA receptor, only GABBR1 seems to bind agonists, while GABBR2 mediates coupling to G proteins. Ligand binding causes a conformation change that triggers signaling via guanine nucleotide-binding proteins (G proteins) and modulates the activity of down-stream effectors, such as adenylate cyclase. Signaling inhibits adenylate cyclase, stimulates phospholipase A2, activates potassium channels, inactivates voltage-dependent calcium-channels and modulates inositol phospholipid hydrolysis. Calcium is required for high affinity binding to GABA. Plays a critical role in the fine-tuning of inhibitory synaptic transmission. Pre-synaptic GABA receptor inhibits neurotransmitter release by down-regulating high-voltage activated calcium channels, whereas postsynaptic GABA receptor decreases neuronal excitability by activating a prominent inwardly rectifying potassium (Kir) conductance that underlies the late inhibitory postsynaptic potentials. Not only implicated in synaptic inhibition but also in hippocampal long-term potentiation, slow wave sleep, muscle relaxation and antinociception. Activated by (-)-baclofen, cgp27492 and blocked by phaclofen.; </t>
  </si>
  <si>
    <t xml:space="preserve">MHC</t>
  </si>
  <si>
    <t xml:space="preserve">3674.60</t>
  </si>
  <si>
    <t xml:space="preserve">244</t>
  </si>
  <si>
    <t xml:space="preserve">142,102</t>
  </si>
  <si>
    <t xml:space="preserve">MUC21:NM_001010909:exon2:c.741_742insGTGT:p.P248Vfs*13;MUC21:uc021yuf.1:exon1:c.693_694insGTGT:p.P232Vfs*13,MUC21:uc003nsh.2:exon2:c.741_742insGTGT:p.P248Vfs*13;ENSG00000204544:ENST00000376296:exon2:c.741_742insGTGT:p.P248Vfs*13</t>
  </si>
  <si>
    <t xml:space="preserve">0.331419151101163</t>
  </si>
  <si>
    <t xml:space="preserve">mucin 21, cell surface associated</t>
  </si>
  <si>
    <t xml:space="preserve">CAGTGGGGCCAGCACTGCCACCAACTCTGAGTCCAGCACGA</t>
  </si>
  <si>
    <t xml:space="preserve">3650.60</t>
  </si>
  <si>
    <t xml:space="preserve">240</t>
  </si>
  <si>
    <t xml:space="preserve">139,101</t>
  </si>
  <si>
    <t xml:space="preserve">MUC21:NM_001010909:exon2:c.742_743insCAGTGGGGCCAGCACTGCCACCAACTCTGAGTCCAGCACGA:p.S249Vfs*208;MUC21:uc021yuf.1:exon1:c.694_695insCAGTGGGGCCAGCACTGCCACCAACTCTGAGTCCAGCACGA:p.S233Vfs*208,MUC21:uc003nsh.2:exon2:c.742_743insCAGTGGGGCCAGCACTGCCACCAACTCTGAGTCCAGCACGA:p.S249Vfs*208;ENSG00000204544:ENST00000376296:exon2:c.742_743insCAGTGGGGCCAGCACTGCCACCAACTCTGAGTCCAGCACGA:p.S249Vfs*208</t>
  </si>
  <si>
    <t xml:space="preserve">3013.04</t>
  </si>
  <si>
    <t xml:space="preserve">96</t>
  </si>
  <si>
    <t xml:space="preserve">0,72,24</t>
  </si>
  <si>
    <t xml:space="preserve">NM_001243965:exon2:c.101-1G&gt;0</t>
  </si>
  <si>
    <t xml:space="preserve">5.62352879494898e-05</t>
  </si>
  <si>
    <t xml:space="preserve">major histocompatibility complex, class II, DR beta 1</t>
  </si>
  <si>
    <t xml:space="preserve">FUNCTION: Binds peptides derived from antigens that access the endocytic route of antigen presenting cells (APC) and presents them on the cell surface for recognition by the CD4 T-cells. The peptide binding cleft accommodates peptides of 10-30 residues. The peptides presented by MHC class II molecules are generated mostly by degradation of proteins that access the endocytic route, where they are processed by lysosomal proteases and other hydrolases. Exogenous antigens that have been endocytosed by the APC are thus readily available for presentation via MHC II molecules, and for this reason this antigen presentation pathway is usually referred to as exogenous. As membrane proteins on their way to degradation in lysosomes as part of their normal turn-over are also contained in the endosomal/lysosomal compartments, exogenous antigens must compete with those derived from endogenous components. Autophagy is also a source of endogenous peptides, autophagosomes constitutively fuse with MHC class II loading compartments. In addition to APCs, other cells of the gastrointestinal tract, such as epithelial cells, express MHC class II molecules and CD74 and act as APCs, which is an unusual trait of the GI tract. To produce a MHC class II molecule that presents an antigen, three MHC class II molecules (heterodimers of an alpha and a beta chain) associate with a CD74 trimer in the ER to form a heterononamer. Soon after the entry of this complex into the endosomal/lysosomal system where antigen processing occurs, CD74 undergoes a sequential degradation by various proteases, including CTSS and CTSL, leaving a small fragment termed CLIP (class-II-associated invariant chain peptide). The removal of CLIP is facilitated by HLA-DM via direct binding to the alpha-beta-CLIP complex so that CLIP is released. HLA-DM stabilizes MHC class II molecules until primary high affinity antigenic peptides are bound. The MHC II molecule bound to a peptide is then transported to the cell membrane surface. In B-cells, the interaction between HLA-DM and MHC class II molecules is regulated by HLA-DO. Primary dendritic cells (DCs) also to express HLA-DO. Lysosomal microenvironment has been implicated in the regulation of antigen loading into MHC II molecules, increased acidification produces increased proteolysis and efficient peptide loading.; </t>
  </si>
  <si>
    <t xml:space="preserve">2131.04</t>
  </si>
  <si>
    <t xml:space="preserve">86</t>
  </si>
  <si>
    <t xml:space="preserve">10,61,15</t>
  </si>
  <si>
    <t xml:space="preserve">NM_001243965:exon2:c.101-2G&gt;0</t>
  </si>
  <si>
    <t xml:space="preserve">237.64</t>
  </si>
  <si>
    <t xml:space="preserve">15,9</t>
  </si>
  <si>
    <t xml:space="preserve">2.88608936958615e-23</t>
  </si>
  <si>
    <t xml:space="preserve">polycystic kidney and hepatic disease 1 (autosomal recessive)</t>
  </si>
  <si>
    <t xml:space="preserve">FUNCTION: May be required for correct bipolar cell division through the regulation of centrosome duplication and mitotic spindle assembly. May be a receptor protein that acts in collecting-duct and biliary differentiation. {ECO:0000269|PubMed:20554582}.; </t>
  </si>
  <si>
    <t xml:space="preserve">1229.64</t>
  </si>
  <si>
    <t xml:space="preserve">118</t>
  </si>
  <si>
    <t xml:space="preserve">65,53</t>
  </si>
  <si>
    <t xml:space="preserve">NM_002395:exon3:c.362+1G&gt;A;uc003pjy.3:exon3:c.362+1G&gt;A;uc011dzb.2:exon2:c.137+1G&gt;A;ENST00000369705:exon3:c.362+1G&gt;A;ENST00000543031:exon2:c.137+1G&gt;A</t>
  </si>
  <si>
    <t xml:space="preserve">2.22311340829984e-10</t>
  </si>
  <si>
    <t xml:space="preserve">malic enzyme 1, NADP(+)-dependent, cytosolic</t>
  </si>
  <si>
    <t xml:space="preserve">348.64</t>
  </si>
  <si>
    <t xml:space="preserve">4,11</t>
  </si>
  <si>
    <t xml:space="preserve">3.75201094361177e-06</t>
  </si>
  <si>
    <t xml:space="preserve">reticulon 4 interacting protein 1</t>
  </si>
  <si>
    <t xml:space="preserve">FUNCTION: Appears to be a potent inhibitor of regeneration following spinal cord injury.; </t>
  </si>
  <si>
    <t xml:space="preserve">AAAA</t>
  </si>
  <si>
    <t xml:space="preserve">1029.02</t>
  </si>
  <si>
    <t xml:space="preserve">2,10,21</t>
  </si>
  <si>
    <t xml:space="preserve">7.10960921485341e-05</t>
  </si>
  <si>
    <t xml:space="preserve">TRAF3 interacting protein 2;TRAF3IP2 antisense RNA 1</t>
  </si>
  <si>
    <t xml:space="preserve">FUNCTION: Could be involved in the activation of both NF-kappa-B via a NF-kappa-B inhibitor kinase (IKK)-dependent mechanism and stress-activated protein kinase (SAPK)/JNK.; </t>
  </si>
  <si>
    <t xml:space="preserve">DISEASE: Candidiasis, familial, 8 (CANDF8) [MIM:615527]: A primary immunodeficiency disorder with altered immune responses and impaired clearance of fungal infections, selective against Candida. It is characterized by persistent and/or recurrent infections of the skin, nails and mucous membranes caused by organisms of the genus Candida, mainly Candida albicans. {ECO:0000269|PubMed:24120361}. Note=The disease is caused by mutations affecting the gene represented in this entry.; </t>
  </si>
  <si>
    <t xml:space="preserve">313.64</t>
  </si>
  <si>
    <t xml:space="preserve">15,10</t>
  </si>
  <si>
    <t xml:space="preserve">1.81677623808329e-10</t>
  </si>
  <si>
    <t xml:space="preserve">triadin</t>
  </si>
  <si>
    <t xml:space="preserve">FUNCTION: Contributes to the regulation of lumenal Ca2+ release via the sarcoplasmic reticulum calcium release channels RYR1 and RYR2, a key step in triggering skeletal and heart muscle contraction. Required for normal organization of the triad junction, where T-tubules and the sarcoplasmic reticulum terminal cisternae are in close contact (By similarity). Required for normal skeletal muscle strength. Plays a role in excitation- contraction coupling in the heart and in regulating the rate of heart beats. {ECO:0000250|UniProtKB:E9Q9K5, ECO:0000269|PubMed:22422768}.; </t>
  </si>
  <si>
    <t xml:space="preserve">DISEASE: Ventricular tachycardia, catecholaminergic polymorphic, 5, with or without muscle weakness (CPVT5) [MIM:615441]: An arrhythmogenic disorder characterized by stress-induced, bidirectional ventricular tachycardia that may degenerate into cardiac arrest and cause sudden death. Patients present with recurrent syncope, or sudden death after physical activity or emotional stress. Some patients have muscle weakness. {ECO:0000269|PubMed:22422768}. Note=The disease is caused by mutations affecting the gene represented in this entry.; </t>
  </si>
  <si>
    <t xml:space="preserve">2233.64</t>
  </si>
  <si>
    <t xml:space="preserve">158</t>
  </si>
  <si>
    <t xml:space="preserve">75,83</t>
  </si>
  <si>
    <t xml:space="preserve">0.980388546226756</t>
  </si>
  <si>
    <t xml:space="preserve">protein tyrosine phosphatase, receptor type K</t>
  </si>
  <si>
    <t xml:space="preserve">FUNCTION: Regulation of processes involving cell contact and adhesion such as growth control, tumor invasion, and metastasis. Negative regulator of EGFR signaling pathway. Forms complexes with beta-catenin and gamma-catenin/plakoglobin. Beta-catenin may be a substrate for the catalytic activity of PTPRK/PTP-kappa. {ECO:0000269|PubMed:19836242}.; </t>
  </si>
  <si>
    <t xml:space="preserve">106.64</t>
  </si>
  <si>
    <t xml:space="preserve">7,4</t>
  </si>
  <si>
    <t xml:space="preserve">1.1846527263111e-24</t>
  </si>
  <si>
    <t xml:space="preserve">laminin subunit alpha 2</t>
  </si>
  <si>
    <t xml:space="preserve">DISEASE: Merosin-deficient congenital muscular dystrophy 1A (MDC1A) [MIM:607855]: Characterized by difficulty walking, hypotonia, proximal weakness, hyporeflexia, and white matter hypodensity on MRI. {ECO:0000269|PubMed:11591858, ECO:0000269|PubMed:12552556}. Note=The disease is caused by mutations affecting the gene represented in this entry.; </t>
  </si>
  <si>
    <t xml:space="preserve">218.60</t>
  </si>
  <si>
    <t xml:space="preserve">75,26</t>
  </si>
  <si>
    <t xml:space="preserve">2.30987361236777e-05</t>
  </si>
  <si>
    <t xml:space="preserve">ectonucleotide pyrophosphatase/phosphodiesterase 1</t>
  </si>
  <si>
    <t xml:space="preserve">FUNCTION: By generating PPi, plays a role in regulating pyrophosphate levels, and functions in bone mineralization and soft tissue calcification. PPi inhibits mineralization by binding to nascent hydroxyapatite (HA) crystals, thereby preventing further growth of these crystals. Preferentially hydrolyzes ATP, but can also hydrolyze other nucleoside 5' triphosphates such as GTP, CTP, TTP and UTP to their corresponding monophosphates with release of pyrophosphate and diadenosine polyphosphates, and also 3',5'-cAMP to AMP. May also be involved in the regulation of the availability of nucleotide sugars in the endoplasmic reticulum and Golgi, and the regulation of purinergic signaling. Appears to modulate insulin sensitivity and function. {ECO:0000269|PubMed:10615944, ECO:0000269|PubMed:8001561}.; </t>
  </si>
  <si>
    <t xml:space="preserve">DISEASE: Ossification of the posterior longitudinal ligament of the spine (OPLL) [MIM:602475]: A calcification of the posterior longitudinal ligament of the spinal column, usually at the level of the cervical spine. Patients with OPLL frequently present with a severe myelopathy that can lead to tetraparesis. {ECO:0000269|PubMed:10453738}. Note=The disease is caused by mutations affecting the gene represented in this entry.; DISEASE: Arterial calcification of infancy, generalized, 1 (GACI1) [MIM:208000]: A severe autosomal recessive disorder characterized by calcification of the internal elastic lamina of muscular arteries and stenosis due to myointimal proliferation. The disorder is often fatal within the first 6 months of life because of myocardial ischemia resulting in refractory heart failure. {ECO:0000269|PubMed:12881724, ECO:0000269|PubMed:15605415, ECO:0000269|PubMed:15940697, ECO:0000269|PubMed:22209248}. Note=The disease is caused by mutations affecting the gene represented in this entry.; DISEASE: Diabetes mellitus, non-insulin-dependent (NIDDM) [MIM:125853]: A multifactorial disorder of glucose homeostasis caused by a lack of sensitivity to the body's own insulin. Affected individuals usually have an obese body habitus and manifestations of a metabolic syndrome characterized by diabetes, insulin resistance, hypertension and hypertriglyceridemia. The disease results in long-term complications that affect the eyes, kidneys, nerves, and blood vessels. {ECO:0000269|PubMed:16186408}. Note=Disease susceptibility is associated with variations affecting the gene represented in this entry.; DISEASE: Hypophosphatemic rickets, autosomal recessive, 2 (ARHR2) [MIM:613312]: A hereditary form of hypophosphatemic rickets, a disorder of proximal renal tubule function that causes phosphate loss, hypophosphatemia and skeletal deformities, including rickets and osteomalacia unresponsive to vitamin D. Symptoms are bone pain, fractures and growth abnormalities. {ECO:0000269|PubMed:20137772, ECO:0000269|PubMed:20137773}. Note=The disease is caused by mutations affecting the gene represented in this entry.; DISEASE: Cole disease (COLED) [MIM:615522]: A rare autosomal dominant genodermatosis characterized by punctate keratoderma associated with irregularly shaped hypopigmented macules, which are typically found over the arms and legs but not the trunk or acral regions. Skin biopsies of palmoplantar lesions show hyperorthokeratosis, hypergranulosis, and acanthosis. Hypopigmented areas of skin, however, reveal a reduction in melanin content in keratinocytes but not in melanocytes, as well as hyperkeratosis and a normal number of melanocytes. Ultrastructurally, melanocytes show a disproportionately large number of melanosomes in the cytoplasm and dendrites, whereas keratinocytes show a paucity of these organelles, suggestive of impaired melanosome transfer. Some patients also exhibit calcinosis cutis or calcific tendinopathy. {ECO:0000269|PubMed:24075184}. Note=The disease is caused by mutations affecting the gene represented in this entry.; </t>
  </si>
  <si>
    <t xml:space="preserve">74.64</t>
  </si>
  <si>
    <t xml:space="preserve">10,4</t>
  </si>
  <si>
    <t xml:space="preserve">0.149614410820931</t>
  </si>
  <si>
    <t xml:space="preserve">solute carrier family 35 member D3</t>
  </si>
  <si>
    <t xml:space="preserve">FUNCTION: May play a role in hemostasis as a regulator of the biosynthesis of platelet-dense granules. {ECO:0000250}.; </t>
  </si>
  <si>
    <t xml:space="preserve">578.64</t>
  </si>
  <si>
    <t xml:space="preserve">43,31</t>
  </si>
  <si>
    <t xml:space="preserve">0.999949930200412</t>
  </si>
  <si>
    <t xml:space="preserve">AT-rich interaction domain 1B</t>
  </si>
  <si>
    <t xml:space="preserve">FUNCTION: Involved in transcriptional activation and repression of select genes by chromatin remodeling (alteration of DNA-nucleosome topology). Belongs to the neural progenitors-specific chromatin remodeling complex (npBAF complex) and the neuron-specific chromatin remodeling complex (nBAF complex). During neural development a switch from a stem/progenitor to a post-mitotic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Binds DNA non-specifically. {ECO:0000250}.; </t>
  </si>
  <si>
    <t xml:space="preserve">DISEASE: Mental retardation, autosomal dominant 12 (MRD12) [MIM:614562]: A disorder characterized by significantly below average general intellectual functioning associated with impairments in adaptive behavior and manifested during the developmental period. MRD12 patients present with moderate to severe psychomotor retardation, and most show evidence of muscular hypotonia. In many patients, expressive speech is more severely affected than receptive function. Additional common findings include short stature, abnormal head shape and low-set, posteriorly rotated, and abnormally shaped ears, downslanting palpebral fissures, a bulbous nasal tip, a thin upper lip, minor teeth anomalies, and brachydactyly or single palmar creases. Autistic features are uncommon. {ECO:0000269|PubMed:22405089, ECO:0000269|PubMed:22426308, ECO:0000269|PubMed:22426309}. Note=The disease is caused by mutations affecting the gene represented in this entry.; </t>
  </si>
  <si>
    <t xml:space="preserve">915.02</t>
  </si>
  <si>
    <t xml:space="preserve">2,11,18</t>
  </si>
  <si>
    <t xml:space="preserve">0.999939282123249</t>
  </si>
  <si>
    <t xml:space="preserve">caspase recruitment domain family member 11</t>
  </si>
  <si>
    <t xml:space="preserve">FUNCTION: Involved in the costimulatory signal essential for T- cell receptor (TCR)-mediated T-cell activation. Its binding to DPP4 induces T-cell proliferation and NF-kappa-B activation in a T-cell receptor/CD3-dependent manner. Activates NF-kappa-B via BCL10 and IKK. Stimulates the phosphorylation of BCL10.; </t>
  </si>
  <si>
    <t xml:space="preserve">DISEASE: B-cell expansion with NFKB and T-cell anergy (BENTA) [MIM:616452]: An autosomal dominant condition characterized by onset in infancy of splenomegaly and polyclonal expansion of B cells, resulting in peripheral lymphocytosis. Affected individuals also show mild immune dysfunction, including some defective antibody responses and T-cell anergy. There may be a predisposition to the development of B-cell malignancy. {ECO:0000269|PubMed:23129749}. Note=The disease is caused by mutations affecting the gene represented in this entry.; DISEASE: Immunodeficiency 11 (IMD11) [MIM:615206]: An autosomal recessive primary immunodeficiency characterized by normal numbers of T and B-lymphocytes, but defective intracellular signaling. There is a block in B-cell differentiation with increased numbers of transitional B-cells and hypogammaglobulinemia, as well as decreased numbers of regulatory T-cells and defects in T-cell function. {ECO:0000269|PubMed:23374270}. Note=The disease is caused by mutations affecting the gene represented in this entry.; </t>
  </si>
  <si>
    <t xml:space="preserve">533.02</t>
  </si>
  <si>
    <t xml:space="preserve">7,10,16</t>
  </si>
  <si>
    <t xml:space="preserve">stoploss</t>
  </si>
  <si>
    <t xml:space="preserve">TNRC18:uc003sok.1:exon3:c.389delT:p.*131delinsETGSHYVAQAGVQWCDHRSLQPQTPK*;ENSG00000182095:ENST00000399434:exon3:c.389delT:p.*131delinsETGSHYVAQAGVQWCDHRSLQPQTPK*</t>
  </si>
  <si>
    <t xml:space="preserve">0.999973965663352</t>
  </si>
  <si>
    <t xml:space="preserve">trinucleotide repeat containing 18</t>
  </si>
  <si>
    <t xml:space="preserve">TTTT</t>
  </si>
  <si>
    <t xml:space="preserve">NM_001101426:c.*3282_*3283insAAAA;NM_001368197:c.*3282_*3283insAAAA;NM_001101417:c.*3282_*3283insAAAA;uc010ktx.2:c.*3282_*3283insAAAA;uc010kty.2:c.*3282_*3283insAAAA</t>
  </si>
  <si>
    <t xml:space="preserve">1058.64</t>
  </si>
  <si>
    <t xml:space="preserve">19,40</t>
  </si>
  <si>
    <t xml:space="preserve">0.422731519664078</t>
  </si>
  <si>
    <t xml:space="preserve">transmembrane protein 248</t>
  </si>
  <si>
    <t xml:space="preserve">262.64</t>
  </si>
  <si>
    <t xml:space="preserve">0.00159681546702936</t>
  </si>
  <si>
    <t xml:space="preserve">zona pellucida glycoprotein 3 (sperm receptor)</t>
  </si>
  <si>
    <t xml:space="preserve">FUNCTION: The mammalian zona pellucida, which mediates species- specific sperm binding, induction of the acrosome reaction and prevents post-fertilization polyspermy, is composed of three to four glycoproteins, ZP1, ZP2, ZP3, and ZP4. ZP3 is essential for sperm binding and zona matrix formation.; </t>
  </si>
  <si>
    <t xml:space="preserve">563.64</t>
  </si>
  <si>
    <t xml:space="preserve">24,22</t>
  </si>
  <si>
    <t xml:space="preserve">4.55196606471685e-06</t>
  </si>
  <si>
    <t xml:space="preserve">pyruvate dehydrogenase kinase 4</t>
  </si>
  <si>
    <t xml:space="preserve">FUNCTION: Kinase that plays a key role in regulation of glucose and fatty acid metabolism and homeostasis via phosphorylation of the pyruvate dehydrogenase subunits PDHA1 and PDHA2. This inhibits pyruvate dehydrogenase activity, and thereby regulates metabolite flux through the tricarboxylic acid cycle, down-regulates aerobic respiration and inhibits the formation of acetyl-coenzyme A from pyruvate. Inhibition of pyruvate dehydrogenase decreases glucose utilization and increases fat metabolism in response to prolonged fasting and starvation. Plays an important role in maintaining normal blood glucose levels under starvation, and is involved in the insulin signaling cascade. Via its regulation of pyruvate dehydrogenase activity, plays an important role in maintaining normal blood pH and in preventing the accumulation of ketone bodies under starvation. In the fed state, mediates cellular responses to glucose levels and to a high-fat diet. Regulates both fatty acid oxidation and de novo fatty acid biosynthesis. Plays a role in the generation of reactive oxygen species. Protects detached epithelial cells against anoikis. Plays a role in cell proliferation via its role in regulating carbohydrate and fatty acid metabolism. {ECO:0000269|PubMed:15955060, ECO:0000269|PubMed:18658136, ECO:0000269|PubMed:21816445, ECO:0000269|PubMed:21852536}.; </t>
  </si>
  <si>
    <t xml:space="preserve">74.60</t>
  </si>
  <si>
    <t xml:space="preserve">242</t>
  </si>
  <si>
    <t xml:space="preserve">224,18</t>
  </si>
  <si>
    <t xml:space="preserve">MUC17:NM_001040105:exon3:c.5597delG:p.S1866Tfs*4;MUC17:uc003uxp.1:exon3:c.5597delG:p.S1866Tfs*4;ENSG00000169876:ENST00000306151:exon3:c.5597delG:p.S1866Tfs*4,ENSG00000169876:ENST00000379439:exon3:c.5597delG:p.S1866Tfs*4</t>
  </si>
  <si>
    <t xml:space="preserve">mucin 17, cell surface associated</t>
  </si>
  <si>
    <t xml:space="preserve">FUNCTION: Probably plays a role in maintaining homeostasis on mucosal surfaces. {ECO:0000269|PubMed:17990980}.; </t>
  </si>
  <si>
    <t xml:space="preserve">TTT</t>
  </si>
  <si>
    <t xml:space="preserve">57.60</t>
  </si>
  <si>
    <t xml:space="preserve">9,3</t>
  </si>
  <si>
    <t xml:space="preserve">0.999999999999998</t>
  </si>
  <si>
    <t xml:space="preserve">reelin</t>
  </si>
  <si>
    <t xml:space="preserve">FUNCTION: Extracellular matrix serine protease that plays a role in layering of neurons in the cerebral cortex and cerebellum. Regulates microtubule function in neurons and neuronal migration. Affects migration of sympathetic preganglionic neurons in the spinal cord, where it seems to act as a barrier to neuronal migration. Enzymatic activity is important for the modulation of cell adhesion. Binding to the extracellular domains of lipoprotein receptors VLDLR and LRP8/APOER2 induces tyrosine phosphorylation of DAB1 and modulation of TAU phosphorylation (By similarity). {ECO:0000250}.; </t>
  </si>
  <si>
    <t xml:space="preserve">DISEASE: Lissencephaly 2 (LIS2) [MIM:257320]: A classic type lissencephaly associated with ataxia, mental retardation, seizures and abnormalities of the cerebellum, hippocampus and brainstem. {ECO:0000269|PubMed:10973257}. Note=The disease is caused by mutations affecting the gene represented in this entry.; DISEASE: Epilepsy, familial temporal lobe, 7 (ETL7) [MIM:616436]: A focal form of epilepsy characterized by recurrent seizures that arise from foci within the temporal lobe. Seizures are usually accompanied by sensory symptoms, most often auditory in nature. {ECO:0000269|PubMed:26046367}. Note=The disease is caused by mutations affecting the gene represented in this entry.; </t>
  </si>
  <si>
    <t xml:space="preserve">1117.64</t>
  </si>
  <si>
    <t xml:space="preserve">70,51</t>
  </si>
  <si>
    <t xml:space="preserve">7.1633846502858e-08</t>
  </si>
  <si>
    <t xml:space="preserve">solute carrier family 37 member 3</t>
  </si>
  <si>
    <t xml:space="preserve">821.64</t>
  </si>
  <si>
    <t xml:space="preserve">188</t>
  </si>
  <si>
    <t xml:space="preserve">157,31</t>
  </si>
  <si>
    <t xml:space="preserve">exonic;intergenic;ncRNA_exonic</t>
  </si>
  <si>
    <t xml:space="preserve">dist=56538;dist=128736;ENSG00000211706:ENST00000390353:exon2:c.G340T:p.E114X</t>
  </si>
  <si>
    <t xml:space="preserve">45.64</t>
  </si>
  <si>
    <t xml:space="preserve">137,11</t>
  </si>
  <si>
    <t xml:space="preserve">15;16</t>
  </si>
  <si>
    <t xml:space="preserve">0.00122029540045484</t>
  </si>
  <si>
    <t xml:space="preserve">protease, serine 1</t>
  </si>
  <si>
    <t xml:space="preserve">FUNCTION: Has activity against the synthetic substrates Boc-Phe- Ser-Arg-Mec, Boc-Leu-Thr-Arg-Mec, Boc-Gln-Ala-Arg-Mec and Boc-Val- Pro-Arg-Mec. The single-chain form is more active than the two- chain form against all of these substrates. {ECO:0000269|PubMed:7945238}.; </t>
  </si>
  <si>
    <t xml:space="preserve">DISEASE: Pancreatitis, hereditary (PCTT) [MIM:167800]: A disease characterized by pancreas inflammation, permanent destruction of the pancreatic parenchyma, maldigestion, and severe abdominal pain attacks. {ECO:0000269|PubMed:10204851, ECO:0000269|PubMed:10381903, ECO:0000269|PubMed:10930381, ECO:0000269|PubMed:11073545, ECO:0000269|PubMed:11788572, ECO:0000269|PubMed:11866271, ECO:0000269|PubMed:14695529, ECO:0000269|PubMed:15776435, ECO:0000269|PubMed:8841182, ECO:0000269|PubMed:9322498, ECO:0000269|PubMed:9633818}. Note=Disease susceptibility is associated with variations affecting the gene represented in this entry.; </t>
  </si>
  <si>
    <t xml:space="preserve">42.64</t>
  </si>
  <si>
    <t xml:space="preserve">149</t>
  </si>
  <si>
    <t xml:space="preserve">138,11</t>
  </si>
  <si>
    <t xml:space="preserve">136,11</t>
  </si>
  <si>
    <t xml:space="preserve">48.64</t>
  </si>
  <si>
    <t xml:space="preserve">146</t>
  </si>
  <si>
    <t xml:space="preserve">135,11</t>
  </si>
  <si>
    <t xml:space="preserve">63.64</t>
  </si>
  <si>
    <t xml:space="preserve">130,11</t>
  </si>
  <si>
    <t xml:space="preserve">120.64</t>
  </si>
  <si>
    <t xml:space="preserve">138</t>
  </si>
  <si>
    <t xml:space="preserve">126,12</t>
  </si>
  <si>
    <t xml:space="preserve">126.64</t>
  </si>
  <si>
    <t xml:space="preserve">124,12</t>
  </si>
  <si>
    <t xml:space="preserve">153.64</t>
  </si>
  <si>
    <t xml:space="preserve">128</t>
  </si>
  <si>
    <t xml:space="preserve">116,12</t>
  </si>
  <si>
    <t xml:space="preserve">159.64</t>
  </si>
  <si>
    <t xml:space="preserve">125</t>
  </si>
  <si>
    <t xml:space="preserve">113,12</t>
  </si>
  <si>
    <t xml:space="preserve">544.64</t>
  </si>
  <si>
    <t xml:space="preserve">26,15</t>
  </si>
  <si>
    <t xml:space="preserve">3533.60</t>
  </si>
  <si>
    <t xml:space="preserve">71,93</t>
  </si>
  <si>
    <t xml:space="preserve">471.64</t>
  </si>
  <si>
    <t xml:space="preserve">29,17</t>
  </si>
  <si>
    <t xml:space="preserve">882.64</t>
  </si>
  <si>
    <t xml:space="preserve">37,26</t>
  </si>
  <si>
    <t xml:space="preserve">979.64</t>
  </si>
  <si>
    <t xml:space="preserve">56,28</t>
  </si>
  <si>
    <t xml:space="preserve">1941.64</t>
  </si>
  <si>
    <t xml:space="preserve">205</t>
  </si>
  <si>
    <t xml:space="preserve">147,58</t>
  </si>
  <si>
    <t xml:space="preserve">intergenic;ncRNA_exonic;ncRNA_intronic;splicing</t>
  </si>
  <si>
    <t xml:space="preserve">dist=9850;dist=7984;ENST00000539842:exon2:c.183+1A&gt;G;ENST00000539842:exon3:c.184-2A&gt;G</t>
  </si>
  <si>
    <t xml:space="preserve">1;16</t>
  </si>
  <si>
    <t xml:space="preserve">0.23191843214181</t>
  </si>
  <si>
    <t xml:space="preserve">SWI/SNF related, matrix associated, actin dependent regulator of chromatin, subfamily d, member 3</t>
  </si>
  <si>
    <t xml:space="preserve">FUNCTION: Plays a role in ATP dependent nucleosome remodeling by SMARCA4 containing complexes. Stimulates nuclear receptor mediated transcription. Belongs to the neural progenitors-specific chromatin remodeling complex (npBAF complex) and the neuron- specific chromatin remodeling complex (nBAF complex). During neural development a switch from a stem/progenitor to a post- mitotic chromatin remodeling mechanism occurs as neurons exit the cell cycle and become committed to their adult state. The transition from proliferating neural stem/progenitor cells to post-mitotic neurons requires a switch in subunit composition of the npBAF and nBAF complexes. As neural progenitors exit mitosis and differentiate into neurons, npBAF complexes which contain ACTL6A/BAF53A and PHF10/BAF45A, are exchanged for homologous alternative ACTL6B/BAF53B and DPF1/BAF45B or DPF3/BAF45C subunits in neuron-specific complexes (nBAF). The npBAF complex is essential for the self-renewal/proliferative capacity of the multipotent neural stem cells. The nBAF complex along with CREST plays a role regulating the activity of genes essential for dendrite growth (By similarity). {ECO:0000250, ECO:0000269|PubMed:8804307}.; </t>
  </si>
  <si>
    <t xml:space="preserve">176.64</t>
  </si>
  <si>
    <t xml:space="preserve">5,6</t>
  </si>
  <si>
    <t xml:space="preserve">1329.64</t>
  </si>
  <si>
    <t xml:space="preserve">51,57</t>
  </si>
  <si>
    <t xml:space="preserve">0.999999273217422</t>
  </si>
  <si>
    <t xml:space="preserve">ubiquitin protein ligase E3C</t>
  </si>
  <si>
    <t xml:space="preserve">FUNCTION: E3 ubiquitin-protein ligase that accepts ubiquitin from the E2 ubiquitin-conjugating enzyme UBE2D1 in the form of a thioester and then directly transfers the ubiquitin to targeted substrates. Can assemble unanchored poly-ubiquitin chains in either 'Lys-29'- or 'Lys-48'-linked polyubiquitin chains. Has preference for 'Lys-48' linkages. It can target itself for ubiquitination in vitro and may promote its own degradation in vivo. {ECO:0000269|PubMed:11278995, ECO:0000269|PubMed:12692129, ECO:0000269|PubMed:16341092, ECO:0000269|PubMed:16601690}.; </t>
  </si>
  <si>
    <t xml:space="preserve">82.64</t>
  </si>
  <si>
    <t xml:space="preserve">5,3</t>
  </si>
  <si>
    <t xml:space="preserve">2.12734947334705e-05</t>
  </si>
  <si>
    <t xml:space="preserve">hair growth associated</t>
  </si>
  <si>
    <t xml:space="preserve">FUNCTION: Histone demethylase that specifically demethylates both mono- and dimethylated 'Lys-9' of histone H3. May act as a transcription regulator controlling hair biology (via targeting of collagens), neural activity, and cell cycle. {ECO:0000269|PubMed:24334705}.; </t>
  </si>
  <si>
    <t xml:space="preserve">DISEASE: Alopecia universalis congenita (ALUNC) [MIM:203655]: A rare disorder characterized by loss of hair from the entire body. No hair are present in hair follicles on skin biopsy. {ECO:0000269|PubMed:12406339, ECO:0000269|PubMed:9445480, ECO:0000269|PubMed:9736769}. Note=The disease is caused by mutations affecting the gene represented in this entry.; DISEASE: Atrichia with papular lesions (APL) [MIM:209500]: An autosomal recessive disease characterized by papillary lesions over most of the body and almost complete absence of hair. Note=The disease is caused by mutations affecting the gene represented in this entry.; DISEASE: Hypotrichosis 4 (HYPT4) [MIM:146550]: An autosomal dominant condition characterized by reduced amount of hair, alopecia, little or no eyebrows, eyelashes or body hair, and coarse, wiry, twisted hair in early childhood. {ECO:0000269|PubMed:19122663, ECO:0000269|PubMed:24961381}. Note=The disease is caused by mutations affecting the gene represented in this entry.; </t>
  </si>
  <si>
    <t xml:space="preserve">178.64</t>
  </si>
  <si>
    <t xml:space="preserve">9,6</t>
  </si>
  <si>
    <t xml:space="preserve">0.190054225881154;0.999999999957629</t>
  </si>
  <si>
    <t xml:space="preserve">NK6 homeobox 3;ankyrin 1</t>
  </si>
  <si>
    <t xml:space="preserve">FUNCTION: Attaches integral membrane proteins to cytoskeletal elements; binds to the erythrocyte membrane protein band 4.2, to Na-K ATPase, to the lymphocyte membrane protein GP85, and to the cytoskeletal proteins fodrin, tubulin, vimentin and desmin. Erythrocyte ankyrins also link spectrin (beta chain) to the cytoplasmic domain of the erythrocytes anion exchange protein; they retain most or all of these binding functions. {ECO:0000269|PubMed:12456646}.; ;FUNCTION: Putative transcription factor, which may be involved in patterning of central nervous system and pancreas. {ECO:0000250}.; </t>
  </si>
  <si>
    <t xml:space="preserve">DISEASE: Spherocytosis 1 (SPH1) [MIM:182900]: Spherocytosis is a hematologic disorder leading to chronic hemolytic anemia and characterized by numerous abnormally shaped erythrocytes which are generally spheroidal. SPH1 is characterized by severe hemolytic anemia. Inheritance is autosomal recessive. {ECO:0000269|PubMed:11102985, ECO:0000269|PubMed:8640229}. Note=The disease is caused by mutations affecting the gene represented in this entry.; </t>
  </si>
  <si>
    <t xml:space="preserve">249.60</t>
  </si>
  <si>
    <t xml:space="preserve">58,18</t>
  </si>
  <si>
    <t xml:space="preserve">NM_015941:exon4:c.217-2-&gt;T;NM_213619:exon4:c.217-2-&gt;T;NM_213620:exon4:c.217-2-&gt;T;uc003xrk.4:exon3:c.97-2-&gt;T;uc003xrl.4:exon4:c.217-2-&gt;T;uc003xrm.4:exon4:c.217-2-&gt;T;uc003xrn.4:exon4:c.217-2-&gt;T;uc011ldv.3:exon4:UTR5;uc010lyd.4:exon4:c.25-2-&gt;T;ENST00000355221:exon4:c.217-2-&gt;T;ENST00000359530:exon4:c.217-2-&gt;T;ENST00000520188:exon3:c.97-2-&gt;T;ENST00000396774:exon4:c.217-2-&gt;T;ENST00000524164:exon4:c.140-2-&gt;T;ENST00000519588:exon4:c.93-2-&gt;T;ENST00000521275:exon4:c.217-2-&gt;T;ENST00000524234:exon4:c.217-2-&gt;T</t>
  </si>
  <si>
    <t xml:space="preserve">3.85908994314964e-05</t>
  </si>
  <si>
    <t xml:space="preserve">ATPase H+ transporting V1 subunit H</t>
  </si>
  <si>
    <t xml:space="preserve">FUNCTION: Subunit of the peripheral V1 complex of vacuolar ATPase. Subunit H activates the ATPase activity of the enzyme and couples ATPase activity to proton flow. Vacuolar ATPase is responsible for acidifying a variety of intracellular compartments in eukaryotic cells, thus providing most of the energy required for transport processes in the vacuolar system (By similarity). Involved in the endocytosis mediated by clathrin-coated pits, required for the formation of endosomes. {ECO:0000250}.; </t>
  </si>
  <si>
    <t xml:space="preserve">737.64</t>
  </si>
  <si>
    <t xml:space="preserve">20,27</t>
  </si>
  <si>
    <t xml:space="preserve">2.18012894299362e-05</t>
  </si>
  <si>
    <t xml:space="preserve">mitochondrial fission regulator 1</t>
  </si>
  <si>
    <t xml:space="preserve">FUNCTION: May play a role in mitochondrial aerobic respiration. May also regulate mitochondrial organization and fission (By similarity). {ECO:0000250}.; </t>
  </si>
  <si>
    <t xml:space="preserve">1372.64</t>
  </si>
  <si>
    <t xml:space="preserve">72,59</t>
  </si>
  <si>
    <t xml:space="preserve">0.879274682816298</t>
  </si>
  <si>
    <t xml:space="preserve">sulfatase 1</t>
  </si>
  <si>
    <t xml:space="preserve">FUNCTION: Exhibits arylsulfatase activity and highly specific endoglucosamine-6-sulfatase activity. It can remove sulfate from the C-6 position of glucosamine within specific subregions of intact heparin. Diminishes HSPG (heparan sulfate proteoglycans) sulfation, inhibits signaling by heparin-dependent growth factors, diminishes proliferation, and facilitates apoptosis in response to exogenous stimulation.; </t>
  </si>
  <si>
    <t xml:space="preserve">1279.64</t>
  </si>
  <si>
    <t xml:space="preserve">58,54</t>
  </si>
  <si>
    <t xml:space="preserve">0.811433032279189</t>
  </si>
  <si>
    <t xml:space="preserve">zinc finger C2HC-type containing 1A</t>
  </si>
  <si>
    <t xml:space="preserve">33,15</t>
  </si>
  <si>
    <t xml:space="preserve">0.642141452095713</t>
  </si>
  <si>
    <t xml:space="preserve">COBW domain containing 1</t>
  </si>
  <si>
    <t xml:space="preserve">628.64</t>
  </si>
  <si>
    <t xml:space="preserve">44</t>
  </si>
  <si>
    <t xml:space="preserve">21,23</t>
  </si>
  <si>
    <t xml:space="preserve">0.990809167018789</t>
  </si>
  <si>
    <t xml:space="preserve">nuclear factor I/B</t>
  </si>
  <si>
    <t xml:space="preserve">FUNCTION: Recognizes and binds the palindromic sequence 5'- TTGGCNNNNNGCCAA-3' present in viral and cellular promoters and in the origin of replication of adenovirus type 2. These proteins are individually capable of activating transcription and replication.; </t>
  </si>
  <si>
    <t xml:space="preserve">2277.64</t>
  </si>
  <si>
    <t xml:space="preserve">157</t>
  </si>
  <si>
    <t xml:space="preserve">65,92</t>
  </si>
  <si>
    <t xml:space="preserve">0.999078031560119</t>
  </si>
  <si>
    <t xml:space="preserve">nucleolar protein 6</t>
  </si>
  <si>
    <t xml:space="preserve">GTAA</t>
  </si>
  <si>
    <t xml:space="preserve">1741.60</t>
  </si>
  <si>
    <t xml:space="preserve">92</t>
  </si>
  <si>
    <t xml:space="preserve">47,45</t>
  </si>
  <si>
    <t xml:space="preserve">1.8665175196218e-08</t>
  </si>
  <si>
    <t xml:space="preserve">maternal embryonic leucine zipper kinase</t>
  </si>
  <si>
    <t xml:space="preserve">FUNCTION: Serine/threonine-protein kinase involved in various processes such as cell cycle regulation, self-renewal of stem cells, apoptosis and splicing regulation. Has a broad substrate specificity; phosphorylates BCL2L14, CDC25B, MAP3K5/ASK1 and ZNF622. Acts as an activator of apoptosis by phosphorylating and activating MAP3K5/ASK1. Acts as a regulator of cell cycle, notably by mediating phosphorylation of CDC25B, promoting localization of CDC25B to the centrosome and the spindle poles during mitosis. Plays a key role in cell proliferation and carcinogenesis. Required for proliferation of embryonic and postnatal multipotent neural progenitors. Phosphorylates and inhibits BCL2L14, possibly leading to affect mammary carcinogenesis by mediating inhibition of the pro-apoptotic function of BCL2L14. Also involved in the inhibition of spliceosome assembly during mitosis by phosphorylating ZNF622, thereby contributing to its redirection to the nucleus. May also play a role in primitive hematopoiesis. {ECO:0000269|PubMed:11802789, ECO:0000269|PubMed:12400006, ECO:0000269|PubMed:14699119, ECO:0000269|PubMed:15908796, ECO:0000269|PubMed:16216881, ECO:0000269|PubMed:17280616}.; </t>
  </si>
  <si>
    <t xml:space="preserve">DISEASE: Note=Defects in MELK are associated with some cancers, such as brain or breast cancers. Expression is dramatically increased in aggressive undifferentiated tumors, correlating with poor patient outcome in breast and brain cancers, suggesting a role in tumor-initiating cells and proliferation via its function in cell proliferation regulation.; </t>
  </si>
  <si>
    <t xml:space="preserve">910.64</t>
  </si>
  <si>
    <t xml:space="preserve">33,34</t>
  </si>
  <si>
    <t xml:space="preserve">0.1687999661801</t>
  </si>
  <si>
    <t xml:space="preserve">transmembrane protein 38B</t>
  </si>
  <si>
    <t xml:space="preserve">FUNCTION: Monovalent cation channel required for maintenance of rapid intracellular calcium release. May act as a potassium counter-ion channel that functions in synchronization with calcium release from intracellular stores (By similarity). {ECO:0000250}.; </t>
  </si>
  <si>
    <t xml:space="preserve">DISEASE: Osteogenesis imperfecta 14 (OI14) [MIM:615066]: An autosomal recessive form of osteogenesis imperfecta, a connective tissue disorder characterized by low bone mass, bone fragility and susceptibility to fractures after minimal trauma. Disease severity ranges from very mild forms without fractures to intrauterine fractures and perinatal lethality. Extraskeletal manifestations, which affect a variable number of patients, are dentinogenesis imperfecta, hearing loss, and blue sclerae. OI14 is characterized by variable degrees of severity of multiple fractures and osteopenia, with normal teeth, sclerae, and hearing. Fractures first occur prenatally or by age 6 years. {ECO:0000269|PubMed:23054245, ECO:0000269|PubMed:23316006}. Note=The disease is caused by mutations affecting the gene represented in this entry.; </t>
  </si>
  <si>
    <t xml:space="preserve">870.64</t>
  </si>
  <si>
    <t xml:space="preserve">47,35</t>
  </si>
  <si>
    <t xml:space="preserve">0.0198009574006693</t>
  </si>
  <si>
    <t xml:space="preserve">dolichyl-phosphate mannosyltransferase polypeptide 2, regulatory subunit</t>
  </si>
  <si>
    <t xml:space="preserve">FUNCTION: Regulates the biosynthesis of dolichol phosphate- mannose. Regulatory subunit of the dolichol-phosphate mannose (DPM) synthase complex; essential for the ER localization and stable expression of DPM1. When associated with the GPI-GlcNAc transferase (GPI-GnT) complex enhances but is not essential for its activity. {ECO:0000269|PubMed:10944123}.; </t>
  </si>
  <si>
    <t xml:space="preserve">DISEASE: Congenital disorder of glycosylation 1U (CDG1U) [MIM:615042]: A multisystem disorder caused by a defect in glycoprotein biosynthesis and characterized by under-glycosylated serum glycoproteins. Congenital disorders of glycosylation result in a wide variety of clinical features, such as defects in the nervous system development, psychomotor retardation, dysmorphic features, hypotonia, coagulation disorders, and immunodeficiency. The broad spectrum of features reflects the critical role of N- glycoproteins during embryonic development, differentiation, and maintenance of cell functions. Some CDG1U patients have dystrophic changes seen on muscle biopsy and reduced O-mannosyl glycans on alpha-dystroglycan. {ECO:0000269|PubMed:23109149}. Note=The disease is caused by mutations affecting the gene represented in this entry.; </t>
  </si>
  <si>
    <t xml:space="preserve">155,17</t>
  </si>
  <si>
    <t xml:space="preserve">OLFM1:uc010naq.2:exon2:c.406_407del:p.T141Mfs*41;ENSG00000130558:ENST00000371799:exon2:c.436_437del:p.T151Mfs*41</t>
  </si>
  <si>
    <t xml:space="preserve">0.935993730569587</t>
  </si>
  <si>
    <t xml:space="preserve">olfactomedin 1</t>
  </si>
  <si>
    <t xml:space="preserve">FUNCTION: Contributes to the regulation of axonal growth in the embryonic and adult central nervous system by inhibiting interactions between RTN4R and LINGO1. Inhibits RTN4R-mediated axon growth cone collapse (By similarity). May play an important role in regulating the production of neural crest cells by the neural tube (By similarity). May be required for normal responses to olfactory stimuli (By similarity). {ECO:0000250|UniProtKB:O88998, ECO:0000250|UniProtKB:Q9IAK4}.; </t>
  </si>
  <si>
    <t xml:space="preserve">3031.64</t>
  </si>
  <si>
    <t xml:space="preserve">181</t>
  </si>
  <si>
    <t xml:space="preserve">99,82</t>
  </si>
  <si>
    <t xml:space="preserve">ARSD:NM_009589:exon7:c.T1147C:p.X383Q</t>
  </si>
  <si>
    <t xml:space="preserve">0.292872844082226</t>
  </si>
  <si>
    <t xml:space="preserve">arylsulfatase D</t>
  </si>
  <si>
    <t xml:space="preserve">835.64</t>
  </si>
  <si>
    <t xml:space="preserve">19,25</t>
  </si>
  <si>
    <t xml:space="preserve">40.60</t>
  </si>
  <si>
    <t xml:space="preserve">5,2</t>
  </si>
  <si>
    <t xml:space="preserve">0.999912181208767</t>
  </si>
  <si>
    <t xml:space="preserve">RNA binding motif protein 10</t>
  </si>
  <si>
    <t xml:space="preserve">FUNCTION: May be involved in post-transcriptional processing, most probably in mRNA splicing. Binds to RNA homopolymers, with a preference for poly(G) and poly(U) and little for poly(A) (By similarity). {ECO:0000250, ECO:0000269|PubMed:18315527}.; </t>
  </si>
  <si>
    <t xml:space="preserve">DISEASE: TARP syndrome (TARPS) [MIM:311900]: A disorder characterized by the Robin sequence (micrognathia, glossoptosis and cleft palate), talipes equinovarus and cardiac defects. {ECO:0000269|PubMed:20451169}. Note=The disease is caused by mutations affecting the gene represented in this entry.; </t>
  </si>
  <si>
    <t xml:space="preserve">865.06</t>
  </si>
  <si>
    <t xml:space="preserve">0,29</t>
  </si>
  <si>
    <t xml:space="preserve">0.999999999999995</t>
  </si>
  <si>
    <t xml:space="preserve">HECT, UBA and WWE domain containing 1, E3 ubiquitin protein ligase</t>
  </si>
  <si>
    <t xml:space="preserve">FUNCTION: E3 ubiquitin-protein ligase which mediates ubiquitination and subsequent proteasomal degradation of target proteins. Regulates apoptosis by catalyzing the polyubiquitination and degradation of MCL1. Mediates monoubiquitination of DNA polymerase beta (POLB) at 'Lys-41', 'Lys-61' and 'Lys-81', thereby playing a role in base-excision repair. Also ubiquitinates the p53/TP53 tumor suppressor and core histones including H1, H2A, H2B, H3 and H4. Binds to an upstream initiator-like sequence in the preprodynorphin gene. Regulates neural differentiation and proliferation by catalyzing the polyubiquitination and degradation of MYCN. May regulate abundance of CDC6 after DNA damage by polyubiquitinating and targeting CDC6 to degradation. Mediates polyubiquitination of isoform 2 of PA2G4. {ECO:0000269|PubMed:15567145, ECO:0000269|PubMed:15767685, ECO:0000269|PubMed:15989956, ECO:0000269|PubMed:15989957, ECO:0000269|PubMed:17567951, ECO:0000269|PubMed:18488021, ECO:0000269|PubMed:19037095, ECO:0000269|PubMed:19713937}.; </t>
  </si>
  <si>
    <t xml:space="preserve">DISEASE: Mental retardation, X-linked, syndromic, Turner type (MRXST) [MIM:300706]: A syndrome characterized by the association of mental retardation with macrocephaly and variable contractures. {ECO:0000269|PubMed:18252223}. Note=The disease is caused by mutations affecting the gene represented in this entry.; DISEASE: Mental retardation, X-linked 17 (MRX17) [MIM:300705]: A disorder characterized by significantly below average general intellectual functioning associated with impairments in adaptive behavior and manifested during the developmental period. Intellectual deficiency is the only primary symptom of non- syndromic X-linked mental retardation, while syndromic mental retardation presents with associated physical, neurological and/or psychiatric manifestations. {ECO:0000269|PubMed:18252223}. Note=The gene represented in this entry is involved in disease pathogenesis. A chromosomal microduplication involving HSD17B10 and HUWE1 has been found in patients with mental retardation.; </t>
  </si>
  <si>
    <t xml:space="preserve">972.60</t>
  </si>
  <si>
    <t xml:space="preserve">489</t>
  </si>
  <si>
    <t xml:space="preserve">434,55</t>
  </si>
  <si>
    <t xml:space="preserve">FAM104B:NM_001166699:exon3:c.182_183insA:p.S61Rfs*13,FAM104B:NM_001166700:exon3:c.182_183insA:p.S61Rfs*13,FAM104B:NM_001166701:exon3:c.179_180insA:p.S60Rfs*13,FAM104B:NM_001166702:exon3:c.170_171insA:p.S57Rfs*13,FAM104B:NM_001166703:exon3:c.176_177insA:p.S59Rfs*13,FAM104B:NM_138362:exon3:c.179_180insA:p.S60Rfs*13;FAM104B:uc004dug.2:exon3:c.182_183insA:p.S61Rfs*13,FAM104B:uc004duh.2:exon3:c.179_180insA:p.S60Rfs*13,FAM104B:uc004dui.4:exon3:c.182_183insA:p.S61Rfs*13,FAM104B:uc022bxm.1:exon3:c.176_177insA:p.S59Rfs*13,FAM104B:uc022bxn.1:exon3:c.170_171insA:p.S57Rfs*13,FAM104B:uc022bxo.1:exon3:c.179_180insA:p.S60Rfs*13;ENSG00000182518:ENST00000332132:exon3:c.182_183insA:p.S61Rfs*13,ENSG00000182518:ENST00000358460:exon3:c.179_180insA:p.S60Rfs*13,ENSG00000182518:ENST00000425133:exon3:c.182_183insA:p.S61Rfs*13,ENSG00000182518:ENST00000477847:exon3:c.170_171insA:p.S57Rfs*13,ENSG00000182518:ENST00000489298:exon3:c.176_177insA:p.S59Rfs*13</t>
  </si>
  <si>
    <t xml:space="preserve">0.00870993932895896</t>
  </si>
  <si>
    <t xml:space="preserve">family with sequence similarity 104 member B</t>
  </si>
  <si>
    <t xml:space="preserve">986.60</t>
  </si>
  <si>
    <t xml:space="preserve">506</t>
  </si>
  <si>
    <t xml:space="preserve">449,57</t>
  </si>
  <si>
    <t xml:space="preserve">FAM104B:NM_001166699:exon3:c.179delC:p.A60Efs*8,FAM104B:NM_001166700:exon3:c.179delC:p.A60Efs*8,FAM104B:NM_001166701:exon3:c.176delC:p.A59Efs*8,FAM104B:NM_001166702:exon3:c.167delC:p.A56Efs*8,FAM104B:NM_001166703:exon3:c.173delC:p.A58Efs*8,FAM104B:NM_138362:exon3:c.176delC:p.A59Efs*8;FAM104B:uc004dug.2:exon3:c.179delC:p.A60Efs*8,FAM104B:uc004duh.2:exon3:c.176delC:p.A59Efs*8,FAM104B:uc004dui.4:exon3:c.179delC:p.A60Efs*8,FAM104B:uc022bxm.1:exon3:c.173delC:p.A58Efs*8,FAM104B:uc022bxn.1:exon3:c.167delC:p.A56Efs*8,FAM104B:uc022bxo.1:exon3:c.176delC:p.A59Efs*8;ENSG00000182518:ENST00000332132:exon3:c.179delC:p.A60Efs*8,ENSG00000182518:ENST00000358460:exon3:c.176delC:p.A59Efs*8,ENSG00000182518:ENST00000425133:exon3:c.179delC:p.A60Efs*8,ENSG00000182518:ENST00000477847:exon3:c.167delC:p.A56Efs*8,ENSG00000182518:ENST00000489298:exon3:c.173delC:p.A58Efs*8</t>
  </si>
  <si>
    <t xml:space="preserve">93.64</t>
  </si>
  <si>
    <t xml:space="preserve">12,4</t>
  </si>
  <si>
    <t xml:space="preserve">NM_000033:c.*1001C&gt;T;uc004fif.2:c.*1001C&gt;T</t>
  </si>
  <si>
    <t xml:space="preserve">0.982118837885542</t>
  </si>
  <si>
    <t xml:space="preserve">ATP binding cassette subfamily D member 1</t>
  </si>
  <si>
    <t xml:space="preserve">FUNCTION: Probable transporter. The nucleotide-binding fold acts as an ATP-binding subunit with ATPase activity. {ECO:0000269|PubMed:11248239}.; </t>
  </si>
  <si>
    <t xml:space="preserve">DISEASE: Adrenoleukodystrophy (ALD) [MIM:300100]: A peroxisomal metabolic disorder characterized by progressive multifocal demyelination of the central nervous system and by peripheral adrenal insufficiency (Addison disease). It results in mental deterioration, corticospinal tract dysfunction, and cortical blindness. Different clinical manifestations exist like: cerebral childhood ALD (CALD), adult cerebral ALD (ACALD), adrenomyeloneuropathy (AMN) and 'Addison disease only' (ADO) phenotype. {ECO:0000269|PubMed:10369742, ECO:0000269|PubMed:10480364, ECO:0000269|PubMed:10737980, ECO:0000269|PubMed:10980539, ECO:0000269|PubMed:11438993, ECO:0000269|PubMed:11810273, ECO:0000269|PubMed:15643618, ECO:0000269|PubMed:21700483, ECO:0000269|PubMed:21889498, ECO:0000269|PubMed:7581394, ECO:0000269|PubMed:7717396, ECO:0000269|PubMed:7825602, ECO:0000269|PubMed:7849723, ECO:0000269|PubMed:7904210, ECO:0000269|PubMed:8040304, ECO:0000269|PubMed:8566952, ECO:0000269|PubMed:8651290, ECO:0000269|PubMed:9452087}. Note=The disease is caused by mutations affecting the gene represented in this entry.; DISEASE: Note=The promoter region of ABCD1 is deleted in the chromosome Xq28 deletion syndrome which involves ABCD1 and the neighboring gene BCAP31. {ECO:0000269|PubMed:11992258}.; </t>
  </si>
  <si>
    <t xml:space="preserve">#Gene_name</t>
  </si>
  <si>
    <t xml:space="preserve">Tissue_specificity(Uniprot)</t>
  </si>
  <si>
    <t xml:space="preserve">Expression(egenetics)</t>
  </si>
  <si>
    <t xml:space="preserve">Expression(GNF/Atlas)</t>
  </si>
  <si>
    <t xml:space="preserve">OMIM-00</t>
  </si>
  <si>
    <t xml:space="preserve">OMIM-01</t>
  </si>
  <si>
    <t xml:space="preserve">OMIM-02</t>
  </si>
  <si>
    <t xml:space="preserve">OMIM-03</t>
  </si>
  <si>
    <t xml:space="preserve">OMIM-04</t>
  </si>
  <si>
    <t xml:space="preserve">OMIM-05</t>
  </si>
  <si>
    <t xml:space="preserve">ABCA12</t>
  </si>
  <si>
    <t xml:space="preserve">TISSUE SPECIFICITY: Mainly expressed in the stomach, placenta, testis and fetal brain. {ECO:0000269|PubMed:12697999}.; </t>
  </si>
  <si>
    <t xml:space="preserve">unclassifiable (Anatomical System);breast;lung;stomach;</t>
  </si>
  <si>
    <t xml:space="preserve">dorsal root ganglion;occipital lobe;superior cervical ganglion;atrioventricular node;pons;skin;skeletal muscle;subthalamic nucleus;globus pallidus;appendix;ciliary ganglion;trigeminal ganglion;parietal lobe;</t>
  </si>
  <si>
    <t xml:space="preserve">ABCA8</t>
  </si>
  <si>
    <t xml:space="preserve">TISSUE SPECIFICITY: Widely expressed with higher expression in heart, skeletal muscle and liver. {ECO:0000269|PubMed:12379217}.; </t>
  </si>
  <si>
    <t xml:space="preserve">myocardium;medulla oblongata;sympathetic chain;colon;substantia nigra;skin;retina;prostate;optic nerve;whole body;cochlea;endometrium;iris;pituitary gland;testis;dura mater;spinal ganglion;brain;unclassifiable (Anatomical System);meninges;heart;spinal cord;skeletal muscle;pancreas;pia mater;lung;adrenal gland;trabecular meshwork;visual apparatus;hippocampus;liver;spleen;kidney;mammary gland;stomach;aorta;</t>
  </si>
  <si>
    <t xml:space="preserve">dorsal root ganglion;olfactory bulb;ciliary ganglion;atrioventricular node;trigeminal ganglion;</t>
  </si>
  <si>
    <t xml:space="preserve">ABCC6</t>
  </si>
  <si>
    <t xml:space="preserve">TISSUE SPECIFICITY: Expressed in kidney and liver. Very low expression in other tissues.; </t>
  </si>
  <si>
    <t xml:space="preserve">unclassifiable (Anatomical System);breast;medulla oblongata;lung;spinal cord;liver;colon;spleen;kidney;brain;skeletal muscle;stomach;</t>
  </si>
  <si>
    <t xml:space="preserve">dorsal root ganglion;fetal liver;superior cervical ganglion;cerebellum peduncles;liver;ciliary ganglion;atrioventricular node;kidney;trigeminal ganglion;skeletal muscle;</t>
  </si>
  <si>
    <t xml:space="preserve">ABCC8</t>
  </si>
  <si>
    <t xml:space="preserve">unclassifiable (Anatomical System);lung;heart;islets of Langerhans;bone;brain;mammary gland;skeletal muscle;cerebellum;</t>
  </si>
  <si>
    <t xml:space="preserve">whole brain;occipital lobe;superior cervical ganglion;cerebellum peduncles;beta cell islets;prefrontal cortex;parietal lobe;cerebellum;</t>
  </si>
  <si>
    <t xml:space="preserve">ABCC9</t>
  </si>
  <si>
    <t xml:space="preserve">unclassifiable (Anatomical System);lung;whole body;frontal lobe;cartilage;liver;testis;brain;mammary gland;retina;</t>
  </si>
  <si>
    <t xml:space="preserve">dorsal root ganglion;superior cervical ganglion;appendix;ciliary ganglion;pons;atrioventricular node;trigeminal ganglion;skeletal muscle;</t>
  </si>
  <si>
    <t xml:space="preserve">ABCD1</t>
  </si>
  <si>
    <t xml:space="preserve">unclassifiable (Anatomical System);lymph node;cartilage;ovary;colon;parathyroid;blood;choroid;skin;skeletal muscle;retina;pancreas;lung;adrenal gland;bone;placenta;alveolus;testis;cervix;kidney;brain;stomach;</t>
  </si>
  <si>
    <t xml:space="preserve">superior cervical ganglion;skeletal muscle;</t>
  </si>
  <si>
    <t xml:space="preserve">ABHD5</t>
  </si>
  <si>
    <t xml:space="preserve">TISSUE SPECIFICITY: Widely expressed in various tissues, including lymphocytes, liver, skeletal muscle and brain. Expressed by upper epidermal layers and dermal fibroblasts in skin, hepatocytes and neurons (at protein level). {ECO:0000269|PubMed:11590543, ECO:0000269|PubMed:18832586}.; </t>
  </si>
  <si>
    <t xml:space="preserve">ovary;colon;skin;bone marrow;uterus;larynx;bone;pituitary gland;testis;brain;unclassifiable (Anatomical System);heart;cartilage;hypothalamus;blood;skeletal muscle;breast;pancreas;lung;placenta;visual apparatus;hippocampus;liver;spleen;head and neck;kidney;mammary gland;</t>
  </si>
  <si>
    <t xml:space="preserve">superior cervical ganglion;pons;trigeminal ganglion;skeletal muscle;</t>
  </si>
  <si>
    <t xml:space="preserve">ABL2</t>
  </si>
  <si>
    <t xml:space="preserve">TISSUE SPECIFICITY: Widely expressed.; </t>
  </si>
  <si>
    <t xml:space="preserve">unclassifiable (Anatomical System);cartilage;heart;salivary gland;adrenal cortex;skin;skeletal muscle;uterus;breast;prostate;lung;frontal lobe;bone;visual apparatus;hippocampus;liver;testis;spleen;amniotic fluid;kidney;brain;stomach;</t>
  </si>
  <si>
    <t xml:space="preserve">superior cervical ganglion;ciliary ganglion;atrioventricular node;trigeminal ganglion;skeletal muscle;</t>
  </si>
  <si>
    <t xml:space="preserve">ACAP2</t>
  </si>
  <si>
    <t xml:space="preserve">TISSUE SPECIFICITY: Widely expressed. Highest level in lung. {ECO:0000269|PubMed:11062263}.; </t>
  </si>
  <si>
    <t xml:space="preserve">ovary;salivary gland;intestine;colon;parathyroid;skin;bone marrow;uterus;prostate;whole body;cochlea;endometrium;larynx;bone;thyroid;testis;germinal center;brain;bladder;unclassifiable (Anatomical System);amygdala;lymph node;cartilage;heart;islets of Langerhans;pharynx;blood;skeletal muscle;breast;lung;adrenal gland;placenta;visual apparatus;liver;spleen;head and neck;cervix;kidney;mammary gland;aorta;stomach;thymus;</t>
  </si>
  <si>
    <t xml:space="preserve">whole blood;</t>
  </si>
  <si>
    <t xml:space="preserve">ACBD7</t>
  </si>
  <si>
    <t xml:space="preserve">0.0863366080379718</t>
  </si>
  <si>
    <t xml:space="preserve">acyl-CoA binding domain containing 7</t>
  </si>
  <si>
    <t xml:space="preserve">FUNCTION: Binds medium- and long-chain acyl-CoA esters.; </t>
  </si>
  <si>
    <t xml:space="preserve">ACE</t>
  </si>
  <si>
    <t xml:space="preserve">TISSUE SPECIFICITY: Ubiquitously expressed, with highest levels in lung, kidney, heart, gastrointestinal system and prostate. Isoform Testis-specific is expressed in spermatocytes and adult testis. {ECO:0000269|PubMed:10924499, ECO:0000269|PubMed:10969042, ECO:0000269|PubMed:12459472, ECO:0000269|PubMed:15671045}.; </t>
  </si>
  <si>
    <t xml:space="preserve">medulla oblongata;ovary;colon;parathyroid;fovea centralis;choroid;retina;uterus;prostate;optic nerve;frontal lobe;testis;spinal ganglion;brain;bladder;unclassifiable (Anatomical System);lymph node;heart;cartilage;nervous;islets of Langerhans;blood;lens;breast;pancreas;lung;epididymis;placenta;macula lutea;hypopharynx;head and neck;cervix;kidney;mammary gland;stomach;thymus;</t>
  </si>
  <si>
    <t xml:space="preserve">superior cervical ganglion;testis - interstitial;ciliary ganglion;skeletal muscle;</t>
  </si>
  <si>
    <t xml:space="preserve">ACIN1</t>
  </si>
  <si>
    <t xml:space="preserve">TISSUE SPECIFICITY: Ubiquitous. The Ser-1180 phosphorylated form (by SRPK2) is highly expressed and phosphorylated in patients with myeloid hematologic malignancies.; </t>
  </si>
  <si>
    <t xml:space="preserve">smooth muscle;ovary;skin;bone marrow;retina;prostate;optic nerve;frontal lobe;endometrium;thyroid;germinal center;bladder;brain;heart;cartilage;tongue;urinary;adrenal cortex;pharynx;blood;lens;skeletal muscle;breast;epididymis;trabecular meshwork;visual apparatus;macula lutea;liver;spleen;cervix;mammary gland;peripheral nerve;salivary gland;intestine;colon;parathyroid;fovea centralis;choroid;vein;uterus;cerebral cortex;larynx;synovium;bone;testis;pineal gland;unclassifiable (Anatomical System);lymph node;islets of Langerhans;muscle;bile duct;pancreas;lung;adrenal gland;nasopharynx;placenta;head and neck;kidney;stomach;aorta;</t>
  </si>
  <si>
    <t xml:space="preserve">testis - interstitial;temporal lobe;prefrontal cortex;atrioventricular node;</t>
  </si>
  <si>
    <t xml:space="preserve">ACSF3</t>
  </si>
  <si>
    <t xml:space="preserve">unclassifiable (Anatomical System);cartilage;heart;sympathetic chain;colon;fovea centralis;choroid;skin;uterus;bile duct;prostate;pancreas;optic nerve;lung;endometrium;bone;macula lutea;liver;testis;spleen;germinal center;kidney;brain;tonsil;stomach;thymus;</t>
  </si>
  <si>
    <t xml:space="preserve">skeletal muscle;</t>
  </si>
  <si>
    <t xml:space="preserve">ADAM17</t>
  </si>
  <si>
    <t xml:space="preserve">TISSUE SPECIFICITY: Ubiquitously expressed. Expressed at highest levels in adult heart, placenta, skeletal muscle, pancreas, spleen, thymus, prostate, testes, ovary and small intestine, and in fetal brain, lung, liver and kidney.; </t>
  </si>
  <si>
    <t xml:space="preserve">ovary;parathyroid;choroid;fovea centralis;retina;uterus;prostate;optic nerve;larynx;thyroid;testis;brain;unclassifiable (Anatomical System);cartilage;urinary;lens;skeletal muscle;breast;lung;placenta;visual apparatus;macula lutea;head and neck;kidney;mammary gland;stomach;</t>
  </si>
  <si>
    <t xml:space="preserve">dorsal root ganglion;superior cervical ganglion;globus pallidus;ciliary ganglion;atrioventricular node;trigeminal ganglion;skeletal muscle;</t>
  </si>
  <si>
    <t xml:space="preserve">ADH7</t>
  </si>
  <si>
    <t xml:space="preserve">TISSUE SPECIFICITY: Preferentially expressed in stomach.; </t>
  </si>
  <si>
    <t xml:space="preserve">lung;oesophagus;larynx;nasopharynx;head and neck;skeletal muscle;</t>
  </si>
  <si>
    <t xml:space="preserve">superior cervical ganglion;tongue;</t>
  </si>
  <si>
    <t xml:space="preserve">ADNP-AS1</t>
  </si>
  <si>
    <t xml:space="preserve">ADNP antisense RNA 1</t>
  </si>
  <si>
    <t xml:space="preserve">AHCTF1</t>
  </si>
  <si>
    <t xml:space="preserve">ALDH6A1</t>
  </si>
  <si>
    <t xml:space="preserve">aldehyde dehydrogenase 6 family member A1</t>
  </si>
  <si>
    <t xml:space="preserve">FUNCTION: Plays a role in valine and pyrimidine metabolism. Binds fatty acyl-CoA.; </t>
  </si>
  <si>
    <t xml:space="preserve">ovary;colon;parathyroid;fovea centralis;choroid;vein;skin;retina;bone marrow;uterus;prostate;optic nerve;frontal lobe;endometrium;thyroid;bone;testis;brain;unclassifiable (Anatomical System);amygdala;lymph node;islets of Langerhans;hypothalamus;muscle;blood;lens;skeletal muscle;bile duct;lung;placenta;macula lutea;visual apparatus;hippocampus;liver;spleen;kidney;mammary gland;stomach;</t>
  </si>
  <si>
    <t xml:space="preserve">whole brain;amygdala;occipital lobe;superior cervical ganglion;medulla oblongata;cerebellum peduncles;temporal lobe;atrioventricular node;caudate nucleus;pons;subthalamic nucleus;fetal liver;testis - seminiferous tubule;liver;prefrontal cortex;globus pallidus;kidney;trigeminal ganglion;cingulate cortex;parietal lobe;cerebellum;</t>
  </si>
  <si>
    <t xml:space="preserve">ALPL</t>
  </si>
  <si>
    <t xml:space="preserve">ANGEL2</t>
  </si>
  <si>
    <t xml:space="preserve">ovary;colon;fovea centralis;choroid;skin;retina;uterus;prostate;optic nerve;ganglion;endometrium;thyroid;testis;germinal center;brain;unclassifiable (Anatomical System);lymph node;heart;cartilage;islets of Langerhans;lens;skeletal muscle;breast;pancreas;lung;placenta;macula lutea;visual apparatus;liver;spleen;head and neck;cervix;kidney;mammary gland;</t>
  </si>
  <si>
    <t xml:space="preserve">dorsal root ganglion;superior cervical ganglion;prefrontal cortex;pons;trigeminal ganglion;</t>
  </si>
  <si>
    <t xml:space="preserve">ANK1</t>
  </si>
  <si>
    <t xml:space="preserve">0.999999999957629</t>
  </si>
  <si>
    <t xml:space="preserve">ankyrin 1</t>
  </si>
  <si>
    <t xml:space="preserve">FUNCTION: Attaches integral membrane proteins to cytoskeletal elements; binds to the erythrocyte membrane protein band 4.2, to Na-K ATPase, to the lymphocyte membrane protein GP85, and to the cytoskeletal proteins fodrin, tubulin, vimentin and desmin. Erythrocyte ankyrins also link spectrin (beta chain) to the cytoplasmic domain of the erythrocytes anion exchange protein; they retain most or all of these binding functions. {ECO:0000269|PubMed:12456646}.; </t>
  </si>
  <si>
    <t xml:space="preserve">TISSUE SPECIFICITY: Isoform Mu17, isoform Mu18, isoform Mu19 and isoform Mu20 are expressed in skeletal muscle. Isoform Br21 is expressed in brain. {ECO:0000269|PubMed:9430667}.; </t>
  </si>
  <si>
    <t xml:space="preserve">ovary;parathyroid;fovea centralis;choroid;skin;retina;uterus;prostate;optic nerve;thyroid;bone;testis;germinal center;brain;unclassifiable (Anatomical System);heart;islets of Langerhans;muscle;blood;lens;skeletal muscle;breast;pancreas;lung;placenta;macula lutea;visual apparatus;liver;hypopharynx;spleen;head and neck;thymus;cerebellum;</t>
  </si>
  <si>
    <t xml:space="preserve">medulla oblongata;superior cervical ganglion;fetal liver;tongue;cerebellum peduncles;ciliary ganglion;pons;trigeminal ganglion;skeletal muscle;bone marrow;cerebellum;</t>
  </si>
  <si>
    <t xml:space="preserve">ANKRD20A8P</t>
  </si>
  <si>
    <t xml:space="preserve">ANKRD30BL</t>
  </si>
  <si>
    <t xml:space="preserve">lung;testis;</t>
  </si>
  <si>
    <t xml:space="preserve">ANKRD36BP2</t>
  </si>
  <si>
    <t xml:space="preserve">ANKRD36C</t>
  </si>
  <si>
    <t xml:space="preserve">unclassifiable (Anatomical System);lymph node;colon;skeletal muscle;retina;breast;uterus;prostate;whole body;lung;cornea;endometrium;larynx;nasopharynx;liver;testis;head and neck;germinal center;kidney;pineal gland;mammary gland;stomach;</t>
  </si>
  <si>
    <t xml:space="preserve">ANO6</t>
  </si>
  <si>
    <t xml:space="preserve">TISSUE SPECIFICITY: Expressed in embryonic stem cell, fetal liver, retina, chronic myologenous leukemia and intestinal cancer. {ECO:0000269|PubMed:15067359}.; </t>
  </si>
  <si>
    <t xml:space="preserve">smooth muscle;ovary;salivary gland;intestine;colon;parathyroid;fovea centralis;choroid;skin;retina;bone marrow;uterus;prostate;optic nerve;whole body;cochlea;endometrium;bone;thyroid;testis;germinal center;brain;artery;bladder;unclassifiable (Anatomical System);lymph node;cartilage;heart;islets of Langerhans;hypothalamus;pharynx;blood;lens;skeletal muscle;breast;pancreas;lung;nasopharynx;placenta;macula lutea;visual apparatus;alveolus;duodenum;liver;spleen;kidney;aorta;stomach;thymus;</t>
  </si>
  <si>
    <t xml:space="preserve">superior cervical ganglion;subthalamic nucleus;ciliary ganglion;atrioventricular node;trigeminal ganglion;skeletal muscle;</t>
  </si>
  <si>
    <t xml:space="preserve">AP2S1</t>
  </si>
  <si>
    <t xml:space="preserve">smooth muscle;ovary;sympathetic chain;skin;bone marrow;retina;prostate;optic nerve;endometrium;germinal center;bladder;brain;heart;cartilage;adrenal cortex;pharynx;blood;lens;skeletal muscle;breast;epididymis;trabecular meshwork;visual apparatus;macula lutea;liver;alveolus;spleen;cervix;mammary gland;salivary gland;intestine;colon;parathyroid;choroid;fovea centralis;uterus;oesophagus;bone;testis;unclassifiable (Anatomical System);lymph node;islets of Langerhans;hypothalamus;muscle;pancreas;lung;cornea;placenta;duodenum;kidney;stomach;thymus;</t>
  </si>
  <si>
    <t xml:space="preserve">whole brain;amygdala;medulla oblongata;prostate;lung;heart;temporal lobe;liver;globus pallidus;parietal lobe;</t>
  </si>
  <si>
    <t xml:space="preserve">ARHGAP23</t>
  </si>
  <si>
    <t xml:space="preserve">TISSUE SPECIFICITY: Expressed in placenta, prostate, hippocampus and brain medulla. Also expressed in brain tumor, salivary gland tumor, head and neck tumor. {ECO:0000269|PubMed:15254754}.; </t>
  </si>
  <si>
    <t xml:space="preserve">ARHGEF4</t>
  </si>
  <si>
    <t xml:space="preserve">TISSUE SPECIFICITY: Expressed at high levels in the brain, skeletal muscle and testis and at low levels in the kidney, lung, small intestine, ovary and prostate. Expression is aberrantly enhanced in most colorectal tumors. {ECO:0000269|PubMed:10873612, ECO:0000269|PubMed:17145773, ECO:0000269|PubMed:19893577}.; </t>
  </si>
  <si>
    <t xml:space="preserve">unclassifiable (Anatomical System);heart;ovary;hypothalamus;colon;skin;uterus;pancreas;prostate;optic nerve;lung;frontal lobe;iris;testis;bladder;brain;stomach;</t>
  </si>
  <si>
    <t xml:space="preserve">whole brain;amygdala;occipital lobe;thalamus;medulla oblongata;superior cervical ganglion;temporal lobe;spinal cord;caudate nucleus;pons;skeletal muscle;subthalamic nucleus;prefrontal cortex;globus pallidus;cingulate cortex;parietal lobe;</t>
  </si>
  <si>
    <t xml:space="preserve">ARID1B</t>
  </si>
  <si>
    <t xml:space="preserve">TISSUE SPECIFICITY: Widely expressed with high levels in heart, skeletal muscle and kidney. {ECO:0000269|PubMed:11988099, ECO:0000269|PubMed:12200431, ECO:0000269|PubMed:12665591}.; </t>
  </si>
  <si>
    <t xml:space="preserve">ovary;salivary gland;colon;parathyroid;fovea centralis;choroid;skin;retina;bone marrow;uterus;prostate;optic nerve;whole body;frontal lobe;endometrium;bone;thyroid;testis;germinal center;brain;unclassifiable (Anatomical System);cartilage;heart;lacrimal gland;tongue;hypothalamus;blood;lens;skeletal muscle;breast;pancreas;lung;epididymis;placenta;hippocampus;macula lutea;visual apparatus;liver;spleen;head and neck;cervix;kidney;mammary gland;stomach;thymus;cerebellum;</t>
  </si>
  <si>
    <t xml:space="preserve">dorsal root ganglion;superior cervical ganglion;globus pallidus;ciliary ganglion;atrioventricular node;trigeminal ganglion;cingulate cortex;cerebellum;</t>
  </si>
  <si>
    <t xml:space="preserve">ARSD</t>
  </si>
  <si>
    <t xml:space="preserve">TISSUE SPECIFICITY: Expressed in the pancreas, kidney, liver, lung, placenta, brain and heart.; </t>
  </si>
  <si>
    <t xml:space="preserve">unclassifiable (Anatomical System);lung;ovary;placenta;blood;brain;mammary gland;vein;</t>
  </si>
  <si>
    <t xml:space="preserve">prostate;superior cervical ganglion;ciliary ganglion;atrioventricular node;pons;trigeminal ganglion;skeletal muscle;</t>
  </si>
  <si>
    <t xml:space="preserve">ASTN1</t>
  </si>
  <si>
    <t xml:space="preserve">unclassifiable (Anatomical System);heart;ovary;hypothalamus;sympathetic chain;adrenal cortex;fovea centralis;choroid;lens;skeletal muscle;skin;retina;uterus;optic nerve;whole body;lung;frontal lobe;bone;macula lutea;visual apparatus;hippocampus;testis;brain;</t>
  </si>
  <si>
    <t xml:space="preserve">amygdala;dorsal root ganglion;whole brain;medulla oblongata;superior cervical ganglion;thalamus;occipital lobe;cerebellum peduncles;hypothalamus;temporal lobe;pons;caudate nucleus;subthalamic nucleus;fetal brain;prefrontal cortex;globus pallidus;trigeminal ganglion;cingulate cortex;parietal lobe;cerebellum;</t>
  </si>
  <si>
    <t xml:space="preserve">ATP13A4</t>
  </si>
  <si>
    <t xml:space="preserve">ATPase 13A4</t>
  </si>
  <si>
    <t xml:space="preserve">TISSUE SPECIFICITY: Expressed in heart, placenta, liver, skeletal muscles, and pancreas. Lower levels of expression are also detected in brain, lung and kidney. Weakly expressed in the adult brain. Expression in fetal brain is higher than in adult brain, with levels similar to several other fetal tissues including spleen and skeletal muscle. In adult brain expressed at low levels in all tissues examined, including the temporal lobe and putamen. {ECO:0000269|PubMed:15925480}.; </t>
  </si>
  <si>
    <t xml:space="preserve">unclassifiable (Anatomical System);frontal lobe;larynx;thyroid;oral cavity;pituitary gland;head and neck;brain;skeletal muscle;stomach;tonsil;</t>
  </si>
  <si>
    <t xml:space="preserve">dorsal root ganglion;superior cervical ganglion;ciliary ganglion;pons;atrioventricular node;trigeminal ganglion;</t>
  </si>
  <si>
    <t xml:space="preserve">ATP13A4-AS1</t>
  </si>
  <si>
    <t xml:space="preserve">ATP13A4 antisense RNA 1</t>
  </si>
  <si>
    <t xml:space="preserve">ATP13A5</t>
  </si>
  <si>
    <t xml:space="preserve">unclassifiable (Anatomical System);optic nerve;lung;larynx;macula lutea;head and neck;fovea centralis;choroid;lens;mammary gland;retina;</t>
  </si>
  <si>
    <t xml:space="preserve">superior cervical ganglion;</t>
  </si>
  <si>
    <t xml:space="preserve">ATP6V1H</t>
  </si>
  <si>
    <t xml:space="preserve">TISSUE SPECIFICITY: Widely expressed. {ECO:0000269|PubMed:9620685}.; </t>
  </si>
  <si>
    <t xml:space="preserve">lymphoreticular;smooth muscle;ovary;sympathetic chain;colon;parathyroid;vein;skin;retina;bone marrow;uterus;prostate;frontal lobe;bone;thyroid;testis;dura mater;germinal center;spinal ganglion;brain;pineal gland;bladder;unclassifiable (Anatomical System);meninges;lymph node;cartilage;heart;tongue;islets of Langerhans;hypothalamus;breast;bile duct;pancreas;pia mater;lung;nasopharynx;placenta;visual apparatus;hippocampus;alveolus;liver;cervix;spleen;head and neck;kidney;mammary gland;aorta;stomach;</t>
  </si>
  <si>
    <t xml:space="preserve">amygdala;whole brain;thalamus;occipital lobe;medulla oblongata;hypothalamus;temporal lobe;caudate nucleus;pons;subthalamic nucleus;prefrontal cortex;globus pallidus;cingulate cortex;parietal lobe;</t>
  </si>
  <si>
    <t xml:space="preserve">ATR</t>
  </si>
  <si>
    <t xml:space="preserve">TISSUE SPECIFICITY: Ubiquitous, with highest expression in testis. Isoform 2 is found in pancreas, placenta and liver but not in heart, testis and ovary. {ECO:0000269|PubMed:11470508, ECO:0000269|PubMed:8610130, ECO:0000269|PubMed:8843195}.; </t>
  </si>
  <si>
    <t xml:space="preserve">ovary;colon;parathyroid;skin;uterus;prostate;whole body;frontal lobe;endometrium;bone;testis;germinal center;spinal ganglion;brain;unclassifiable (Anatomical System);lymph node;heart;tongue;islets of Langerhans;blood;skeletal muscle;breast;pancreas;lung;placenta;visual apparatus;liver;alveolus;head and neck;kidney;mammary gland;stomach;peripheral nerve;</t>
  </si>
  <si>
    <t xml:space="preserve">amygdala;superior cervical ganglion;medulla oblongata;testis - interstitial;thyroid;globus pallidus;white blood cells;ciliary ganglion;pons;skeletal muscle;pituitary;</t>
  </si>
  <si>
    <t xml:space="preserve">ATXN3</t>
  </si>
  <si>
    <t xml:space="preserve">TISSUE SPECIFICITY: Ubiquitous.; </t>
  </si>
  <si>
    <t xml:space="preserve">colon;choroid;fovea centralis;skin;retina;uterus;optic nerve;bone;testis;germinal center;bladder;unclassifiable (Anatomical System);heart;islets of Langerhans;spinal cord;lens;skeletal muscle;lung;nasopharynx;placenta;visual apparatus;macula lutea;liver;spleen;stomach;</t>
  </si>
  <si>
    <t xml:space="preserve">dorsal root ganglion;testis - interstitial;superior cervical ganglion;temporal lobe;appendix;ciliary ganglion;atrioventricular node;trigeminal ganglion;skeletal muscle;</t>
  </si>
  <si>
    <t xml:space="preserve">BANK1</t>
  </si>
  <si>
    <t xml:space="preserve">TISSUE SPECIFICITY: Expressed in B-cell but not T-cell or myeloid cell lines. Highest expression in CD19(+) B-cells, with very low expression in other cell populations. {ECO:0000269|PubMed:11782428, ECO:0000269|PubMed:18204447}.; </t>
  </si>
  <si>
    <t xml:space="preserve">unclassifiable (Anatomical System);prostate;pancreas;lymph node;lung;endometrium;thyroid;testis;germinal center;aorta;</t>
  </si>
  <si>
    <t xml:space="preserve">lymph node;skeletal muscle;tonsil;</t>
  </si>
  <si>
    <t xml:space="preserve">BBOF1</t>
  </si>
  <si>
    <t xml:space="preserve">basal body orientation factor 1</t>
  </si>
  <si>
    <t xml:space="preserve">FUNCTION: Basal body protein required in multiciliate cells to align and maintain cilia orientation in response to flow. May act by mediating a maturation step that stabilizes and aligns cilia orientation. Not required to respond to planar cell polarity (PCP) or flow-based orientation cues (By similarity). {ECO:0000250}.; </t>
  </si>
  <si>
    <t xml:space="preserve">BIRC5</t>
  </si>
  <si>
    <t xml:space="preserve">TISSUE SPECIFICITY: Expressed only in fetal kidney and liver, and to lesser extent, lung and brain. Abundantly expressed in adenocarcinoma (lung, pancreas, colon, breast, and prostate) and in high-grade lymphomas. Also expressed in various renal cell carcinoma cell lines. {ECO:0000269|PubMed:10626797, ECO:0000269|PubMed:14741722, ECO:0000269|PubMed:16329164}.; </t>
  </si>
  <si>
    <t xml:space="preserve">medulla oblongata;ovary;salivary gland;intestine;colon;fovea centralis;choroid;skin;bone marrow;retina;uterus;prostate;optic nerve;whole body;endometrium;bone;thyroid;testis;germinal center;brain;bladder;tonsil;unclassifiable (Anatomical System);lymph node;cartilage;heart;muscle;pharynx;blood;lens;skeletal muscle;breast;bile duct;pancreas;lung;cornea;placenta;macula lutea;visual apparatus;duodenum;liver;cervix;spleen;head and neck;kidney;mammary gland;stomach;thymus;</t>
  </si>
  <si>
    <t xml:space="preserve">dorsal root ganglion;testis - interstitial;superior cervical ganglion;testis - seminiferous tubule;testis;tumor;atrioventricular node;trigeminal ganglion;</t>
  </si>
  <si>
    <t xml:space="preserve">BMPR1A</t>
  </si>
  <si>
    <t xml:space="preserve">TISSUE SPECIFICITY: Highly expressed in skeletal muscle.; </t>
  </si>
  <si>
    <t xml:space="preserve">unclassifiable (Anatomical System);heart;hypothalamus;colon;parathyroid;blood;skin;skeletal muscle;breast;pancreas;whole body;larynx;thyroid;placenta;duodenum;testis;head and neck;cervix;germinal center;kidney;brain;</t>
  </si>
  <si>
    <t xml:space="preserve">superior cervical ganglion;ciliary ganglion;atrioventricular node;</t>
  </si>
  <si>
    <t xml:space="preserve">BNIPL</t>
  </si>
  <si>
    <t xml:space="preserve">TISSUE SPECIFICITY: Isoform 2 is expressed in placenta and lung. {ECO:0000269|PubMed:12681488}.; </t>
  </si>
  <si>
    <t xml:space="preserve">unclassifiable (Anatomical System);ovary;heart;salivary gland;intestine;pharynx;colon;blood;skin;skeletal muscle;retina;breast;prostate;lung;larynx;nasopharynx;thyroid;visual apparatus;liver;testis;head and neck;spleen;kidney;brain;bladder;</t>
  </si>
  <si>
    <t xml:space="preserve">ciliary ganglion;atrioventricular node;</t>
  </si>
  <si>
    <t xml:space="preserve">BRE</t>
  </si>
  <si>
    <t xml:space="preserve">TISSUE SPECIFICITY: Expressed in all cell lines examined. Highly expressed in placenta. {ECO:0000269|PubMed:11676476}.; </t>
  </si>
  <si>
    <t xml:space="preserve">medulla oblongata;ovary;salivary gland;intestine;colon;parathyroid;fovea centralis;choroid;skin;retina;bone marrow;uterus;prostate;optic nerve;bone;iris;pituitary gland;testis;ciliary body;brain;bladder;gall bladder;unclassifiable (Anatomical System);lymph node;trophoblast;cartilage;pineal body;pharynx;blood;lens;skeletal muscle;breast;pancreas;lung;cornea;nasopharynx;placenta;macula lutea;visual apparatus;hippocampus;liver;spleen;cervix;kidney;mammary gland;stomach;thymus;</t>
  </si>
  <si>
    <t xml:space="preserve">amygdala;dorsal root ganglion;superior cervical ganglion;adrenal gland;adrenal cortex;prefrontal cortex;testis;atrioventricular node;kidney;parietal lobe;</t>
  </si>
  <si>
    <t xml:space="preserve">C15orf41</t>
  </si>
  <si>
    <t xml:space="preserve">unclassifiable (Anatomical System);myocardium;lymph node;heart;ovary;adrenal cortex;parathyroid;skin;skeletal muscle;uterus;whole body;lung;adrenal gland;thyroid;placenta;testis;kidney;brain;pineal gland;bladder;stomach;</t>
  </si>
  <si>
    <t xml:space="preserve">C4orf50</t>
  </si>
  <si>
    <t xml:space="preserve">frontal lobe;kidney;brain;</t>
  </si>
  <si>
    <t xml:space="preserve">CACNB2</t>
  </si>
  <si>
    <t xml:space="preserve">TISSUE SPECIFICITY: Expressed in all tissues.; </t>
  </si>
  <si>
    <t xml:space="preserve">unclassifiable (Anatomical System);myocardium;heart;ovary;islets of Langerhans;parathyroid;fovea centralis;breast;uterus;pancreas;prostate;lung;frontal lobe;bone;placenta;macula lutea;hippocampus;pituitary gland;liver;spleen;kidney;brain;mammary gland;aorta;</t>
  </si>
  <si>
    <t xml:space="preserve">superior cervical ganglion;subthalamic nucleus;medulla oblongata;occipital lobe;cerebellum peduncles;temporal lobe;prefrontal cortex;globus pallidus;pons;pituitary;cingulate cortex;parietal lobe;</t>
  </si>
  <si>
    <t xml:space="preserve">CARD11</t>
  </si>
  <si>
    <t xml:space="preserve">TISSUE SPECIFICITY: Detected in adult peripheral blood leukocytes, thymus, spleen and liver. Also found in promyelocytic leukemia HL- 60 cells, chronic myelogenous leukemia K-562 cells, Burkitt's lymphoma Raji cells and colorectal adenocarcinoma SW480 cells. Not detected in HeLaS3, MOLT-4, A-549 and G431 cells. {ECO:0000269|PubMed:11278692}.; </t>
  </si>
  <si>
    <t xml:space="preserve">lymphoreticular;ovary;parathyroid;skin;uterus;prostate;cerebral cortex;thyroid;testis;germinal center;bladder;brain;tonsil;unclassifiable (Anatomical System);lymph node;heart;cartilage;blood;pancreas;lung;nasopharynx;placenta;hypopharynx;head and neck;stomach;thymus;</t>
  </si>
  <si>
    <t xml:space="preserve">white blood cells;</t>
  </si>
  <si>
    <t xml:space="preserve">CASC1</t>
  </si>
  <si>
    <t xml:space="preserve">unclassifiable (Anatomical System);lymph node;ovary;heart;salivary gland;intestine;colon;pharynx;blood;skin;breast;prostate;lung;endometrium;visual apparatus;liver;testis;head and neck;spleen;kidney;germinal center;brain;bladder;</t>
  </si>
  <si>
    <t xml:space="preserve">testis - interstitial;superior cervical ganglion;testis - seminiferous tubule;testis;ciliary ganglion;skin;</t>
  </si>
  <si>
    <t xml:space="preserve">CBWD1</t>
  </si>
  <si>
    <t xml:space="preserve">TISSUE SPECIFICITY: Ubiquitously expressed. Up-regulated in cultured astrocytes treated with dopamine. {ECO:0000269|PubMed:15233989}.; </t>
  </si>
  <si>
    <t xml:space="preserve">lymphoreticular;smooth muscle;ovary;skin;bone marrow;retina;prostate;optic nerve;cochlea;endometrium;gum;thyroid;germinal center;bladder;brain;heart;cartilage;urinary;pharynx;blood;lens;skeletal muscle;breast;macula lutea;visual apparatus;liver;spleen;cervix;mammary gland;salivary gland;intestine;colon;parathyroid;fovea centralis;choroid;vein;uterus;whole body;bone;testis;pineal gland;unclassifiable (Anatomical System);lymph node;islets of Langerhans;hypothalamus;bile duct;pancreas;lung;adrenal gland;nasopharynx;placenta;hippocampus;head and neck;kidney;stomach;aorta;thymus;</t>
  </si>
  <si>
    <t xml:space="preserve">CCDC138</t>
  </si>
  <si>
    <t xml:space="preserve">unclassifiable (Anatomical System);heart;ovary;cartilage;pharynx;colon;skeletal muscle;skin;uterus;lung;liver;testis;kidney;</t>
  </si>
  <si>
    <t xml:space="preserve">CCDC30</t>
  </si>
  <si>
    <t xml:space="preserve">TISSUE SPECIFICITY: Expressed in brain, kidney, pancreas, placenta, liver, thymus and prostate. {ECO:0000269|PubMed:16710767}.; </t>
  </si>
  <si>
    <t xml:space="preserve">unclassifiable (Anatomical System);lung;frontal lobe;ovary;testis;kidney;</t>
  </si>
  <si>
    <t xml:space="preserve">superior cervical ganglion;globus pallidus;trigeminal ganglion;skeletal muscle;</t>
  </si>
  <si>
    <t xml:space="preserve">CCDC66</t>
  </si>
  <si>
    <t xml:space="preserve">ovary;colon;bone marrow;uterus;prostate;whole body;endometrium;larynx;thyroid;bone;pituitary gland;testis;germinal center;bladder;brain;unclassifiable (Anatomical System);heart;tongue;islets of Langerhans;pharynx;blood;lung;nasopharynx;visual apparatus;liver;head and neck;kidney;stomach;aorta;peripheral nerve;</t>
  </si>
  <si>
    <t xml:space="preserve">CCNT2-AS1</t>
  </si>
  <si>
    <t xml:space="preserve">CDH13</t>
  </si>
  <si>
    <t xml:space="preserve">TISSUE SPECIFICITY: Highly expressed in heart. In the CNS, expressed in cerebral cortex, medulla, hippocampus, amygdala, thalamus and substantia nigra. No expression detected in cerebellum or spinal cord. {ECO:0000269|PubMed:10737605, ECO:0000269|PubMed:8673923}.; </t>
  </si>
  <si>
    <t xml:space="preserve">ovary;colon;parathyroid;skin;uterus;prostate;whole body;frontal lobe;endometrium;thyroid;bone;testis;spinal ganglion;artery;brain;unclassifiable (Anatomical System);heart;cartilage;lung;nasopharynx;placenta;liver;spleen;head and neck;kidney;aorta;</t>
  </si>
  <si>
    <t xml:space="preserve">dorsal root ganglion;superior cervical ganglion;occipital lobe;heart;ciliary ganglion;atrioventricular node;pons;trigeminal ganglion;skin;</t>
  </si>
  <si>
    <t xml:space="preserve">CDON</t>
  </si>
  <si>
    <t xml:space="preserve">unclassifiable (Anatomical System);breast;testis;</t>
  </si>
  <si>
    <t xml:space="preserve">superior cervical ganglion;skeletal muscle;cerebellum;</t>
  </si>
  <si>
    <t xml:space="preserve">CEP170</t>
  </si>
  <si>
    <t xml:space="preserve">lymphoreticular;medulla oblongata;ovary;parathyroid;fovea centralis;choroid;skin;retina;bone marrow;uterus;prostate;optic nerve;whole body;frontal lobe;larynx;testis;brain;unclassifiable (Anatomical System);cartilage;islets of Langerhans;lens;skeletal muscle;breast;lung;placenta;macula lutea;liver;head and neck;kidney;aorta;thymus;</t>
  </si>
  <si>
    <t xml:space="preserve">amygdala;dorsal root ganglion;medulla oblongata;thalamus;superior cervical ganglion;occipital lobe;hypothalamus;spinal cord;pons;caudate nucleus;skeletal muscle;fetal brain;prefrontal cortex;globus pallidus;ciliary ganglion;trigeminal ganglion;cingulate cortex;parietal lobe;cerebellum;</t>
  </si>
  <si>
    <t xml:space="preserve">CEP290</t>
  </si>
  <si>
    <t xml:space="preserve">TISSUE SPECIFICITY: Ubiquitous. Expressed strongly in placenta and weakly in brain. {ECO:0000269|PubMed:11149944, ECO:0000269|PubMed:16682973}.; </t>
  </si>
  <si>
    <t xml:space="preserve">myocardium;ovary;salivary gland;colon;fovea centralis;skin;retina;uterus;prostate;whole body;cochlea;endometrium;bone;thyroid;testis;germinal center;brain;artery;bladder;unclassifiable (Anatomical System);cartilage;heart;islets of Langerhans;pharynx;blood;breast;lung;nasopharynx;trabecular meshwork;macula lutea;visual apparatus;liver;head and neck;kidney;mammary gland;aorta;stomach;</t>
  </si>
  <si>
    <t xml:space="preserve">dorsal root ganglion;subthalamic nucleus;ciliary ganglion;atrioventricular node;trigeminal ganglion;skeletal muscle;</t>
  </si>
  <si>
    <t xml:space="preserve">CHAC2</t>
  </si>
  <si>
    <t xml:space="preserve">unclassifiable (Anatomical System);uterus;lung;cartilage;placenta;pituitary gland;testis;colon;germinal center;mammary gland;bladder;skin;</t>
  </si>
  <si>
    <t xml:space="preserve">CHRNA1</t>
  </si>
  <si>
    <t xml:space="preserve">TISSUE SPECIFICITY: Isoform 1 is only expressed in skeletal muscle. Isoform 2 is constitutively expressed in skeletal muscle, brain, heart, kidney, liver, lung and thymus.; </t>
  </si>
  <si>
    <t xml:space="preserve">unclassifiable (Anatomical System);ovary;heart;tongue;larynx;bone;placenta;visual apparatus;muscle;liver;parathyroid;head and neck;skin;</t>
  </si>
  <si>
    <t xml:space="preserve">dorsal root ganglion;uterus corpus;superior cervical ganglion;appendix;testis;ciliary ganglion;atrioventricular node;trigeminal ganglion;skeletal muscle;skin;</t>
  </si>
  <si>
    <t xml:space="preserve">CHURC1-FNTB</t>
  </si>
  <si>
    <t xml:space="preserve">CHURC1-FNTB readthrough</t>
  </si>
  <si>
    <t xml:space="preserve">FUNCTION: Essential subunit of the farnesyltransferase complex. Catalyzes the transfer of a farnesyl moiety from farnesyl diphosphate to a cysteine at the fourth position from the C- terminus of several proteins having the C-terminal sequence Cys- aliphatic-aliphatic-X. {ECO:0000269|PubMed:12036349, ECO:0000269|PubMed:12825937, ECO:0000269|PubMed:16893176, ECO:0000269|PubMed:19246009, ECO:0000269|PubMed:8494894}.; </t>
  </si>
  <si>
    <t xml:space="preserve">CLASP1</t>
  </si>
  <si>
    <t xml:space="preserve">ovary;salivary gland;developmental;intestine;colon;skin;retina;bone marrow;uterus;prostate;optic nerve;frontal lobe;endometrium;larynx;bone;thyroid;testis;germinal center;brain;bladder;tonsil;unclassifiable (Anatomical System);cartilage;heart;lacrimal gland;islets of Langerhans;pharynx;blood;skeletal muscle;breast;pancreas;lung;adrenal gland;placenta;visual apparatus;hippocampus;liver;spleen;head and neck;kidney;stomach;</t>
  </si>
  <si>
    <t xml:space="preserve">amygdala;whole brain;medulla oblongata;fetal brain;cerebellum peduncles;prefrontal cortex;caudate nucleus;cingulate cortex;cerebellum;</t>
  </si>
  <si>
    <t xml:space="preserve">CMA1</t>
  </si>
  <si>
    <t xml:space="preserve">TISSUE SPECIFICITY: Mast cells in lung, heart, skin and placenta. Expressed in both normal skin and in urticaria pigmentosa lesions. {ECO:0000269|PubMed:8144971}.; </t>
  </si>
  <si>
    <t xml:space="preserve">unclassifiable (Anatomical System);</t>
  </si>
  <si>
    <t xml:space="preserve">atrioventricular node;</t>
  </si>
  <si>
    <t xml:space="preserve">COL18A1</t>
  </si>
  <si>
    <t xml:space="preserve">TISSUE SPECIFICITY: Present in multiple organs with highest levels in liver, lung and kidney.; </t>
  </si>
  <si>
    <t xml:space="preserve">myocardium;ovary;salivary gland;colon;parathyroid;fovea centralis;choroid;skin;retina;bone marrow;uterus;prostate;optic nerve;cerebral cortex;endometrium;larynx;bone;thyroid;iris;pituitary gland;testis;amniotic fluid;spinal ganglion;brain;artery;unclassifiable (Anatomical System);lymph node;cartilage;heart;islets of Langerhans;hypothalamus;blood;lens;breast;bile duct;pancreas;lung;epididymis;placenta;macula lutea;visual apparatus;liver;spleen;head and neck;kidney;mammary gland;aorta;stomach;peripheral nerve;</t>
  </si>
  <si>
    <t xml:space="preserve">liver;trigeminal ganglion;</t>
  </si>
  <si>
    <t xml:space="preserve">COL4A3BP</t>
  </si>
  <si>
    <t xml:space="preserve">unclassifiable (Anatomical System);medulla oblongata;heart;colon;parathyroid;blood;fovea centralis;skin;skeletal muscle;retina;breast;uterus;pancreas;prostate;whole body;lung;frontal lobe;placenta;bone;thyroid;macula lutea;visual apparatus;testis;germinal center;kidney;brain;stomach;</t>
  </si>
  <si>
    <t xml:space="preserve">amygdala;testis - interstitial;occipital lobe;prefrontal cortex;skeletal muscle;parietal lobe;</t>
  </si>
  <si>
    <t xml:space="preserve">COL5A3</t>
  </si>
  <si>
    <t xml:space="preserve">unclassifiable (Anatomical System);medulla oblongata;cartilage;heart;ovary;muscle;urinary;colon;parathyroid;choroid;skin;retina;whole body;lung;adrenal gland;bone;placenta;liver;testis;spleen;kidney;spinal ganglion;brain;mammary gland;</t>
  </si>
  <si>
    <t xml:space="preserve">amygdala;dorsal root ganglion;subthalamic nucleus;occipital lobe;superior cervical ganglion;adipose tissue;prefrontal cortex;globus pallidus;pons;caudate nucleus;cingulate cortex;</t>
  </si>
  <si>
    <t xml:space="preserve">COL9A3</t>
  </si>
  <si>
    <t xml:space="preserve">ovary;colon;parathyroid;fovea centralis;choroid;skin;retina;bone marrow;uterus;prostate;optic nerve;whole body;cochlea;cerebral cortex;endometrium;thyroid;bone;testis;brain;tonsil;unclassifiable (Anatomical System);heart;cartilage;tongue;islets of Langerhans;blood;lens;pancreas;lung;placenta;macula lutea;visual apparatus;hippocampus;head and neck;kidney;stomach;</t>
  </si>
  <si>
    <t xml:space="preserve">olfactory bulb;hypothalamus;thyroid;spinal cord;caudate nucleus;</t>
  </si>
  <si>
    <t xml:space="preserve">CREB3</t>
  </si>
  <si>
    <t xml:space="preserve">TISSUE SPECIFICITY: Expressed in dendritic cells (DC). Weakly expressed in monocytes (at protein level). Ubiquitous. {ECO:0000269|PubMed:10675342, ECO:0000269|PubMed:19779205, ECO:0000269|PubMed:20546900, ECO:0000269|PubMed:9271389, ECO:0000269|PubMed:9389645}.; </t>
  </si>
  <si>
    <t xml:space="preserve">medulla oblongata;smooth muscle;ovary;skin;retina;bone marrow;prostate;optic nerve;frontal lobe;endometrium;thyroid;iris;germinal center;bladder;brain;heart;cartilage;urinary;pharynx;blood;lens;skeletal muscle;breast;visual apparatus;liver;alveolus;spleen;cervix;salivary gland;developmental;intestine;colon;parathyroid;choroid;uterus;whole body;bone;testis;pineal gland;unclassifiable (Anatomical System);lymph node;islets of Langerhans;hypothalamus;muscle;pancreas;lung;cornea;placenta;hippocampus;duodenum;hypopharynx;amnion;head and neck;kidney;stomach;</t>
  </si>
  <si>
    <t xml:space="preserve">CSNK1D</t>
  </si>
  <si>
    <t xml:space="preserve">TISSUE SPECIFICITY: Expressed in all tissues examined, including brain, heart, lung, liver, pancreas, kidney, placenta and skeletal muscle. However, kinase activity is not uniform, with highest kinase activity in splenocytes. In blood, highly expressed in hemopoietic cells and mature granulocytes. Also found in monocytes and lymphocytes. {ECO:0000269|PubMed:15070676, ECO:0000269|PubMed:16027726}.; </t>
  </si>
  <si>
    <t xml:space="preserve">lymphoreticular;medulla oblongata;ovary;salivary gland;sympathetic chain;colon;choroid;skin;retina;bone marrow;uterus;prostate;optic nerve;frontal lobe;cerebral cortex;endometrium;larynx;bone;thyroid;testis;germinal center;spinal ganglion;brain;bladder;tonsil;unclassifiable (Anatomical System);lymph node;cartilage;heart;islets of Langerhans;muscle;blood;lens;skeletal muscle;breast;bile duct;pancreas;lung;mesenchyma;placenta;visual apparatus;alveolus;liver;cervix;head and neck;kidney;mammary gland;aorta;stomach;thymus;</t>
  </si>
  <si>
    <t xml:space="preserve">superior cervical ganglion;testis - interstitial;testis - seminiferous tubule;testis;</t>
  </si>
  <si>
    <t xml:space="preserve">CTBP2</t>
  </si>
  <si>
    <t xml:space="preserve">TISSUE SPECIFICITY: Ubiquitous. Highest levels in heart, skeletal muscle, and pancreas.; </t>
  </si>
  <si>
    <t xml:space="preserve">ovary;skin;retina;bone marrow;prostate;optic nerve;endometrium;thyroid;germinal center;bladder;brain;heart;cartilage;tongue;adrenal cortex;pharynx;blood;lens;breast;trabecular meshwork;macula lutea;visual apparatus;liver;spleen;cervix;mammary gland;salivary gland;intestine;colon;parathyroid;fovea centralis;choroid;vein;uterus;whole body;oesophagus;cerebral cortex;larynx;synovium;bone;testis;unclassifiable (Anatomical System);lacrimal gland;islets of Langerhans;hypothalamus;muscle;pancreas;lung;adrenal gland;placenta;head and neck;kidney;stomach;cerebellum;</t>
  </si>
  <si>
    <t xml:space="preserve">superior cervical ganglion;ciliary ganglion;trigeminal ganglion;skeletal muscle;</t>
  </si>
  <si>
    <t xml:space="preserve">CTDP1</t>
  </si>
  <si>
    <t xml:space="preserve">TISSUE SPECIFICITY: Ubiquitously expressed. {ECO:0000269|PubMed:9765293}.; </t>
  </si>
  <si>
    <t xml:space="preserve">lymphoreticular;ovary;developmental;colon;parathyroid;fovea centralis;choroid;skin;retina;bone marrow;uterus;optic nerve;endometrium;thyroid;testis;germinal center;brain;unclassifiable (Anatomical System);heart;cartilage;islets of Langerhans;blood;lens;skeletal muscle;breast;pancreas;lung;placenta;macula lutea;visual apparatus;liver;spleen;kidney;mammary gland;stomach;cerebellum;</t>
  </si>
  <si>
    <t xml:space="preserve">testis;</t>
  </si>
  <si>
    <t xml:space="preserve">CTDSP2</t>
  </si>
  <si>
    <t xml:space="preserve">TISSUE SPECIFICITY: Expression is restricted to non-neuronal tissues. Highest expression in pancreas and lowest in liver. {ECO:0000269|PubMed:15681389}.; </t>
  </si>
  <si>
    <t xml:space="preserve">CYP27A1</t>
  </si>
  <si>
    <t xml:space="preserve">ovary;sympathetic chain;colon;choroid;skin;retina;uterus;prostate;optic nerve;frontal lobe;endometrium;thyroid;bone;pituitary gland;testis;spinal ganglion;brain;unclassifiable (Anatomical System);lymph node;heart;cartilage;hypothalamus;blood;lens;skeletal muscle;pancreas;lung;liver;alveolus;spleen;kidney;mammary gland;stomach;</t>
  </si>
  <si>
    <t xml:space="preserve">liver;kidney;</t>
  </si>
  <si>
    <t xml:space="preserve">DCC</t>
  </si>
  <si>
    <t xml:space="preserve">TISSUE SPECIFICITY: Found in axons of the central and peripheral nervous system and in differentiated cell types of the intestine. Not expressed in colorectal tumor cells that lost their capacity to differentiate into mucus producing cells. {ECO:0000269|PubMed:7926722}.; </t>
  </si>
  <si>
    <t xml:space="preserve">unclassifiable (Anatomical System);lung;testis;skeletal muscle;</t>
  </si>
  <si>
    <t xml:space="preserve">superior cervical ganglion;atrioventricular node;</t>
  </si>
  <si>
    <t xml:space="preserve">DCLRE1C</t>
  </si>
  <si>
    <t xml:space="preserve">TISSUE SPECIFICITY: Ubiquitously expressed, with highest levels in the kidney, lung, pancreas and placenta (at the mRNA level). Expression is not increased in thymus or bone marrow, sites of V(D)J recombination. {ECO:0000269|PubMed:11336668}.; </t>
  </si>
  <si>
    <t xml:space="preserve">fovea centralis;choroid;retina;uterus;prostate;optic nerve;frontal lobe;endometrium;thyroid;testis;germinal center;brain;tonsil;unclassifiable (Anatomical System);heart;lacrimal gland;islets of Langerhans;blood;lens;lung;placenta;macula lutea;liver;spleen;head and neck;cervix;kidney;</t>
  </si>
  <si>
    <t xml:space="preserve">dorsal root ganglion;superior cervical ganglion;subthalamic nucleus;tongue;ciliary ganglion;white blood cells;atrioventricular node;trigeminal ganglion;parietal lobe;skin;skeletal muscle;</t>
  </si>
  <si>
    <t xml:space="preserve">DCLRE1CP1</t>
  </si>
  <si>
    <t xml:space="preserve">DNA cross-link repair 1C pseudogene 1</t>
  </si>
  <si>
    <t xml:space="preserve">DEPDC5</t>
  </si>
  <si>
    <t xml:space="preserve">TISSUE SPECIFICITY: Expressed in developing and adult brain. {ECO:0000269|PubMed:23542701}.; </t>
  </si>
  <si>
    <t xml:space="preserve">unclassifiable (Anatomical System);lymph node;ovary;muscle;colon;blood;skeletal muscle;bone marrow;breast;uterus;pancreas;lung;frontal lobe;nasopharynx;bone;liver;head and neck;germinal center;spinal ganglion;thymus;</t>
  </si>
  <si>
    <t xml:space="preserve">subthalamic nucleus;superior cervical ganglion;testis - seminiferous tubule;atrioventricular node;pons;trigeminal ganglion;parietal lobe;skeletal muscle;</t>
  </si>
  <si>
    <t xml:space="preserve">DGKZ</t>
  </si>
  <si>
    <t xml:space="preserve">TISSUE SPECIFICITY: Highest levels in brain, and substantial levels in skeletal muscle, heart, and pancreas. Isoform 1 is predominantly expressed in muscle.; </t>
  </si>
  <si>
    <t xml:space="preserve">unclassifiable (Anatomical System);lymph node;ovary;heart;colon;blood;choroid;skin;bone marrow;uterus;lung;endometrium;bone;placenta;visual apparatus;hippocampus;testis;cervix;spleen;germinal center;kidney;brain;mammary gland;bladder;stomach;thymus;</t>
  </si>
  <si>
    <t xml:space="preserve">DHX36</t>
  </si>
  <si>
    <t xml:space="preserve">TISSUE SPECIFICITY: Highly expressed in testis. {ECO:0000269|PubMed:12198572, ECO:0000269|PubMed:14731398}.; </t>
  </si>
  <si>
    <t xml:space="preserve">lymphoreticular;ovary;salivary gland;sympathetic chain;intestine;colon;parathyroid;skin;retina;bone marrow;uterus;prostate;frontal lobe;cochlea;endometrium;larynx;bone;testis;germinal center;brain;bladder;unclassifiable (Anatomical System);lymph node;cartilage;heart;islets of Langerhans;pharynx;blood;lens;skeletal muscle;breast;bile duct;pancreas;lung;placenta;visual apparatus;liver;cervix;spleen;head and neck;kidney;mammary gland;stomach;thymus;</t>
  </si>
  <si>
    <t xml:space="preserve">testis - interstitial;testis;</t>
  </si>
  <si>
    <t xml:space="preserve">DISC1</t>
  </si>
  <si>
    <t xml:space="preserve">disrupted in schizophrenia 1</t>
  </si>
  <si>
    <t xml:space="preserve">TISSUE SPECIFICITY: Ubiquitous. Highly expressed in the dentate gyrus of the hippocampus. Also expressed in the temporal and parahippocampal cortices and cells of the white matter. {ECO:0000269|PubMed:16510495}.; </t>
  </si>
  <si>
    <t xml:space="preserve">superior cervical ganglion;atrioventricular node;pons;</t>
  </si>
  <si>
    <t xml:space="preserve">DLGAP4-AS1</t>
  </si>
  <si>
    <t xml:space="preserve">DMP1</t>
  </si>
  <si>
    <t xml:space="preserve">TISSUE SPECIFICITY: Expressed in tooth particularly in odontoblast, ameloblast and cementoblast.; </t>
  </si>
  <si>
    <t xml:space="preserve">whole body;</t>
  </si>
  <si>
    <t xml:space="preserve">superior cervical ganglion;testis - seminiferous tubule;temporal lobe;ciliary ganglion;atrioventricular node;trigeminal ganglion;skeletal muscle;</t>
  </si>
  <si>
    <t xml:space="preserve">DMPK</t>
  </si>
  <si>
    <t xml:space="preserve">TISSUE SPECIFICITY: Most isoforms are expressed in many tissues including heart, skeletal muscle, liver and brain, except for isoform 2 which is only found in the heart and skeletal muscle, and isoform 14 which is only found in the brain, with high levels in the striatum, cerebellar cortex and pons. {ECO:0000269|PubMed:7488138}.; </t>
  </si>
  <si>
    <t xml:space="preserve">ovary;colon;skin;retina;uterus;prostate;frontal lobe;larynx;thyroid;iris;testis;germinal center;brain;spinal ganglion;tonsil;unclassifiable (Anatomical System);muscle;lens;lung;mesenchyma;placenta;liver;head and neck;cervix;kidney;stomach;</t>
  </si>
  <si>
    <t xml:space="preserve">superior cervical ganglion;atrioventricular node;pons;trigeminal ganglion;skeletal muscle;</t>
  </si>
  <si>
    <t xml:space="preserve">DNAAF3</t>
  </si>
  <si>
    <t xml:space="preserve">DNAH5</t>
  </si>
  <si>
    <t xml:space="preserve">unclassifiable (Anatomical System);endometrium;islets of Langerhans;bone;amnion;blood;kidney;mammary gland;corpus callosum;</t>
  </si>
  <si>
    <t xml:space="preserve">dorsal root ganglion;superior cervical ganglion;ciliary ganglion;atrioventricular node;skeletal muscle;</t>
  </si>
  <si>
    <t xml:space="preserve">DPM1</t>
  </si>
  <si>
    <t xml:space="preserve">dolichyl-phosphate mannosyltransferase polypeptide 1, catalytic subunit</t>
  </si>
  <si>
    <t xml:space="preserve">DPM2</t>
  </si>
  <si>
    <t xml:space="preserve">medulla oblongata;ovary;salivary gland;intestine;colon;parathyroid;fovea centralis;choroid;skin;retina;uterus;prostate;optic nerve;whole body;endometrium;larynx;bone;thyroid;iris;testis;germinal center;brain;bladder;unclassifiable (Anatomical System);cartilage;heart;islets of Langerhans;muscle;pharynx;blood;lens;skeletal muscle;breast;pancreas;lung;adrenal gland;placenta;macula lutea;visual apparatus;hypopharynx;duodenum;liver;spleen;head and neck;cervix;kidney;mammary gland;stomach;thymus;</t>
  </si>
  <si>
    <t xml:space="preserve">DSCC1</t>
  </si>
  <si>
    <t xml:space="preserve">unclassifiable (Anatomical System);ovary;colon;retina;bone marrow;uterus;pancreas;prostate;lung;endometrium;placenta;visual apparatus;liver;testis;cervix;spleen;germinal center;kidney;brain;mammary gland;stomach;cerebellum;</t>
  </si>
  <si>
    <t xml:space="preserve">ECHDC3</t>
  </si>
  <si>
    <t xml:space="preserve">EEF2KMT</t>
  </si>
  <si>
    <t xml:space="preserve">EIF2B2</t>
  </si>
  <si>
    <t xml:space="preserve">lymphoreticular;medulla oblongata;ovary;colon;parathyroid;fovea centralis;choroid;skin;retina;bone marrow;uterus;prostate;optic nerve;whole body;frontal lobe;endometrium;larynx;bone;thyroid;testis;germinal center;brain;tonsil;unclassifiable (Anatomical System);lymph node;cartilage;heart;islets of Langerhans;blood;lens;skeletal muscle;breast;pancreas;lung;adrenal gland;placenta;macula lutea;visual apparatus;duodenum;liver;head and neck;spleen;cervix;kidney;aorta;stomach;</t>
  </si>
  <si>
    <t xml:space="preserve">superior cervical ganglion;globus pallidus;testis;ciliary ganglion;trigeminal ganglion;skeletal muscle;</t>
  </si>
  <si>
    <t xml:space="preserve">EMBP1</t>
  </si>
  <si>
    <t xml:space="preserve">ENPP1</t>
  </si>
  <si>
    <t xml:space="preserve">TISSUE SPECIFICITY: Expressed in plasma cells and also in a number of non-lymphoid tissues, including the distal convoluted tubule of the kidney, chondrocytes and epididymis. {ECO:0000269|PubMed:9344668}.; </t>
  </si>
  <si>
    <t xml:space="preserve">unclassifiable (Anatomical System);cartilage;heart;ovary;islets of Langerhans;colon;parathyroid;blood;skin;skeletal muscle;breast;uterus;whole body;lung;bone;placenta;liver;testis;spleen;kidney;brain;</t>
  </si>
  <si>
    <t xml:space="preserve">dorsal root ganglion;thyroid;ciliary ganglion;atrioventricular node;pons;skeletal muscle;</t>
  </si>
  <si>
    <t xml:space="preserve">EP300</t>
  </si>
  <si>
    <t xml:space="preserve">ovary;salivary gland;intestine;colon;parathyroid;skin;retina;bone marrow;uterus;prostate;atrium;whole body;frontal lobe;cerebral cortex;endometrium;larynx;thyroid;testis;amniotic fluid;germinal center;spinal ganglion;brain;bladder;unclassifiable (Anatomical System);lymph node;cartilage;heart;adrenal cortex;pharynx;blood;breast;lung;epididymis;nasopharynx;placenta;visual apparatus;duodenum;liver;spleen;head and neck;kidney;mammary gland;stomach;thymus;</t>
  </si>
  <si>
    <t xml:space="preserve">testis - interstitial;superior cervical ganglion;ciliary ganglion;pons;trigeminal ganglion;skeletal muscle;parietal lobe;</t>
  </si>
  <si>
    <t xml:space="preserve">EXO1</t>
  </si>
  <si>
    <t xml:space="preserve">TISSUE SPECIFICITY: Highly expressed in bone marrow, testis and thymus. Expressed at lower levels in colon, lymph nodes, ovary, placenta, prostate, small intestine, spleen and stomach. {ECO:0000269|PubMed:10856833, ECO:0000269|PubMed:9685493, ECO:0000269|PubMed:9788596, ECO:0000269|PubMed:9823303}.; </t>
  </si>
  <si>
    <t xml:space="preserve">ovary;parathyroid;skin;uterus;cochlea;endometrium;larynx;bone;testis;germinal center;brain;unclassifiable (Anatomical System);heart;cartilage;adrenal cortex;breast;lung;placenta;visual apparatus;liver;spleen;head and neck;cervix;kidney;stomach;thymus;</t>
  </si>
  <si>
    <t xml:space="preserve">ciliary ganglion;</t>
  </si>
  <si>
    <t xml:space="preserve">EXOC5</t>
  </si>
  <si>
    <t xml:space="preserve">TISSUE SPECIFICITY: Ubiquitous. {ECO:0000269|PubMed:9119050}.; </t>
  </si>
  <si>
    <t xml:space="preserve">ovary;skin;retina;prostate;optic nerve;endometrium;thyroid;germinal center;brain;gall bladder;amygdala;heart;cartilage;adrenal cortex;blood;lens;skeletal muscle;breast;visual apparatus;macula lutea;liver;alveolus;cervix;mammary gland;peripheral nerve;colon;parathyroid;choroid;fovea centralis;uterus;whole body;larynx;bone;pituitary gland;testis;artery;pineal gland;unclassifiable (Anatomical System);lymph node;islets of Langerhans;hypothalamus;bile duct;lung;nasopharynx;placenta;hippocampus;head and neck;kidney;stomach;aorta;</t>
  </si>
  <si>
    <t xml:space="preserve">EXOSC7</t>
  </si>
  <si>
    <t xml:space="preserve">ovary;salivary gland;intestine;colon;parathyroid;fovea centralis;choroid;skin;retina;uterus;prostate;optic nerve;cochlea;endometrium;larynx;bone;thyroid;pituitary gland;testis;germinal center;brain;bladder;tonsil;unclassifiable (Anatomical System);cartilage;heart;muscle;pharynx;blood;lens;skeletal muscle;breast;bile duct;pancreas;lung;cornea;nasopharynx;placenta;macula lutea;visual apparatus;duodenum;liver;head and neck;kidney;mammary gland;stomach;cerebellum;</t>
  </si>
  <si>
    <t xml:space="preserve">dorsal root ganglion;testis - interstitial;superior cervical ganglion;adrenal gland;tumor;testis;atrioventricular node;pons;trigeminal ganglion;skeletal muscle;</t>
  </si>
  <si>
    <t xml:space="preserve">FAM104B</t>
  </si>
  <si>
    <t xml:space="preserve">breast;prostate;bone;liver;spleen;kidney;skin;</t>
  </si>
  <si>
    <t xml:space="preserve">dorsal root ganglion;superior cervical ganglion;ciliary ganglion;trigeminal ganglion;</t>
  </si>
  <si>
    <t xml:space="preserve">FAM179A</t>
  </si>
  <si>
    <t xml:space="preserve">FAM184B</t>
  </si>
  <si>
    <t xml:space="preserve">ovary;parathyroid;fovea centralis;choroid;skin;retina;bone marrow;uterus;prostate;optic nerve;endometrium;bone;testis;brain;unclassifiable (Anatomical System);lymph node;heart;lacrimal gland;hypothalamus;blood;lens;skeletal muscle;pancreas;lung;placenta;macula lutea;visual apparatus;liver;spleen;mammary gland;stomach;cerebellum;</t>
  </si>
  <si>
    <t xml:space="preserve">FAM20C</t>
  </si>
  <si>
    <t xml:space="preserve">TISSUE SPECIFICITY: Widely expressed. {ECO:0000269|PubMed:15676076}.; </t>
  </si>
  <si>
    <t xml:space="preserve">unclassifiable (Anatomical System);ovary;kidney;brain;</t>
  </si>
  <si>
    <t xml:space="preserve">kidney;</t>
  </si>
  <si>
    <t xml:space="preserve">FAM65B</t>
  </si>
  <si>
    <t xml:space="preserve">TISSUE SPECIFICITY: Expressed in muscle. Isoform 1 is present in the brain. Isoform 2 is expressed during differentiation of fetal primary myoblasts. Also shows marked expression during cytotrophoblast differentiation. {ECO:0000269|PubMed:17150207, ECO:0000269|PubMed:24687993, ECO:0000269|PubMed:9055809}.; </t>
  </si>
  <si>
    <t xml:space="preserve">lymphoreticular;ovary;colon;parathyroid;skin;bone marrow;uterus;whole body;thyroid;testis;germinal center;brain;unclassifiable (Anatomical System);amygdala;lymph node;heart;cartilage;blood;skeletal muscle;pancreas;lung;nasopharynx;placenta;visual apparatus;liver;spleen;aorta;</t>
  </si>
  <si>
    <t xml:space="preserve">amygdala;dorsal root ganglion;superior cervical ganglion;ciliary ganglion;white blood cells;trigeminal ganglion;whole blood;</t>
  </si>
  <si>
    <t xml:space="preserve">FAM72A</t>
  </si>
  <si>
    <t xml:space="preserve">TISSUE SPECIFICITY: May be up-regulated in malignant colon cancers, compared to normal colon and colon adenomas. Expression is also elevated in other common cancer types, including breast, lung, uterus, and ovary. {ECO:0000269|PubMed:18676834}.; </t>
  </si>
  <si>
    <t xml:space="preserve">ovary;colon;skin;uterus;prostate;whole body;larynx;thyroid;bone;testis;germinal center;bladder;unclassifiable (Anatomical System);heart;cartilage;blood;skeletal muscle;breast;pancreas;lung;placenta;visual apparatus;duodenum;spleen;head and neck;mammary gland;stomach;</t>
  </si>
  <si>
    <t xml:space="preserve">FAM86DP</t>
  </si>
  <si>
    <t xml:space="preserve">FBN3</t>
  </si>
  <si>
    <t xml:space="preserve">TISSUE SPECIFICITY: Predominantly expressed in connective tissues such as skeletal muscle, tendon, skin, perichondrium and periosteum. Highly expressed in fetal lung, brain, kidney. Expressed at low level in prostate, testis, mammary gland, uterus, ovary, placenta, bladder, adrenal gland, thyroid, fetal thymus, fetal liver, liver, fetal heart and heart. {ECO:0000269|PubMed:14962672}.; </t>
  </si>
  <si>
    <t xml:space="preserve">unclassifiable (Anatomical System);uterus;lung;whole body;adrenal medulla;brain;stomach;</t>
  </si>
  <si>
    <t xml:space="preserve">superior cervical ganglion;ciliary ganglion;</t>
  </si>
  <si>
    <t xml:space="preserve">FIBCD1</t>
  </si>
  <si>
    <t xml:space="preserve">TISSUE SPECIFICITY: Expressed in the small and large intestinal epithelial cells with a highly polarized localization to the apical surface corresponding to the brush border and in the ducts of the salivary gland. {ECO:0000269|PubMed:19710473}.; </t>
  </si>
  <si>
    <t xml:space="preserve">unclassifiable (Anatomical System);lung;hippocampus;adrenal cortex;cervix;</t>
  </si>
  <si>
    <t xml:space="preserve">dorsal root ganglion;subthalamic nucleus;superior cervical ganglion;temporal lobe;globus pallidus;ciliary ganglion;atrioventricular node;pons;trigeminal ganglion;skeletal muscle;skin;</t>
  </si>
  <si>
    <t xml:space="preserve">FLNC</t>
  </si>
  <si>
    <t xml:space="preserve">TISSUE SPECIFICITY: Highly expressed in striated muscles. Weakly expressed in thyroid, fetal brain, fetal lung, retina, spinal cord and bone marrow. Not expressed in testis, pancreas, adrenal gland, placenta, liver and kidney. {ECO:0000269|PubMed:11038172, ECO:0000269|PubMed:7689010, ECO:0000269|PubMed:9791010}.; </t>
  </si>
  <si>
    <t xml:space="preserve">myocardium;ovary;colon;parathyroid;skin;bone marrow;uterus;prostate;optic nerve;whole body;frontal lobe;endometrium;larynx;testis;brain;bladder;unclassifiable (Anatomical System);amygdala;cartilage;heart;tongue;spinal cord;muscle;blood;skeletal muscle;breast;pancreas;lung;mesenchyma;epididymis;placenta;visual apparatus;hippocampus;liver;spleen;head and neck;kidney;peripheral nerve;</t>
  </si>
  <si>
    <t xml:space="preserve">heart;tongue;fetal thyroid;trigeminal ganglion;skeletal muscle;</t>
  </si>
  <si>
    <t xml:space="preserve">FNIP2</t>
  </si>
  <si>
    <t xml:space="preserve">TISSUE SPECIFICITY: Widely expressed with highest levels in muscle, nasal mucosa, salivary gland, uvula, fat, liver, heart, placenta and pancreas. Moderately expressed in the lung, small intestine, kidney and brain. Lower levels detected in renal cell carcinoma than in normal kidney tissue. Higher levels detected in oncocytoma than in normal kidney. {ECO:0000269|PubMed:18403135, ECO:0000269|PubMed:18663353}.; </t>
  </si>
  <si>
    <t xml:space="preserve">lymphoreticular;ovary;colon;parathyroid;skin;uterus;thyroid;bone;testis;amniotic fluid;brain;unclassifiable (Anatomical System);heart;lacrimal gland;islets of Langerhans;hypothalamus;blood;lens;skeletal muscle;lung;placenta;liver;hypopharynx;spleen;head and neck;kidney;stomach;</t>
  </si>
  <si>
    <t xml:space="preserve">dorsal root ganglion;superior cervical ganglion;globus pallidus;ciliary ganglion;atrioventricular node;trigeminal ganglion;</t>
  </si>
  <si>
    <t xml:space="preserve">FNTB</t>
  </si>
  <si>
    <t xml:space="preserve">0.17200103905538</t>
  </si>
  <si>
    <t xml:space="preserve">farnesyltransferase, CAAX box, beta</t>
  </si>
  <si>
    <t xml:space="preserve">myocardium;ovary;salivary gland;intestine;colon;fovea centralis;choroid;skin;retina;bone marrow;uterus;prostate;optic nerve;frontal lobe;endometrium;synovium;bone;iris;testis;brain;bladder;unclassifiable (Anatomical System);amygdala;lymph node;cartilage;heart;cerebellum cortex;hypothalamus;pharynx;blood;lens;breast;pancreas;lung;epididymis;trabecular meshwork;placenta;macula lutea;visual apparatus;liver;spleen;cervix;kidney;mammary gland;stomach;cerebellum;</t>
  </si>
  <si>
    <t xml:space="preserve">dorsal root ganglion;superior cervical ganglion;spinal cord;testis;ciliary ganglion;atrioventricular node;skeletal muscle;cerebellum;</t>
  </si>
  <si>
    <t xml:space="preserve">FPGT-TNNI3K</t>
  </si>
  <si>
    <t xml:space="preserve">1.84157554257575e-38</t>
  </si>
  <si>
    <t xml:space="preserve">FPGT-TNNI3K readthrough</t>
  </si>
  <si>
    <t xml:space="preserve">FUNCTION: May play a role in cardiac physiology. {ECO:0000303|PubMed:12721663}.; </t>
  </si>
  <si>
    <t xml:space="preserve">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t>
  </si>
  <si>
    <t xml:space="preserve">TISSUE SPECIFICITY: Highly expressed in both adult and fetal heart. {ECO:0000269|PubMed:12721663}.; </t>
  </si>
  <si>
    <t xml:space="preserve">unclassifiable (Anatomical System);uterus;lung;heart;liver;testis;kidney;skin;</t>
  </si>
  <si>
    <t xml:space="preserve">superior cervical ganglion;ciliary ganglion;atrioventricular node;trigeminal ganglion;</t>
  </si>
  <si>
    <t xml:space="preserve">GABBR1</t>
  </si>
  <si>
    <t xml:space="preserve">TISSUE SPECIFICITY: Highly expressed in brain and weakly in heart, small intestine and uterus. Isoform 1A is mostly expressed in granular cell and molecular layer. Isoform 1B is mostly expressed in Purkinje cells. Isoform 1E is predominantly expressed in peripheral tissues as kidney, lung, trachea, colon, small intestine, stomach, bone marrow, thymus and mammary gland. {ECO:0000269|PubMed:9844003}.; </t>
  </si>
  <si>
    <t xml:space="preserve">ovary;sympathetic chain;colon;substantia nigra;fovea centralis;choroid;retina;uterus;optic nerve;frontal lobe;endometrium;larynx;testis;brain;unclassifiable (Anatomical System);amygdala;lymph node;heart;cartilage;tongue;lens;skeletal muscle;breast;pancreas;lung;nasopharynx;macula lutea;liver;spleen;head and neck;kidney;mammary gland;stomach;aorta;</t>
  </si>
  <si>
    <t xml:space="preserve">GABPB1</t>
  </si>
  <si>
    <t xml:space="preserve">lymphoreticular;ovary;salivary gland;intestine;colon;parathyroid;fovea centralis;choroid;skin;retina;bone marrow;uterus;prostate;optic nerve;whole body;endometrium;larynx;bone;thyroid;pituitary gland;testis;germinal center;brain;bladder;unclassifiable (Anatomical System);lymph node;cartilage;heart;islets of Langerhans;pharynx;blood;lens;skeletal muscle;breast;lung;nasopharynx;placenta;macula lutea;visual apparatus;hypopharynx;liver;cervix;spleen;head and neck;kidney;stomach;</t>
  </si>
  <si>
    <t xml:space="preserve">dorsal root ganglion;superior cervical ganglion;ciliary ganglion;atrioventricular node;trigeminal ganglion;</t>
  </si>
  <si>
    <t xml:space="preserve">GALC</t>
  </si>
  <si>
    <t xml:space="preserve">TISSUE SPECIFICITY: Detected in urine. Detected in testis, brain and placenta (at protein level). Detected in kidney and liver. {ECO:0000269|PubMed:8399327}.; </t>
  </si>
  <si>
    <t xml:space="preserve">smooth muscle;ovary;salivary gland;intestine;colon;parathyroid;fovea centralis;choroid;skin;retina;bone marrow;uterus;prostate;optic nerve;whole body;frontal lobe;bone;thyroid;pituitary gland;testis;brain;bladder;gall bladder;unclassifiable (Anatomical System);lymph node;cartilage;heart;islets of Langerhans;pharynx;blood;lens;skeletal muscle;breast;lung;adrenal gland;placenta;macula lutea;visual apparatus;liver;amnion;spleen;head and neck;kidney;stomach;</t>
  </si>
  <si>
    <t xml:space="preserve">dorsal root ganglion;superior cervical ganglion;olfactory bulb;hypothalamus;spinal cord;ciliary ganglion;atrioventricular node;trigeminal ganglion;skeletal muscle;parietal lobe;</t>
  </si>
  <si>
    <t xml:space="preserve">GARS</t>
  </si>
  <si>
    <t xml:space="preserve">TISSUE SPECIFICITY: Widely expressed, including brain and spinal cord. {ECO:0000269|PubMed:12690580}.; </t>
  </si>
  <si>
    <t xml:space="preserve">GGT1</t>
  </si>
  <si>
    <t xml:space="preserve">TISSUE SPECIFICITY: Detected in fetal and adult kidney and liver, adult pancreas, stomach, intestine, placenta and lung. Isoform 3 is lung-specific. There are several other tissue-specific forms that arise from alternative promoter usage but that produce the same protein.; </t>
  </si>
  <si>
    <t xml:space="preserve">unclassifiable (Anatomical System);cartilage;heart;tongue;colon;fovea centralis;choroid;lens;retina;breast;uterus;pancreas;prostate;optic nerve;lung;frontal lobe;macula lutea;liver;testis;head and neck;spleen;kidney;mammary gland;stomach;</t>
  </si>
  <si>
    <t xml:space="preserve">GGTLC2</t>
  </si>
  <si>
    <t xml:space="preserve">TISSUE SPECIFICITY: Placenta and sigmoid tissues.; </t>
  </si>
  <si>
    <t xml:space="preserve">GHR</t>
  </si>
  <si>
    <t xml:space="preserve">TISSUE SPECIFICITY: Expressed in various tissues with high expression in liver and skeletal muscle. Isoform 4 is predominantly expressed in kidney, bladder, adrenal gland and brain stem. Isoform 1 expression in placenta is predominant in chorion and decidua. Isoform 4 is highly expressed in placental villi. Isoform 2 is expressed in lung, stomach and muscle. Low levels in liver.; </t>
  </si>
  <si>
    <t xml:space="preserve">ovary;salivary gland;sympathetic chain;intestine;colon;parathyroid;skin;uterus;prostate;whole body;cochlea;larynx;bone;testis;brain;bladder;unclassifiable (Anatomical System);heart;cartilage;pharynx;blood;skeletal muscle;pancreas;lung;cornea;placenta;visual apparatus;liver;spleen;head and neck;kidney;mammary gland;</t>
  </si>
  <si>
    <t xml:space="preserve">superior cervical ganglion;adipose tissue;liver;trigeminal ganglion;</t>
  </si>
  <si>
    <t xml:space="preserve">GIGYF2</t>
  </si>
  <si>
    <t xml:space="preserve">GK5</t>
  </si>
  <si>
    <t xml:space="preserve">GNA11</t>
  </si>
  <si>
    <t xml:space="preserve">TISSUE SPECIFICITY: Expressed in testis. {ECO:0000269|PubMed:18703424}.; </t>
  </si>
  <si>
    <t xml:space="preserve">ovary;salivary gland;intestine;colon;parathyroid;skin;retina;bone marrow;uterus;prostate;optic nerve;whole body;synovium;bone;thyroid;testis;amniotic fluid;brain;bladder;unclassifiable (Anatomical System);cartilage;heart;islets of Langerhans;pharynx;blood;bile duct;lung;cornea;placenta;visual apparatus;liver;kidney;mammary gland;stomach;cerebellum;thymus;</t>
  </si>
  <si>
    <t xml:space="preserve">amygdala;medulla oblongata;testis - interstitial;occipital lobe;superior cervical ganglion;cerebellum peduncles;pons;skeletal muscle;prostate;testis - seminiferous tubule;adrenal gland;thyroid;prefrontal cortex;globus pallidus;testis;cingulate cortex;cerebellum;</t>
  </si>
  <si>
    <t xml:space="preserve">HDAC4</t>
  </si>
  <si>
    <t xml:space="preserve">myocardium;ovary;colon;parathyroid;fovea centralis;choroid;skin;retina;bone marrow;uterus;prostate;optic nerve;whole body;frontal lobe;cochlea;endometrium;thyroid;bone;testis;amniotic fluid;brain;unclassifiable (Anatomical System);amygdala;heart;blood;lens;skeletal muscle;pancreas;lung;placenta;macula lutea;head and neck;kidney;mammary gland;stomach;</t>
  </si>
  <si>
    <t xml:space="preserve">HEXA</t>
  </si>
  <si>
    <t xml:space="preserve">medulla oblongata;ovary;colon;parathyroid;fovea centralis;choroid;skin;retina;bone marrow;uterus;prostate;optic nerve;frontal lobe;oesophagus;endometrium;synovium;bone;thyroid;iris;testis;germinal center;brain;tonsil;unclassifiable (Anatomical System);lymph node;cartilage;heart;muscle;adrenal cortex;blood;lens;breast;pancreas;lung;placenta;macula lutea;visual apparatus;liver;spleen;cervix;kidney;mammary gland;stomach;aorta;cerebellum;</t>
  </si>
  <si>
    <t xml:space="preserve">superior cervical ganglion;thyroid;placenta;kidney;</t>
  </si>
  <si>
    <t xml:space="preserve">HLA-DRB1</t>
  </si>
  <si>
    <t xml:space="preserve">ovary;salivary gland;sympathetic chain;intestine;colon;parathyroid;choroid;skin;retina;bone marrow;uterus;prostate;frontal lobe;endometrium;oesophagus;bone;thyroid;testis;germinal center;brain;bladder;unclassifiable (Anatomical System);lymph node;cartilage;tongue;hypothalamus;pharynx;blood;skeletal muscle;breast;pancreas;lung;adrenal gland;epididymis;nasopharynx;placenta;visual apparatus;hypopharynx;liver;spleen;head and neck;kidney;mammary gland;stomach;thymus;</t>
  </si>
  <si>
    <t xml:space="preserve">HMGA2</t>
  </si>
  <si>
    <t xml:space="preserve">unclassifiable (Anatomical System);bile duct;prostate;bone;testis;colon;</t>
  </si>
  <si>
    <t xml:space="preserve">HR</t>
  </si>
  <si>
    <t xml:space="preserve">TISSUE SPECIFICITY: Strongest expression of isoforms 1 and 2 is seen in the small intestine, weaker expression in brain and colon, and trace expression is found in liver, pancreas, spleen, thymus, stomach, salivary gland, appendix and trachea. Isoform 1 is always the most abundant. Isoform 1 is exclusively expressed at low levels in kidney and testis. Isoform 2 is exclusively expressed at high levels in the skin. {ECO:0000269|PubMed:10051399, ECO:0000269|PubMed:9736769}.; </t>
  </si>
  <si>
    <t xml:space="preserve">unclassifiable (Anatomical System);heart;pineal body;colon;fovea centralis;choroid;lens;skin;retina;uterus;optic nerve;lung;frontal lobe;larynx;placenta;macula lutea;testis;head and neck;cervix;brain;bladder;stomach;</t>
  </si>
  <si>
    <t xml:space="preserve">dorsal root ganglion;superior cervical ganglion;subthalamic nucleus;globus pallidus;ciliary ganglion;atrioventricular node;trigeminal ganglion;skeletal muscle;</t>
  </si>
  <si>
    <t xml:space="preserve">HUWE1</t>
  </si>
  <si>
    <t xml:space="preserve">TISSUE SPECIFICITY: Weakly expressed in heart, brain and placenta but not in other tissues. Expressed in a number of cell lines, predominantly in those from colorectal carcinomas. {ECO:0000269|PubMed:15567145}.; </t>
  </si>
  <si>
    <t xml:space="preserve">lymphoreticular;smooth muscle;ovary;skin;bone marrow;retina;prostate;optic nerve;frontal lobe;endometrium;cochlea;thyroid;iris;germinal center;bladder;brain;cartilage;heart;pineal body;urinary;adrenal cortex;blood;lens;breast;epididymis;trabecular meshwork;macula lutea;visual apparatus;liver;spleen;cervix;mammary gland;colon;parathyroid;fovea centralis;choroid;uterus;whole body;oesophagus;cerebral cortex;larynx;bone;pituitary gland;testis;artery;unclassifiable (Anatomical System);lymph node;islets of Langerhans;bile duct;pancreas;lung;nasopharynx;placenta;hypopharynx;amnion;head and neck;kidney;stomach;aorta;thymus;</t>
  </si>
  <si>
    <t xml:space="preserve">superior cervical ganglion;testis - interstitial;testis;ciliary ganglion;pons;caudate nucleus;atrioventricular node;trigeminal ganglion;skin;parietal lobe;skeletal muscle;cerebellum;</t>
  </si>
  <si>
    <t xml:space="preserve">HYDIN</t>
  </si>
  <si>
    <t xml:space="preserve">unclassifiable (Anatomical System);lung;ovary;islets of Langerhans;thyroid;muscle;testis;kidney;brain;skeletal muscle;retina;</t>
  </si>
  <si>
    <t xml:space="preserve">dorsal root ganglion;subthalamic nucleus;superior cervical ganglion;cerebellum peduncles;globus pallidus;ciliary ganglion;atrioventricular node;trigeminal ganglion;skeletal muscle;parietal lobe;</t>
  </si>
  <si>
    <t xml:space="preserve">IGF1</t>
  </si>
  <si>
    <t xml:space="preserve">ovary;colon;parathyroid;skin;retina;uterus;prostate;whole body;cochlea;endometrium;bone;testis;artery;unclassifiable (Anatomical System);lymph node;cartilage;heart;islets of Langerhans;hypothalamus;blood;skeletal muscle;breast;pancreas;lung;adrenal gland;internal ear;placenta;visual apparatus;liver;spleen;head and neck;kidney;mammary gland;stomach;aorta;peripheral nerve;</t>
  </si>
  <si>
    <t xml:space="preserve">dorsal root ganglion;uterus;superior cervical ganglion;testis - interstitial;uterus corpus;adipose tissue;liver;testis;ciliary ganglion;atrioventricular node;skeletal muscle;</t>
  </si>
  <si>
    <t xml:space="preserve">IGF1R</t>
  </si>
  <si>
    <t xml:space="preserve">TISSUE SPECIFICITY: Found as a hybrid receptor with INSR in muscle, heart, kidney, adipose tissue, skeletal muscle, hepatoma, fibroblasts, spleen and placenta (at protein level). Expressed in a variety of tissues. Overexpressed in tumors, including melanomas, cancers of the colon, pancreas prostate and kidney. {ECO:0000269|PubMed:12019176, ECO:0000269|PubMed:8247543, ECO:0000269|PubMed:9202395, ECO:0000269|PubMed:9355755}.; </t>
  </si>
  <si>
    <t xml:space="preserve">ovary;colon;parathyroid;fovea centralis;choroid;skin;retina;uterus;optic nerve;frontal lobe;larynx;thyroid;bone;testis;brain;unclassifiable (Anatomical System);heart;islets of Langerhans;muscle;lens;skeletal muscle;bile duct;breast;pancreas;lung;epididymis;adrenal gland;placenta;macula lutea;liver;head and neck;kidney;mammary gland;</t>
  </si>
  <si>
    <t xml:space="preserve">superior cervical ganglion;prostate;prefrontal cortex;</t>
  </si>
  <si>
    <t xml:space="preserve">IGFN1</t>
  </si>
  <si>
    <t xml:space="preserve">TISSUE SPECIFICITY: Expressed in skeletal muscle. {ECO:0000269|PubMed:15385448}.; </t>
  </si>
  <si>
    <t xml:space="preserve">unclassifiable (Anatomical System);fovea centralis;choroid;lens;skeletal muscle;retina;optic nerve;whole body;larynx;thyroid;macula lutea;alveolus;liver;head and neck;spleen;kidney;</t>
  </si>
  <si>
    <t xml:space="preserve">IGSF3</t>
  </si>
  <si>
    <t xml:space="preserve">TISSUE SPECIFICITY: Expressed in a wide range of tissues with High expression in Placenta, kidney and lung. {ECO:0000269|PubMed:9790749}.; </t>
  </si>
  <si>
    <t xml:space="preserve">unclassifiable (Anatomical System);skeletal muscle;skin;retina;whole body;lung;placenta;thyroid;bone;hypopharynx;head and neck;kidney;brain;mammary gland;stomach;</t>
  </si>
  <si>
    <t xml:space="preserve">superior cervical ganglion;fetal brain;placenta;ciliary ganglion;skeletal muscle;</t>
  </si>
  <si>
    <t xml:space="preserve">INTS12</t>
  </si>
  <si>
    <t xml:space="preserve">smooth muscle;ovary;salivary gland;colon;parathyroid;fovea centralis;choroid;skin;retina;bone marrow;uterus;prostate;optic nerve;whole body;endometrium;bone;pituitary gland;testis;dura mater;germinal center;brain;bladder;unclassifiable (Anatomical System);meninges;lymph node;cartilage;heart;hypothalamus;pharynx;blood;lens;skeletal muscle;breast;bile duct;pia mater;lung;nasopharynx;placenta;macula lutea;visual apparatus;hippocampus;liver;spleen;cervix;kidney;stomach;</t>
  </si>
  <si>
    <t xml:space="preserve">testis - interstitial;atrioventricular node;</t>
  </si>
  <si>
    <t xml:space="preserve">INTS3</t>
  </si>
  <si>
    <t xml:space="preserve">ovary;salivary gland;sympathetic chain;colon;parathyroid;fovea centralis;choroid;skin;retina;uterus;prostate;optic nerve;frontal lobe;endometrium;larynx;bone;thyroid;testis;germinal center;brain;bladder;unclassifiable (Anatomical System);lymph node;cartilage;heart;islets of Langerhans;muscle;adrenal cortex;blood;lens;skeletal muscle;breast;pancreas;lung;placenta;macula lutea;visual apparatus;liver;spleen;head and neck;kidney;mammary gland;stomach;</t>
  </si>
  <si>
    <t xml:space="preserve">IRAIN</t>
  </si>
  <si>
    <t xml:space="preserve">IGF1R antisense imprinted non-protein coding RNA</t>
  </si>
  <si>
    <t xml:space="preserve">ISPD</t>
  </si>
  <si>
    <t xml:space="preserve">TISSUE SPECIFICITY: Ubiquitously expressed, with high expression in brain. {ECO:0000269|PubMed:22522420}.; </t>
  </si>
  <si>
    <t xml:space="preserve">ITCH</t>
  </si>
  <si>
    <t xml:space="preserve">ovary;salivary gland;intestine;colon;parathyroid;skin;retina;bone marrow;uterus;prostate;frontal lobe;larynx;bone;thyroid;testis;germinal center;brain;artery;bladder;unclassifiable (Anatomical System);cartilage;heart;islets of Langerhans;hypothalamus;muscle;adrenal cortex;pharynx;blood;skeletal muscle;breast;lung;cornea;placenta;visual apparatus;liver;spleen;head and neck;kidney;mammary gland;aorta;stomach;</t>
  </si>
  <si>
    <t xml:space="preserve">dorsal root ganglion;superior cervical ganglion;testis - interstitial;testis - seminiferous tubule;testis;ciliary ganglion;atrioventricular node;trigeminal ganglion;</t>
  </si>
  <si>
    <t xml:space="preserve">ITSN2</t>
  </si>
  <si>
    <t xml:space="preserve">TISSUE SPECIFICITY: Expressed in melanocytes (PubMed:23999003). Ubiquitous. Isoform 1 is primarily expressed in adult heart and liver. {ECO:0000269|PubMed:23999003}.; </t>
  </si>
  <si>
    <t xml:space="preserve">ovary;developmental;colon;skin;retina;bone marrow;uterus;prostate;whole body;frontal lobe;endometrium;larynx;bone;thyroid;testis;germinal center;brain;unclassifiable (Anatomical System);lymph node;cartilage;heart;islets of Langerhans;blood;skeletal muscle;breast;pancreas;lung;adrenal gland;placenta;liver;spleen;head and neck;cervix;kidney;aorta;stomach;cerebellum;</t>
  </si>
  <si>
    <t xml:space="preserve">dorsal root ganglion;medulla oblongata;superior cervical ganglion;tongue;atrioventricular node;pons;skeletal muscle;thyroid;prefrontal cortex;globus pallidus;appendix;testis;ciliary ganglion;trigeminal ganglion;</t>
  </si>
  <si>
    <t xml:space="preserve">KAT2B</t>
  </si>
  <si>
    <t xml:space="preserve">TISSUE SPECIFICITY: Ubiquitously expressed but most abundant in heart and skeletal muscle. {ECO:0000269|PubMed:8684459}.; </t>
  </si>
  <si>
    <t xml:space="preserve">ovary;sympathetic chain;skin;bone marrow;retina;prostate;optic nerve;frontal lobe;cochlea;thyroid;germinal center;bladder;brain;amygdala;heart;cartilage;urinary;adrenal cortex;blood;lens;skeletal muscle;breast;visual apparatus;macula lutea;liver;spleen;peripheral nerve;parathyroid;choroid;fovea centralis;uterus;testis;dura mater;pineal gland;unclassifiable (Anatomical System);meninges;lacrimal gland;islets of Langerhans;hypothalamus;pancreas;lung;pia mater;adrenal gland;nasopharynx;placenta;hippocampus;kidney;aorta;stomach;thymus;</t>
  </si>
  <si>
    <t xml:space="preserve">TISSUE SPECIFICITY: Expressed at low levels in most of the tissues. Overexpressed in head-and-neck squamous cell carcinomas (HNSCC). Present in liver cancer cells (at protein level). {ECO:0000269|PubMed:12118381, ECO:0000269|PubMed:17632056}.; </t>
  </si>
  <si>
    <t xml:space="preserve">unclassifiable (Anatomical System);ovary;heart;salivary gland;muscle;intestine;pharynx;colon;blood;breast;uterus;prostate;whole body;lung;visual apparatus;liver;spleen;germinal center;kidney;brain;pineal gland;bladder;thymus;</t>
  </si>
  <si>
    <t xml:space="preserve">dorsal root ganglion;superior cervical ganglion;appendix;globus pallidus;ciliary ganglion;atrioventricular node;trigeminal ganglion;skin;skeletal muscle;</t>
  </si>
  <si>
    <t xml:space="preserve">unclassifiable (Anatomical System);smooth muscle;lacrimal gland;colon;fovea centralis;skeletal muscle;retina;pancreas;prostate;lung;larynx;adrenal gland;synovium;placenta;bone;macula lutea;head and neck;cervix;brain;</t>
  </si>
  <si>
    <t xml:space="preserve">dorsal root ganglion;subthalamic nucleus;superior cervical ganglion;adrenal gland;globus pallidus;ciliary ganglion;atrioventricular node;kidney;trigeminal ganglion;</t>
  </si>
  <si>
    <t xml:space="preserve">KIR2DL1</t>
  </si>
  <si>
    <t xml:space="preserve">0.184502116558515</t>
  </si>
  <si>
    <t xml:space="preserve">killer cell immunoglobulin like receptor, two Ig domains and long cytoplasmic tail 1</t>
  </si>
  <si>
    <t xml:space="preserve">FUNCTION: Receptor on natural killer (NK) cells for HLA-C alleles. Inhibits the activity of NK cells thus preventing cell lysis. {ECO:0000269|PubMed:18604210}.; </t>
  </si>
  <si>
    <t xml:space="preserve">breast;unclassifiable (Anatomical System);blood;</t>
  </si>
  <si>
    <t xml:space="preserve">superior cervical ganglion;ciliary ganglion;trigeminal ganglion;</t>
  </si>
  <si>
    <t xml:space="preserve">KIR2DL3</t>
  </si>
  <si>
    <t xml:space="preserve">0.0380264991528057</t>
  </si>
  <si>
    <t xml:space="preserve">killer cell immunoglobulin like receptor, two Ig domains and long cytoplasmic tail 3</t>
  </si>
  <si>
    <t xml:space="preserve">FUNCTION: Receptor on natural killer (NK) cells for HLA-C alleles (HLA-Cw1, HLA-Cw3 and HLA-Cw7). Inhibits the activity of NK cells thus preventing cell lysis.; </t>
  </si>
  <si>
    <t xml:space="preserve">KIR2DL4</t>
  </si>
  <si>
    <t xml:space="preserve">KIR2DS4</t>
  </si>
  <si>
    <t xml:space="preserve">killer cell immunoglobulin like receptor, two Ig domains and short cytoplasmic tail 4</t>
  </si>
  <si>
    <t xml:space="preserve">FUNCTION: Receptor on natural killer (NK) cells for HLA-C alleles. Does not inhibit the activity of NK cells. {ECO:0000269|PubMed:19858347}.; </t>
  </si>
  <si>
    <t xml:space="preserve">breast;blood;</t>
  </si>
  <si>
    <t xml:space="preserve">subthalamic nucleus;superior cervical ganglion;globus pallidus;atrioventricular node;trigeminal ganglion;skeletal muscle;</t>
  </si>
  <si>
    <t xml:space="preserve">KIR3DL1</t>
  </si>
  <si>
    <t xml:space="preserve">unclassifiable (Anatomical System);skeletal muscle;</t>
  </si>
  <si>
    <t xml:space="preserve">superior cervical ganglion;ciliary ganglion;skeletal muscle;</t>
  </si>
  <si>
    <t xml:space="preserve">KIR3DL2</t>
  </si>
  <si>
    <t xml:space="preserve">killer cell immunoglobulin like receptor, three Ig domains and long cytoplasmic tail 2</t>
  </si>
  <si>
    <t xml:space="preserve">FUNCTION: Receptor on natural killer (NK) cells for HLA-A alleles. Inhibits the activity of NK cells thus preventing cell lysis.; </t>
  </si>
  <si>
    <t xml:space="preserve">KMT2C</t>
  </si>
  <si>
    <t xml:space="preserve">TISSUE SPECIFICITY: Highly expressed in testis and ovary, followed by brain and liver. Also expressed in placenta, peripherical blood, fetal thymus, heart, lung and kidney. Within brain, expression was highest in hippocampus, caudate nucleus, and substantia nigra. Not detected in skeletal muscle and fetal liver.; </t>
  </si>
  <si>
    <t xml:space="preserve">LAMA2</t>
  </si>
  <si>
    <t xml:space="preserve">TISSUE SPECIFICITY: Placenta, striated muscle, peripheral nerve, cardiac muscle, pancreas, lung, spleen, kidney, adrenal gland, skin, testis, meninges, choroid plexus, and some other regions of the brain; not in liver, thymus and bone.; </t>
  </si>
  <si>
    <t xml:space="preserve">ovary;colon;parathyroid;fovea centralis;choroid;skin;retina;uterus;optic nerve;whole body;frontal lobe;cochlea;cerebral cortex;endometrium;larynx;thyroid;bone;testis;brain;gall bladder;unclassifiable (Anatomical System);heart;islets of Langerhans;adrenal cortex;lens;skeletal muscle;pancreas;lung;placenta;macula lutea;visual apparatus;liver;spleen;head and neck;cervix;kidney;stomach;</t>
  </si>
  <si>
    <t xml:space="preserve">dorsal root ganglion;superior cervical ganglion;adipose tissue;testis - seminiferous tubule;ciliary ganglion;atrioventricular node;trigeminal ganglion;skeletal muscle;</t>
  </si>
  <si>
    <t xml:space="preserve">LAMC1</t>
  </si>
  <si>
    <t xml:space="preserve">TISSUE SPECIFICITY: Found in the basement membranes (major component).; </t>
  </si>
  <si>
    <t xml:space="preserve">smooth muscle;ovary;skin;bone marrow;retina;prostate;optic nerve;cochlea;endometrium;thyroid;germinal center;brain;heart;cartilage;blood;lens;skeletal muscle;breast;epididymis;visual apparatus;macula lutea;liver;alveolus;spleen;cervix;mammary gland;peripheral nerve;colon;parathyroid;fovea centralis;choroid;vein;uterus;whole body;oesophagus;cerebral cortex;larynx;bone;testis;spinal ganglion;unclassifiable (Anatomical System);islets of Langerhans;muscle;bile duct;pancreas;lung;nasopharynx;placenta;duodenum;amnion;head and neck;kidney;stomach;aorta;</t>
  </si>
  <si>
    <t xml:space="preserve">smooth muscle;olfactory bulb;adipose tissue;heart;placenta;appendix;fetal lung;</t>
  </si>
  <si>
    <t xml:space="preserve">LEKR1</t>
  </si>
  <si>
    <t xml:space="preserve">LPIN2</t>
  </si>
  <si>
    <t xml:space="preserve">TISSUE SPECIFICITY: Expressed in liver, lung, kidney, placenta, spleen, thymus, lymph node, prostate, testes, small intestine, and colon. {ECO:0000269|PubMed:15994876, ECO:0000269|PubMed:17158099}.; </t>
  </si>
  <si>
    <t xml:space="preserve">smooth muscle;ovary;salivary gland;sympathetic chain;intestine;colon;parathyroid;fovea centralis;choroid;skin;retina;bone marrow;uterus;prostate;optic nerve;whole body;frontal lobe;cerebral cortex;endometrium;bone;thyroid;pituitary gland;testis;germinal center;spinal ganglion;brain;pineal gland;bladder;unclassifiable (Anatomical System);trophoblast;cartilage;heart;islets of Langerhans;pharynx;blood;lens;skeletal muscle;lung;nasopharynx;placenta;macula lutea;visual apparatus;liver;spleen;kidney;stomach;aorta;</t>
  </si>
  <si>
    <t xml:space="preserve">superior cervical ganglion;fetal liver;</t>
  </si>
  <si>
    <t xml:space="preserve">LRP5L</t>
  </si>
  <si>
    <t xml:space="preserve">LRRC37A11P</t>
  </si>
  <si>
    <t xml:space="preserve">LRRC53</t>
  </si>
  <si>
    <t xml:space="preserve">leucine rich repeat containing 53</t>
  </si>
  <si>
    <t xml:space="preserve">MADD</t>
  </si>
  <si>
    <t xml:space="preserve">TISSUE SPECIFICITY: Highly expressed in fetal brain and kidney; adult testis, ovary, brain and heart. Isoform 5 is constitutively expressed in all tissues. Isoform 7 is expressed in fetal liver and in several cancer cell lines. {ECO:0000269|PubMed:14716293, ECO:0000269|PubMed:8988362, ECO:0000269|PubMed:9796103}.; </t>
  </si>
  <si>
    <t xml:space="preserve">ovary;salivary gland;sympathetic chain;intestine;colon;parathyroid;fovea centralis;choroid;skin;retina;uterus;prostate;optic nerve;whole body;frontal lobe;cochlea;endometrium;bone;thyroid;pituitary gland;testis;germinal center;brain;bladder;unclassifiable (Anatomical System);cartilage;heart;small intestine;lacrimal gland;pineal body;pharynx;blood;lens;skeletal muscle;breast;pancreas;lung;placenta;macula lutea;visual apparatus;hippocampus;hypopharynx;liver;spleen;head and neck;cervix;kidney;mammary gland;stomach;cerebellum;</t>
  </si>
  <si>
    <t xml:space="preserve">whole brain;amygdala;superior cervical ganglion;occipital lobe;medulla oblongata;cerebellum peduncles;temporal lobe;pons;subthalamic nucleus;testis - seminiferous tubule;prefrontal cortex;testis;globus pallidus;parietal lobe;cingulate cortex;cerebellum;</t>
  </si>
  <si>
    <t xml:space="preserve">MALT1</t>
  </si>
  <si>
    <t xml:space="preserve">TISSUE SPECIFICITY: Highly expressed in peripheral blood mononuclear cells. Detected at lower levels in bone marrow, thymus and lymph node, and at very low levels in colon and lung.; </t>
  </si>
  <si>
    <t xml:space="preserve">unclassifiable (Anatomical System);cartilage;islets of Langerhans;urinary;colon;skeletal muscle;breast;bile duct;prostate;pancreas;lung;endometrium;bone;placenta;visual apparatus;liver;testis;spleen;germinal center;kidney;mammary gland;artery;aorta;peripheral nerve;</t>
  </si>
  <si>
    <t xml:space="preserve">dorsal root ganglion;superior cervical ganglion;testis - interstitial;testis - seminiferous tubule;testis;tumor;white blood cells;ciliary ganglion;atrioventricular node;tonsil;skeletal muscle;</t>
  </si>
  <si>
    <t xml:space="preserve">MAP4</t>
  </si>
  <si>
    <t xml:space="preserve">lymphoreticular;ovary;skin;bone marrow;retina;prostate;optic nerve;frontal lobe;endometrium;thyroid;germinal center;brain;tonsil;gall bladder;heart;cartilage;blood;lens;skeletal muscle;breast;visual apparatus;macula lutea;liver;spleen;cervix;mammary gland;peripheral nerve;salivary gland;colon;choroid;fovea centralis;uterus;whole body;bone;testis;spinal ganglion;unclassifiable (Anatomical System);lymph node;islets of Langerhans;muscle;pancreas;lung;nasopharynx;placenta;duodenum;hypopharynx;head and neck;kidney;stomach;thymus;</t>
  </si>
  <si>
    <t xml:space="preserve">amygdala;whole brain;dorsal root ganglion;superior cervical ganglion;medulla oblongata;occipital lobe;thalamus;olfactory bulb;cerebellum peduncles;hypothalamus;temporal lobe;spinal cord;atrioventricular node;pons;caudate nucleus;skeletal muscle;subthalamic nucleus;prefrontal cortex;globus pallidus;ciliary ganglion;trigeminal ganglion;cingulate cortex;parietal lobe;cerebellum;</t>
  </si>
  <si>
    <t xml:space="preserve">MAPKBP1</t>
  </si>
  <si>
    <t xml:space="preserve">unclassifiable (Anatomical System);lymph node;heart;islets of Langerhans;blood;fovea centralis;skin;skeletal muscle;retina;uterus;lung;frontal lobe;endometrium;thyroid;placenta;macula lutea;pituitary gland;hypopharynx;liver;testis;head and neck;germinal center;brain;cerebellum;thymus;</t>
  </si>
  <si>
    <t xml:space="preserve">amygdala;occipital lobe;olfactory bulb;fetal brain;cerebellum peduncles;prefrontal cortex;testis;skeletal muscle;cerebellum;</t>
  </si>
  <si>
    <t xml:space="preserve">MARK3</t>
  </si>
  <si>
    <t xml:space="preserve">ovary;sympathetic chain;skin;bone marrow;retina;prostate;optic nerve;cochlea;endometrium;thyroid;germinal center;bladder;brain;gall bladder;heart;cartilage;pineal body;adrenal cortex;pharynx;blood;lens;skeletal muscle;breast;visual apparatus;macula lutea;liver;alveolus;spleen;cervix;mammary gland;salivary gland;intestine;colon;parathyroid;choroid;fovea centralis;uterus;larynx;bone;testis;pineal gland;unclassifiable (Anatomical System);lymph node;islets of Langerhans;muscle;bile duct;pancreas;lung;adrenal gland;nasopharynx;placenta;hippocampus;head and neck;kidney;stomach;</t>
  </si>
  <si>
    <t xml:space="preserve">occipital lobe;subthalamic nucleus;globus pallidus;atrioventricular node;trigeminal ganglion;cingulate cortex;</t>
  </si>
  <si>
    <t xml:space="preserve">MASTL</t>
  </si>
  <si>
    <t xml:space="preserve">unclassifiable (Anatomical System);heart;tongue;adrenal cortex;colon;skin;skeletal muscle;retina;uterus;endometrium;bone;placenta;visual apparatus;liver;head and neck;spleen;cervix;germinal center;aorta;stomach;</t>
  </si>
  <si>
    <t xml:space="preserve">dorsal root ganglion;superior cervical ganglion;ciliary ganglion;atrioventricular node;</t>
  </si>
  <si>
    <t xml:space="preserve">MAX</t>
  </si>
  <si>
    <t xml:space="preserve">0.951898293348912</t>
  </si>
  <si>
    <t xml:space="preserve">MYC associated factor X</t>
  </si>
  <si>
    <t xml:space="preserve">FUNCTION: Transcription regulator. Forms a sequence-specific DNA- binding protein complex with MYC or MAD which recognizes the core sequence 5'-CAC[GA]TG-3'. The MYC:MAX complex is a transcriptional activator, whereas the MAD:MAX complex is a repressor. May repress transcription via the recruitment of a chromatin remodeling complex containing H3 'Lys-9' histone methyltransferase activity.; </t>
  </si>
  <si>
    <t xml:space="preserve">TISSUE SPECIFICITY: High levels found in the brain, heart and lung while lower levels are seen in the liver, kidney and skeletal muscle.; </t>
  </si>
  <si>
    <t xml:space="preserve">ovary;colon;parathyroid;fovea centralis;choroid;skin;retina;bone marrow;uterus;prostate;optic nerve;whole body;frontal lobe;cerebral cortex;endometrium;larynx;bone;thyroid;testis;germinal center;spinal ganglion;brain;unclassifiable (Anatomical System);cartilage;islets of Langerhans;blood;lens;skeletal muscle;pancreas;lung;adrenal gland;epididymis;placenta;macula lutea;visual apparatus;liver;head and neck;spleen;cervix;kidney;mammary gland;stomach;peripheral nerve;</t>
  </si>
  <si>
    <t xml:space="preserve">occipital lobe;superior cervical ganglion;heart;atrioventricular node;trigeminal ganglion;whole blood;cingulate cortex;cerebellum;</t>
  </si>
  <si>
    <t xml:space="preserve">MDK</t>
  </si>
  <si>
    <t xml:space="preserve">TISSUE SPECIFICITY: Expressed in various tumor cell lines. In insulinoma tissue predominantly expressed in precancerous lesions. {ECO:0000269|PubMed:17379400}.; </t>
  </si>
  <si>
    <t xml:space="preserve">ovary;colon;parathyroid;choroid;skin;uterus;prostate;whole body;frontal lobe;cochlea;endometrium;synovium;larynx;bone;pituitary gland;testis;brain;unclassifiable (Anatomical System);lymph node;cartilage;heart;islets of Langerhans;urinary;adrenal cortex;pharynx;breast;pancreas;lung;epididymis;nasopharynx;placenta;visual apparatus;liver;spleen;head and neck;cervix;kidney;mammary gland;stomach;</t>
  </si>
  <si>
    <t xml:space="preserve">ME1</t>
  </si>
  <si>
    <t xml:space="preserve">TISSUE SPECIFICITY: Expressed in all tissues tested including liver, placenta and white adipose tissue. {ECO:0000269|PubMed:7622060, ECO:0000269|PubMed:8187880}.; </t>
  </si>
  <si>
    <t xml:space="preserve">MEF2D</t>
  </si>
  <si>
    <t xml:space="preserve">smooth muscle;ovary;colon;parathyroid;fovea centralis;choroid;skin;retina;bone marrow;uterus;prostate;optic nerve;frontal lobe;cochlea;endometrium;synovium;bone;iris;testis;germinal center;spinal ganglion;brain;tonsil;unclassifiable (Anatomical System);amygdala;lymph node;cartilage;heart;islets of Langerhans;blood;lens;skeletal muscle;bile duct;breast;pancreas;lung;adrenal gland;placenta;macula lutea;visual apparatus;hippocampus;liver;spleen;kidney;mammary gland;stomach;cerebellum;</t>
  </si>
  <si>
    <t xml:space="preserve">superior cervical ganglion;medulla oblongata;ciliary ganglion;pons;atrioventricular node;trigeminal ganglion;skeletal muscle;cingulate cortex;</t>
  </si>
  <si>
    <t xml:space="preserve">MEIS2</t>
  </si>
  <si>
    <t xml:space="preserve">TISSUE SPECIFICITY: Expressed in various tissues. Expressed at high level in the lymphoid organs of hematopoietic tissues. Also expressed in some regions of the brain, such as the putamen.; </t>
  </si>
  <si>
    <t xml:space="preserve">ovary;colon;parathyroid;fovea centralis;choroid;skin;retina;uterus;prostate;optic nerve;whole body;endometrium;thyroid;bone;brain;unclassifiable (Anatomical System);heart;islets of Langerhans;muscle;lens;skeletal muscle;bile duct;lung;trabecular meshwork;placenta;macula lutea;visual apparatus;liver;head and neck;kidney;mammary gland;aorta;stomach;</t>
  </si>
  <si>
    <t xml:space="preserve">uterus;amygdala;medulla oblongata;prostate;superior cervical ganglion;fetal brain;prefrontal cortex;caudate nucleus;pons;</t>
  </si>
  <si>
    <t xml:space="preserve">MELK</t>
  </si>
  <si>
    <t xml:space="preserve">TISSUE SPECIFICITY: Expressed in placenta, kidney, thymus, testis, ovary and intestine. {ECO:0000269|PubMed:8724849}.; </t>
  </si>
  <si>
    <t xml:space="preserve">lymphoreticular;smooth muscle;ovary;salivary gland;intestine;colon;skin;bone marrow;uterus;prostate;whole body;endometrium;bone;testis;amniotic fluid;germinal center;spinal ganglion;brain;bladder;unclassifiable (Anatomical System);lymph node;heart;pharynx;blood;breast;lung;nasopharynx;placenta;visual apparatus;alveolus;liver;kidney;stomach;</t>
  </si>
  <si>
    <t xml:space="preserve">testis - interstitial;tumor;testis;trigeminal ganglion;</t>
  </si>
  <si>
    <t xml:space="preserve">MGAT2</t>
  </si>
  <si>
    <t xml:space="preserve">ovary;colon;parathyroid;fovea centralis;choroid;skin;bone marrow;uterus;prostate;whole body;cochlea;endometrium;larynx;bone;thyroid;testis;germinal center;brain;bladder;unclassifiable (Anatomical System);lymph node;heart;lacrimal gland;islets of Langerhans;blood;skeletal muscle;bile duct;breast;lung;placenta;macula lutea;liver;head and neck;cervix;kidney;mammary gland;stomach;cerebellum;</t>
  </si>
  <si>
    <t xml:space="preserve">dorsal root ganglion;superior cervical ganglion;testis;atrioventricular node;pons;trigeminal ganglion;skeletal muscle;</t>
  </si>
  <si>
    <t xml:space="preserve">MIA-RAB4B</t>
  </si>
  <si>
    <t xml:space="preserve">MIR3163</t>
  </si>
  <si>
    <t xml:space="preserve">microRNA 3163</t>
  </si>
  <si>
    <t xml:space="preserve">MIR548F3</t>
  </si>
  <si>
    <t xml:space="preserve">microRNA 548f-3</t>
  </si>
  <si>
    <t xml:space="preserve">MORC3</t>
  </si>
  <si>
    <t xml:space="preserve">TISSUE SPECIFICITY: Expressed in heart, placenta, skeletal muscle, brain, pancreas, lung, liver, but not kidney. {ECO:0000269|PubMed:11927593}.; </t>
  </si>
  <si>
    <t xml:space="preserve">MSI1</t>
  </si>
  <si>
    <t xml:space="preserve">TISSUE SPECIFICITY: Detected in fetal kidney, brain, liver and lung, and in adult brain and pancreas. Detected in hepatoma cell lines. {ECO:0000269|PubMed:12054577, ECO:0000269|PubMed:9790759}.; </t>
  </si>
  <si>
    <t xml:space="preserve">unclassifiable (Anatomical System);optic nerve;lung;islets of Langerhans;macula lutea;visual apparatus;testis;fovea centralis;choroid;lens;brain;mammary gland;retina;</t>
  </si>
  <si>
    <t xml:space="preserve">superior cervical ganglion;testis - seminiferous tubule;globus pallidus;ciliary ganglion;atrioventricular node;trigeminal ganglion;skeletal muscle;</t>
  </si>
  <si>
    <t xml:space="preserve">MSS51</t>
  </si>
  <si>
    <t xml:space="preserve">MTCL1</t>
  </si>
  <si>
    <t xml:space="preserve">MTFR1</t>
  </si>
  <si>
    <t xml:space="preserve">medulla oblongata;ovary;colon;parathyroid;skin;retina;bone marrow;uterus;prostate;whole body;frontal lobe;bone;thyroid;testis;germinal center;brain;bladder;unclassifiable (Anatomical System);heart;adrenal cortex;blood;skeletal muscle;bile duct;breast;lung;placenta;visual apparatus;liver;duodenum;cervix;kidney;mammary gland;stomach;</t>
  </si>
  <si>
    <t xml:space="preserve">dorsal root ganglion;superior cervical ganglion;testis;atrioventricular node;trigeminal ganglion;skeletal muscle;</t>
  </si>
  <si>
    <t xml:space="preserve">MTTP</t>
  </si>
  <si>
    <t xml:space="preserve">TISSUE SPECIFICITY: Liver and small intestine. Also found in ovary, testis and kidney. {ECO:0000269|PubMed:7961826}.; </t>
  </si>
  <si>
    <t xml:space="preserve">unclassifiable (Anatomical System);small intestine;colon;fovea centralis;skeletal muscle;prostate;macula lutea;liver;testis;spleen;kidney;artery;brain;aorta;</t>
  </si>
  <si>
    <t xml:space="preserve">ciliary ganglion;trigeminal ganglion;skeletal muscle;</t>
  </si>
  <si>
    <t xml:space="preserve">MUC16</t>
  </si>
  <si>
    <t xml:space="preserve">TISSUE SPECIFICITY: Expressed in corneal and conjunctival epithelia (at protein level). Overexpressed in ovarian carcinomas and ovarian low malignant potential (LMP) tumors as compared to the expression in normal ovarian tissue and ovarian adenomas. {ECO:0000269|PubMed:11369781, ECO:0000269|PubMed:12218296, ECO:0000269|PubMed:16384952}.; </t>
  </si>
  <si>
    <t xml:space="preserve">MUC17</t>
  </si>
  <si>
    <t xml:space="preserve">TISSUE SPECIFICITY: Expressed almost exclusively in the intestine. Expression is especially high in both the duodenum and transverse colon. Expressed in mature absorptive cells of the small intestinal villi. No expression is detected in goblet cells. Highly expressed in pancreatic adenocarcinoma tissue (at protein level). Expression is not detectable in normal pancreas, in pancreatitis or in cell lines derived from other cancers. {ECO:0000269|PubMed:11855812, ECO:0000269|PubMed:16737958, ECO:0000269|PubMed:9299468}.; </t>
  </si>
  <si>
    <t xml:space="preserve">unclassifiable (Anatomical System);pancreas;colon;skeletal muscle;stomach;</t>
  </si>
  <si>
    <t xml:space="preserve">dorsal root ganglion;ciliary ganglion;trigeminal ganglion;</t>
  </si>
  <si>
    <t xml:space="preserve">MUC19</t>
  </si>
  <si>
    <t xml:space="preserve">TISSUE SPECIFICITY: Expressed corneal epithelial cells, conjunctival goblet and epithelial cells and lacrimal gland cells (at protein level). Expressed by mucous cells of the submandibular gland and submucosal gland of the trachea. Expressed by middle ear epithelial cells. {ECO:0000269|PubMed:12882755, ECO:0000269|PubMed:17667140, ECO:0000269|PubMed:18184611}.; </t>
  </si>
  <si>
    <t xml:space="preserve">MUC2</t>
  </si>
  <si>
    <t xml:space="preserve">TISSUE SPECIFICITY: Colon, small intestine, colonic tumors, bronchus, cervix and gall bladder.; </t>
  </si>
  <si>
    <t xml:space="preserve">unclassifiable (Anatomical System);colon;blood;skeletal muscle;stomach;bone marrow;</t>
  </si>
  <si>
    <t xml:space="preserve">MUC21</t>
  </si>
  <si>
    <t xml:space="preserve">TISSUE SPECIFICITY: Expressed in lung, large intestine, thymus, and testis. Expressed in normal and malignant bronchial epithelial cells. {ECO:0000269|PubMed:17977904}.; </t>
  </si>
  <si>
    <t xml:space="preserve">MYBPC1</t>
  </si>
  <si>
    <t xml:space="preserve">fovea centralis;choroid;skin;retina;uterus;prostate;optic nerve;whole body;frontal lobe;larynx;thyroid;bone;testis;brain;unclassifiable (Anatomical System);heart;hypothalamus;muscle;spinal cord;lens;skeletal muscle;greater omentum;lung;nasopharynx;hippocampus;macula lutea;liver;hypopharynx;alveolus;head and neck;mammary gland;stomach;peripheral nerve;</t>
  </si>
  <si>
    <t xml:space="preserve">thalamus;tongue;thyroid;skeletal muscle;</t>
  </si>
  <si>
    <t xml:space="preserve">MYBPC3</t>
  </si>
  <si>
    <t xml:space="preserve">unclassifiable (Anatomical System);myocardium;lung;heart;synovium;placenta;liver;testis;spleen;</t>
  </si>
  <si>
    <t xml:space="preserve">superior cervical ganglion;heart;</t>
  </si>
  <si>
    <t xml:space="preserve">MYCBP2</t>
  </si>
  <si>
    <t xml:space="preserve">TISSUE SPECIFICITY: Expressed in all tissues examined, expression is exceptionally abundant in brain and thymus. Colocalizes with TSC1 and TSC2 along the neurites and in the growth cones. Colocalized with TSC1 in one of the filopodial extensions at the tip of a growth cone. {ECO:0000269|PubMed:9689053}.; </t>
  </si>
  <si>
    <t xml:space="preserve">myocardium;ovary;sympathetic chain;skin;retina;bone marrow;prostate;frontal lobe;endometrium;thyroid;germinal center;bladder;brain;gall bladder;tonsil;heart;cartilage;urinary;pharynx;blood;skeletal muscle;breast;macula lutea;visual apparatus;liver;spleen;mammary gland;salivary gland;intestine;colon;parathyroid;fovea centralis;choroid;uterus;whole body;oesophagus;larynx;bone;testis;dura mater;artery;unclassifiable (Anatomical System);meninges;lymph node;islets of Langerhans;pia mater;lung;cornea;adrenal gland;nasopharynx;placenta;hippocampus;head and neck;kidney;stomach;aorta;thymus;</t>
  </si>
  <si>
    <t xml:space="preserve">amygdala;whole brain;medulla oblongata;testis - interstitial;occipital lobe;thalamus;adipose tissue;hypothalamus;temporal lobe;white blood cells;caudate nucleus;pons;subthalamic nucleus;prostate;fetal brain;prefrontal cortex;globus pallidus;cingulate cortex;parietal lobe;tonsil;</t>
  </si>
  <si>
    <t xml:space="preserve">MYL4</t>
  </si>
  <si>
    <t xml:space="preserve">unclassifiable (Anatomical System);myocardium;heart;blood;fovea centralis;choroid;lens;skin;retina;uterus;pancreas;optic nerve;whole body;lung;macula lutea;visual apparatus;liver;testis;spleen;germinal center;pineal gland;</t>
  </si>
  <si>
    <t xml:space="preserve">superior cervical ganglion;fetal liver;heart;trigeminal ganglion;skeletal muscle;bone marrow;</t>
  </si>
  <si>
    <t xml:space="preserve">MYO5B</t>
  </si>
  <si>
    <t xml:space="preserve">ovary;colon;parathyroid;fovea centralis;choroid;skin;retina;uterus;prostate;optic nerve;whole body;endometrium;thyroid;testis;dura mater;germinal center;brain;bladder;pineal gland;unclassifiable (Anatomical System);meninges;cartilage;heart;islets of Langerhans;lens;skeletal muscle;bile duct;breast;pia mater;lung;placenta;macula lutea;visual apparatus;liver;spleen;cervix;kidney;mammary gland;stomach;</t>
  </si>
  <si>
    <t xml:space="preserve">dorsal root ganglion;testis - interstitial;superior cervical ganglion;testis;globus pallidus;ciliary ganglion;pons;kidney;trigeminal ganglion;skeletal muscle;</t>
  </si>
  <si>
    <t xml:space="preserve">MYO7A</t>
  </si>
  <si>
    <t xml:space="preserve">TISSUE SPECIFICITY: Expressed in the pigment epithelium and the photoreceptor cells of the retina. Also found in kidney, liver, testis, cochlea, lymphocytes. Not expressed in brain. {ECO:0000269|PubMed:19643958, ECO:0000269|PubMed:21493626, ECO:0000269|PubMed:21709241}.; </t>
  </si>
  <si>
    <t xml:space="preserve">unclassifiable (Anatomical System);medulla oblongata;ovary;colon;parathyroid;choroid;retina;breast;uterus;prostate;optic nerve;lung;endometrium;adrenal gland;thyroid;placenta;visual apparatus;liver;testis;spleen;germinal center;kidney;brain;pineal gland;peripheral nerve;</t>
  </si>
  <si>
    <t xml:space="preserve">superior cervical ganglion;subthalamic nucleus;testis - seminiferous tubule;adrenal gland;adrenal cortex;testis;ciliary ganglion;pons;atrioventricular node;trigeminal ganglion;skeletal muscle;</t>
  </si>
  <si>
    <t xml:space="preserve">MYOT</t>
  </si>
  <si>
    <t xml:space="preserve">TISSUE SPECIFICITY: Expressed in skeletal muscle (at protein level). Expressed in skeletal muscle, heart, bone marrow and thyroid gland. {ECO:0000269|PubMed:10369880, ECO:0000269|PubMed:10486214}.; </t>
  </si>
  <si>
    <t xml:space="preserve">unclassifiable (Anatomical System);heart;ovary;sympathetic chain;parathyroid;skin;skeletal muscle;uterus;prostate;whole body;lung;larynx;trabecular meshwork;placenta;liver;testis;head and neck;brain;</t>
  </si>
  <si>
    <t xml:space="preserve">superior cervical ganglion;tongue;thyroid;appendix;atrioventricular node;skeletal muscle;</t>
  </si>
  <si>
    <t xml:space="preserve">NALCN</t>
  </si>
  <si>
    <t xml:space="preserve">unclassifiable (Anatomical System);heart;ovary;islets of Langerhans;parathyroid;skin;skeletal muscle;uterus;pancreas;lung;frontal lobe;placenta;bone;liver;head and neck;brain;</t>
  </si>
  <si>
    <t xml:space="preserve">amygdala;dorsal root ganglion;whole brain;occipital lobe;superior cervical ganglion;globus pallidus;ciliary ganglion;atrioventricular node;pons;trigeminal ganglion;skeletal muscle;</t>
  </si>
  <si>
    <t xml:space="preserve">NCLN</t>
  </si>
  <si>
    <t xml:space="preserve">TISSUE SPECIFICITY: Highly expressed in pancreas and skeletal muscle and, at lower levels, in heart. {ECO:0000269|PubMed:15257293}.; </t>
  </si>
  <si>
    <t xml:space="preserve">ovary;sympathetic chain;colon;parathyroid;fovea centralis;choroid;skin;retina;uterus;prostate;optic nerve;cerebral cortex;endometrium;larynx;bone;testis;germinal center;brain;tonsil;unclassifiable (Anatomical System);lymph node;cartilage;heart;tongue;islets of Langerhans;hypothalamus;muscle;adrenal cortex;blood;lens;pancreas;lung;epididymis;placenta;macula lutea;visual apparatus;spleen;head and neck;cervix;kidney;mammary gland;stomach;</t>
  </si>
  <si>
    <t xml:space="preserve">adrenal gland;globus pallidus;ciliary ganglion;trigeminal ganglion;skeletal muscle;</t>
  </si>
  <si>
    <t xml:space="preserve">NDE1</t>
  </si>
  <si>
    <t xml:space="preserve">TISSUE SPECIFICITY: Expressed in the neuroepithelium throughout the developing brain, including the cerebral cortex and cerebellum. {ECO:0000269|PubMed:21529752}.; </t>
  </si>
  <si>
    <t xml:space="preserve">lymphoreticular;ovary;salivary gland;colon;parathyroid;fovea centralis;choroid;skin;retina;bone marrow;uterus;prostate;optic nerve;frontal lobe;synovium;bone;pituitary gland;testis;germinal center;brain;bladder;pineal gland;unclassifiable (Anatomical System);lymph node;heart;hypothalamus;muscle;blood;lens;skeletal muscle;lung;placenta;macula lutea;visual apparatus;liver;kidney;mammary gland;stomach;thymus;</t>
  </si>
  <si>
    <t xml:space="preserve">dorsal root ganglion;occipital lobe;superior cervical ganglion;testis;atrioventricular node;trigeminal ganglion;skin;bone marrow;</t>
  </si>
  <si>
    <t xml:space="preserve">NDUFS8</t>
  </si>
  <si>
    <t xml:space="preserve">myocardium;medulla oblongata;ovary;salivary gland;adrenal medulla;intestine;colon;fovea centralis;choroid;skin;retina;uterus;prostate;optic nerve;cochlea;endometrium;bone;testis;germinal center;brain;bladder;unclassifiable (Anatomical System);lymph node;cartilage;islets of Langerhans;hypothalamus;muscle;adrenal cortex;pharynx;blood;lens;skeletal muscle;breast;pancreas;lung;adrenal gland;epididymis;placenta;macula lutea;visual apparatus;duodenum;liver;spleen;cervix;kidney;mammary gland;stomach;aorta;</t>
  </si>
  <si>
    <t xml:space="preserve">heart;temporal lobe;liver;pons;kidney;skeletal muscle;</t>
  </si>
  <si>
    <t xml:space="preserve">NFIB</t>
  </si>
  <si>
    <t xml:space="preserve">NFKBIB</t>
  </si>
  <si>
    <t xml:space="preserve">TISSUE SPECIFICITY: Expressed in all tissues examined.; </t>
  </si>
  <si>
    <t xml:space="preserve">unclassifiable (Anatomical System);medulla oblongata;sympathetic chain;colon;blood;skin;breast;uterus;pancreas;prostate;lung;frontal lobe;cochlea;bone;placenta;iris;duodenum;liver;testis;cervix;spleen;germinal center;kidney;brain;mammary gland;stomach;</t>
  </si>
  <si>
    <t xml:space="preserve">testis - interstitial;testis - seminiferous tubule;liver;testis;atrioventricular node;trigeminal ganglion;</t>
  </si>
  <si>
    <t xml:space="preserve">NKX2-5</t>
  </si>
  <si>
    <t xml:space="preserve">TISSUE SPECIFICITY: Expressed only in the heart.; </t>
  </si>
  <si>
    <t xml:space="preserve">unclassifiable (Anatomical System);lung;liver;duodenum;testis;colon;head and neck;brain;</t>
  </si>
  <si>
    <t xml:space="preserve">subthalamic nucleus;heart;ciliary ganglion;trigeminal ganglion;cingulate cortex;bone marrow;</t>
  </si>
  <si>
    <t xml:space="preserve">NKX6-3</t>
  </si>
  <si>
    <t xml:space="preserve">0.190054225881154</t>
  </si>
  <si>
    <t xml:space="preserve">NK6 homeobox 3</t>
  </si>
  <si>
    <t xml:space="preserve">FUNCTION: Putative transcription factor, which may be involved in patterning of central nervous system and pancreas. {ECO:0000250}.; </t>
  </si>
  <si>
    <t xml:space="preserve">NLN</t>
  </si>
  <si>
    <t xml:space="preserve">ovary;salivary gland;intestine;colon;parathyroid;fovea centralis;vein;skin;retina;uterus;prostate;whole body;frontal lobe;endometrium;bone;thyroid;testis;brain;bladder;pineal gland;unclassifiable (Anatomical System);cartilage;heart;adrenal cortex;pharynx;blood;bile duct;pancreas;lung;adrenal gland;placenta;macula lutea;visual apparatus;liver;cervix;kidney;aorta;</t>
  </si>
  <si>
    <t xml:space="preserve">NLRP3</t>
  </si>
  <si>
    <t xml:space="preserve">TISSUE SPECIFICITY: Predominantly expressed in macrophages. Also expressed in dendritic cells, B- and T-cells (at protein level) (PubMed:11786556) (PubMed:17164409). Expressed in LPS-treated granulocytes, but not in resting cells (at protein level) (PubMed:17164409). Expression in monocytes is very weak (at protein level) (PubMed:17164409). Expressed in stratified non- keratinizing squamous epithelium, including oral, esophageal and ectocervical mucosa and in the Hassall's corpuscles in the thymus. Also, detected in the stratified epithelium covering the bladder and ureter (transitional mucosa) (at protein level) (PubMed:17164409). Expressed in chondrocytes (PubMed:12032915). Expressed at low levels in resting osteoblasts (PubMed:17907925). {ECO:0000269|PubMed:11786556, ECO:0000269|PubMed:12032915, ECO:0000269|PubMed:17164409, ECO:0000269|PubMed:17907925}.; </t>
  </si>
  <si>
    <t xml:space="preserve">unclassifiable (Anatomical System);lung;liver;testis;colon;spleen;blood;brain;</t>
  </si>
  <si>
    <t xml:space="preserve">subthalamic nucleus;superior cervical ganglion;appendix;pons;atrioventricular node;trigeminal ganglion;parietal lobe;skeletal muscle;</t>
  </si>
  <si>
    <t xml:space="preserve">NMD3</t>
  </si>
  <si>
    <t xml:space="preserve">colon;skin;retina;bone marrow;uterus;prostate;whole body;cochlea;endometrium;oesophagus;larynx;bone;testis;germinal center;brain;artery;bladder;unclassifiable (Anatomical System);lymph node;heart;islets of Langerhans;hypothalamus;muscle;urinary;adrenal cortex;skeletal muscle;breast;bile duct;lung;adrenal gland;nasopharynx;placenta;alveolus;hypopharynx;liver;cervix;head and neck;kidney;mammary gland;aorta;stomach;</t>
  </si>
  <si>
    <t xml:space="preserve">dorsal root ganglion;superior cervical ganglion;ciliary ganglion;atrioventricular node;trigeminal ganglion;skeletal muscle;</t>
  </si>
  <si>
    <t xml:space="preserve">NOL6</t>
  </si>
  <si>
    <t xml:space="preserve">lymphoreticular;ovary;colon;parathyroid;fovea centralis;choroid;skin;retina;bone marrow;uterus;prostate;optic nerve;whole body;endometrium;larynx;bone;thyroid;testis;germinal center;brain;bladder;unclassifiable (Anatomical System);lymph node;cartilage;heart;cerebellum cortex;tongue;islets of Langerhans;blood;lens;skeletal muscle;breast;pancreas;lung;epididymis;nasopharynx;placenta;visual apparatus;hippocampus;macula lutea;alveolus;liver;spleen;head and neck;cervix;kidney;mammary gland;stomach;</t>
  </si>
  <si>
    <t xml:space="preserve">NR1H3</t>
  </si>
  <si>
    <t xml:space="preserve">TISSUE SPECIFICITY: Visceral organs specific expression. Strong expression was found in liver, kidney and intestine followed by spleen and to a lesser extent the adrenals.; </t>
  </si>
  <si>
    <t xml:space="preserve">NR1H4</t>
  </si>
  <si>
    <t xml:space="preserve">unclassifiable (Anatomical System);heart;liver;testis;spleen;blood;kidney;</t>
  </si>
  <si>
    <t xml:space="preserve">fetal liver;superior cervical ganglion;ciliary ganglion;atrioventricular node;trigeminal ganglion;skeletal muscle;</t>
  </si>
  <si>
    <t xml:space="preserve">NRG2</t>
  </si>
  <si>
    <t xml:space="preserve">TISSUE SPECIFICITY: Restricted to the cerebellum in the adult.; </t>
  </si>
  <si>
    <t xml:space="preserve">unclassifiable (Anatomical System);lung;ovary;islets of Langerhans;bone;placenta;testis;parathyroid;brain;thymus;</t>
  </si>
  <si>
    <t xml:space="preserve">uterus corpus;superior cervical ganglion;atrioventricular node;pons;trigeminal ganglion;parietal lobe;skeletal muscle;cerebellum;</t>
  </si>
  <si>
    <t xml:space="preserve">NRG3</t>
  </si>
  <si>
    <t xml:space="preserve">TISSUE SPECIFICITY: Highly expressed in most regions of the brain with the exception of corpus callosum. Expressed at lower level in testis. Not detected in heart, placenta, lung, liver, skeletal muscle, kidney, pancreas, spleen, thymus, prostate, ovary, small intestine, colon and peripheral blood leukocytes.; </t>
  </si>
  <si>
    <t xml:space="preserve">NUDCD2</t>
  </si>
  <si>
    <t xml:space="preserve">ovary;salivary gland;sympathetic chain;intestine;colon;parathyroid;bone marrow;uterus;prostate;whole body;cochlea;bone;thyroid;testis;germinal center;brain;bladder;unclassifiable (Anatomical System);heart;islets of Langerhans;pharynx;blood;lung;placenta;visual apparatus;hippocampus;liver;spleen;head and neck;kidney;mammary gland;</t>
  </si>
  <si>
    <t xml:space="preserve">NUP50</t>
  </si>
  <si>
    <t xml:space="preserve">TISSUE SPECIFICITY: Ubiquitous. Highest levels in testis, peripheral blood leukocytes and fetal liver.; </t>
  </si>
  <si>
    <t xml:space="preserve">unclassifiable (Anatomical System);ovary;colon;parathyroid;blood;skin;skeletal muscle;bone marrow;breast;uterus;prostate;pancreas;lung;frontal lobe;cerebral cortex;larynx;bone;thyroid;placenta;visual apparatus;hypopharynx;liver;testis;cervix;head and neck;germinal center;kidney;stomach;</t>
  </si>
  <si>
    <t xml:space="preserve">superior cervical ganglion;globus pallidus;ciliary ganglion;atrioventricular node;pons;trigeminal ganglion;skeletal muscle;cingulate cortex;parietal lobe;</t>
  </si>
  <si>
    <t xml:space="preserve">NXNL1</t>
  </si>
  <si>
    <t xml:space="preserve">unclassifiable (Anatomical System);retina;cerebellum;</t>
  </si>
  <si>
    <t xml:space="preserve">OGFOD3</t>
  </si>
  <si>
    <t xml:space="preserve">OLFM1</t>
  </si>
  <si>
    <t xml:space="preserve">sympathetic chain;colon;substantia nigra;fovea centralis;choroid;skin;retina;uterus;prostate;optic nerve;whole body;frontal lobe;cochlea;endometrium;bone;testis;pineal gland;brain;unclassifiable (Anatomical System);heart;islets of Langerhans;hypothalamus;adrenal cortex;lens;breast;pancreas;lung;macula lutea;visual apparatus;hippocampus;head and neck;cervix;kidney;stomach;aorta;</t>
  </si>
  <si>
    <t xml:space="preserve">whole brain;amygdala;dorsal root ganglion;occipital lobe;superior cervical ganglion;thalamus;medulla oblongata;cerebellum peduncles;hypothalamus;temporal lobe;atrioventricular node;pons;caudate nucleus;subthalamic nucleus;fetal brain;prefrontal cortex;globus pallidus;trigeminal ganglion;cingulate cortex;parietal lobe;cerebellum;</t>
  </si>
  <si>
    <t xml:space="preserve">OR8G1</t>
  </si>
  <si>
    <t xml:space="preserve">0.285950158784041</t>
  </si>
  <si>
    <t xml:space="preserve">olfactory receptor family 8 subfamily G member 1 (gene/pseudogene)</t>
  </si>
  <si>
    <t xml:space="preserve">FUNCTION: Odorant receptor. {ECO:0000305}.; </t>
  </si>
  <si>
    <t xml:space="preserve">OR8G5</t>
  </si>
  <si>
    <t xml:space="preserve">0.652742658849299</t>
  </si>
  <si>
    <t xml:space="preserve">olfactory receptor family 8 subfamily G member 5</t>
  </si>
  <si>
    <t xml:space="preserve">PALB2</t>
  </si>
  <si>
    <t xml:space="preserve">unclassifiable (Anatomical System);lymphoreticular;lymph node;cartilage;colon;skin;skeletal muscle;pancreas;whole body;lung;bone;thyroid;testis;cervix;germinal center;kidney;brain;stomach;</t>
  </si>
  <si>
    <t xml:space="preserve">superior cervical ganglion;testis - seminiferous tubule;prefrontal cortex;pons;</t>
  </si>
  <si>
    <t xml:space="preserve">PANK4</t>
  </si>
  <si>
    <t xml:space="preserve">TISSUE SPECIFICITY: Ubiquitously expressed with higher expression in the muscle. {ECO:0000269|PubMed:11479594}.; </t>
  </si>
  <si>
    <t xml:space="preserve">PAPSS2</t>
  </si>
  <si>
    <t xml:space="preserve">TISSUE SPECIFICITY: Expressed in cartilage and adrenal gland. {ECO:0000269|PubMed:19474428}.; </t>
  </si>
  <si>
    <t xml:space="preserve">ovary;colon;parathyroid;choroid;skin;retina;uterus;whole body;oesophagus;endometrium;bone;thyroid;testis;brain;unclassifiable (Anatomical System);heart;islets of Langerhans;hypothalamus;skeletal muscle;bile duct;breast;pancreas;lung;adrenal gland;mesenchyma;nasopharynx;placenta;visual apparatus;liver;alveolus;spleen;kidney;mammary gland;aorta;</t>
  </si>
  <si>
    <t xml:space="preserve">dorsal root ganglion;superior cervical ganglion;smooth muscle;adrenal gland;adrenal cortex;ciliary ganglion;atrioventricular node;trigeminal ganglion;</t>
  </si>
  <si>
    <t xml:space="preserve">PARP4</t>
  </si>
  <si>
    <t xml:space="preserve">TISSUE SPECIFICITY: Widely expressed; the highest levels are in the kidney; also detected in heart, placenta, lung, liver, skeletal muscle, spleen, leukocytes and pancreas.; </t>
  </si>
  <si>
    <t xml:space="preserve">PATJ</t>
  </si>
  <si>
    <t xml:space="preserve">TISSUE SPECIFICITY: Expressed in bladder, testis, ovary, small intestine, colon, heart, skeletal muscle, pancreas and cerebellum in the brain. {ECO:0000269|PubMed:11964389, ECO:0000269|PubMed:9280290}.; </t>
  </si>
  <si>
    <t xml:space="preserve">PCK2</t>
  </si>
  <si>
    <t xml:space="preserve">ovary;salivary gland;intestine;colon;skin;retina;bone marrow;uterus;prostate;optic nerve;whole body;endometrium;bone;testis;germinal center;spinal ganglion;brain;bladder;unclassifiable (Anatomical System);lymph node;cartilage;heart;islets of Langerhans;muscle;adrenal cortex;pharynx;blood;skeletal muscle;pancreas;lung;cornea;adrenal gland;nasopharynx;placenta;visual apparatus;hippocampus;liver;spleen;cervix;kidney;mammary gland;stomach;</t>
  </si>
  <si>
    <t xml:space="preserve">superior cervical ganglion;liver;testis;kidney;</t>
  </si>
  <si>
    <t xml:space="preserve">PCSK1</t>
  </si>
  <si>
    <t xml:space="preserve">unclassifiable (Anatomical System);ovary;cartilage;islets of Langerhans;hypothalamus;fovea centralis;retina;breast;lung;bone;macula lutea;hippocampus;pituitary gland;testis;brain;stomach;</t>
  </si>
  <si>
    <t xml:space="preserve">amygdala;whole brain;occipital lobe;medulla oblongata;subthalamic nucleus;hypothalamus;beta cell islets;prefrontal cortex;globus pallidus;ciliary ganglion;pons;parietal lobe;pituitary;</t>
  </si>
  <si>
    <t xml:space="preserve">PCSK9</t>
  </si>
  <si>
    <t xml:space="preserve">TISSUE SPECIFICITY: Expressed in neuro-epithelioma, colon carcinoma, hepatic and pancreatic cell lines, and in Schwann cells.; </t>
  </si>
  <si>
    <t xml:space="preserve">unclassifiable (Anatomical System);cartilage;heart;ovary;colon;blood;skin;uterus;pancreas;lung;endometrium;bone;liver;testis;spleen;cervix;brain;mammary gland;stomach;cerebellum;</t>
  </si>
  <si>
    <t xml:space="preserve">PDE6A</t>
  </si>
  <si>
    <t xml:space="preserve">unclassifiable (Anatomical System);optic nerve;bone;macula lutea;colon;fovea centralis;choroid;lens;skeletal muscle;retina;</t>
  </si>
  <si>
    <t xml:space="preserve">superior cervical ganglion;temporal lobe;pons;parietal lobe;</t>
  </si>
  <si>
    <t xml:space="preserve">PDK4</t>
  </si>
  <si>
    <t xml:space="preserve">TISSUE SPECIFICITY: Ubiquitous; highest levels of expression in heart and skeletal muscle. {ECO:0000269|PubMed:14966024, ECO:0000269|PubMed:21816445}.; </t>
  </si>
  <si>
    <t xml:space="preserve">smooth muscle;ovary;salivary gland;sympathetic chain;intestine;colon;parathyroid;vein;skin;bone marrow;uterus;prostate;endometrium;synovium;thyroid;pituitary gland;testis;dura mater;brain;artery;bladder;gall bladder;unclassifiable (Anatomical System);amygdala;meninges;cartilage;small intestine;heart;islets of Langerhans;hypothalamus;adrenal cortex;pharynx;blood;skeletal muscle;breast;pancreas;pia mater;lung;adrenal gland;placenta;visual apparatus;hippocampus;liver;cervix;kidney;mammary gland;stomach;aorta;</t>
  </si>
  <si>
    <t xml:space="preserve">dorsal root ganglion;atrioventricular node;skeletal muscle;</t>
  </si>
  <si>
    <t xml:space="preserve">PEBP4</t>
  </si>
  <si>
    <t xml:space="preserve">TISSUE SPECIFICITY: Ubiquitously expressed. Highly expressed in tumor cells. {ECO:0000269|PubMed:15302887}.; </t>
  </si>
  <si>
    <t xml:space="preserve">unclassifiable (Anatomical System);myocardium;heart;cartilage;muscle;parathyroid;fovea centralis;choroid;lens;skeletal muscle;skin;retina;uterus;prostate;optic nerve;lung;macula lutea;testis;stomach;</t>
  </si>
  <si>
    <t xml:space="preserve">PFKP</t>
  </si>
  <si>
    <t xml:space="preserve">PGM2L1</t>
  </si>
  <si>
    <t xml:space="preserve">ovary;sympathetic chain;colon;parathyroid;fovea centralis;choroid;vein;skin;retina;bone marrow;uterus;prostate;optic nerve;whole body;frontal lobe;endometrium;bone;thyroid;testis;amniotic fluid;brain;pineal gland;unclassifiable (Anatomical System);amygdala;heart;islets of Langerhans;hypothalamus;pineal body;blood;lens;skeletal muscle;bile duct;breast;pancreas;lung;placenta;macula lutea;visual apparatus;liver;spleen;cervix;kidney;mammary gland;</t>
  </si>
  <si>
    <t xml:space="preserve">amygdala;subthalamic nucleus;occipital lobe;fetal brain;temporal lobe;globus pallidus;ciliary ganglion;pons;cingulate cortex;parietal lobe;</t>
  </si>
  <si>
    <t xml:space="preserve">PIEZO1</t>
  </si>
  <si>
    <t xml:space="preserve">TISSUE SPECIFICITY: Expressed in numerous tissues. In normal brain, expressed exclusively in neurons, not in astrocytes. In Alzheimer disease brains, expressed in about half of the activated astrocytes located around classical senile plaques. In Parkinson disease substantia nigra, not detected in melanin-containing neurons nor in activated astrocytes. Expressed in erythrocytes (at protein level). {ECO:0000269|PubMed:16854388, ECO:0000269|PubMed:22529292, ECO:0000269|PubMed:23479567}.; </t>
  </si>
  <si>
    <t xml:space="preserve">smooth muscle;ovary;skin;retina;prostate;optic nerve;frontal lobe;endometrium;thyroid;germinal center;bladder;brain;heart;cartilage;tongue;urinary;blood;cerebrum;lens;skeletal muscle;breast;epididymis;visual apparatus;macula lutea;liver;alveolus;spleen;cervix;mammary gland;colon;parathyroid;fovea centralis;choroid;uterus;whole body;bone;pituitary gland;testis;unclassifiable (Anatomical System);lymph node;islets of Langerhans;pancreas;lung;cornea;placenta;hypopharynx;head and neck;kidney;stomach;aorta;thymus;</t>
  </si>
  <si>
    <t xml:space="preserve">prostate;tumor;white blood cells;</t>
  </si>
  <si>
    <t xml:space="preserve">PIEZO2</t>
  </si>
  <si>
    <t xml:space="preserve">unclassifiable (Anatomical System);heart;cartilage;colon;blood;lens;skin;uterus;prostate;whole body;lung;frontal lobe;cerebral cortex;visual apparatus;hippocampus;liver;testis;spleen;brain;</t>
  </si>
  <si>
    <t xml:space="preserve">dorsal root ganglion;medulla oblongata;superior cervical ganglion;globus pallidus;ciliary ganglion;atrioventricular node;trigeminal ganglion;skeletal muscle;</t>
  </si>
  <si>
    <t xml:space="preserve">PKD1</t>
  </si>
  <si>
    <t xml:space="preserve">medulla oblongata;smooth muscle;ovary;skin;retina;bone marrow;prostate;optic nerve;frontal lobe;cochlea;endometrium;thyroid;germinal center;brain;heart;cartilage;tongue;urinary;blood;lens;skeletal muscle;breast;epididymis;macula lutea;visual apparatus;liver;cervix;spleen;mammary gland;colon;parathyroid;fovea centralis;choroid;uterus;whole body;larynx;bone;pituitary gland;testis;spinal ganglion;pineal gland;unclassifiable (Anatomical System);lymph node;islets of Langerhans;hypothalamus;pancreas;lung;placenta;hypopharynx;amnion;head and neck;kidney;stomach;thymus;cerebellum;</t>
  </si>
  <si>
    <t xml:space="preserve">amygdala;medulla oblongata;subthalamic nucleus;superior cervical ganglion;cerebellum peduncles;prefrontal cortex;globus pallidus;atrioventricular node;pons;trigeminal ganglion;cingulate cortex;parietal lobe;cerebellum;</t>
  </si>
  <si>
    <t xml:space="preserve">PKHD1</t>
  </si>
  <si>
    <t xml:space="preserve">TISSUE SPECIFICITY: Predominantly expressed in fetal and adult kidney. In the kidney, it is found in the cortical and medullary collecting ducts. Also present in the adult pancreas, but at much lower levels. Detectable in fetal and adult liver. Rather indistinct signal in fetal brain. {ECO:0000269|PubMed:14978161, ECO:0000269|PubMed:15458427}.; </t>
  </si>
  <si>
    <t xml:space="preserve">unclassifiable (Anatomical System);liver;kidney;</t>
  </si>
  <si>
    <t xml:space="preserve">PLB1</t>
  </si>
  <si>
    <t xml:space="preserve">TISSUE SPECIFICITY: Expressed in the epidermis (at protein level). {ECO:0000269|PubMed:12150957}.; </t>
  </si>
  <si>
    <t xml:space="preserve">unclassifiable (Anatomical System);heart;cartilage;islets of Langerhans;blood;fovea centralis;choroid;lens;skin;retina;bone marrow;uterus;prostate;optic nerve;lung;bone;placenta;macula lutea;testis;mammary gland;brain;</t>
  </si>
  <si>
    <t xml:space="preserve">PLCE1-AS1</t>
  </si>
  <si>
    <t xml:space="preserve">PLCL2</t>
  </si>
  <si>
    <t xml:space="preserve">ovary;skin;retina;bone marrow;uterus;prostate;whole body;endometrium;larynx;testis;germinal center;dura mater;brain;unclassifiable (Anatomical System);meninges;heart;cartilage;islets of Langerhans;adrenal cortex;blood;lung;pia mater;trabecular meshwork;visual apparatus;liver;spleen;head and neck;kidney;</t>
  </si>
  <si>
    <t xml:space="preserve">amygdala;dorsal root ganglion;medulla oblongata;superior cervical ganglion;occipital lobe;atrioventricular node;skeletal muscle;skin;fetal brain;prefrontal cortex;globus pallidus;ciliary ganglion;trigeminal ganglion;cingulate cortex;cerebellum;</t>
  </si>
  <si>
    <t xml:space="preserve">PLEKHH2</t>
  </si>
  <si>
    <t xml:space="preserve">TISSUE SPECIFICITY: Kidney. Reduced expression in patients with focal segmental glomerulosclerosis. {ECO:0000269|PubMed:22832517}.; </t>
  </si>
  <si>
    <t xml:space="preserve">smooth muscle;ovary;colon;parathyroid;fovea centralis;choroid;skin;retina;uterus;prostate;optic nerve;whole body;endometrium;thyroid;bone;testis;brain;artery;unclassifiable (Anatomical System);heart;cartilage;islets of Langerhans;hypothalamus;lens;skeletal muscle;pancreas;lung;adrenal gland;placenta;macula lutea;hippocampus;kidney;mammary gland;stomach;aorta;</t>
  </si>
  <si>
    <t xml:space="preserve">globus pallidus;atrioventricular node;</t>
  </si>
  <si>
    <t xml:space="preserve">PNKP</t>
  </si>
  <si>
    <t xml:space="preserve">TISSUE SPECIFICITY: Expressed in many tissues with highest expression in spleen and testis, and lowest expression in small intestine (PubMed:10446192). Expressed in higher amount in pancreas, heart and kidney and at lower levels in brain, lung and liver (PubMed:10446193). {ECO:0000269|PubMed:10446192, ECO:0000269|PubMed:10446193}.; </t>
  </si>
  <si>
    <t xml:space="preserve">lymphoreticular;medulla oblongata;ovary;colon;fovea centralis;choroid;bone marrow;uterus;prostate;endometrium;bone;testis;amniotic fluid;germinal center;brain;unclassifiable (Anatomical System);heart;tongue;hypothalamus;blood;pancreas;lung;placenta;macula lutea;alveolus;liver;spleen;head and neck;kidney;mammary gland;stomach;</t>
  </si>
  <si>
    <t xml:space="preserve">PRAMEF1</t>
  </si>
  <si>
    <t xml:space="preserve">PRAMEF11</t>
  </si>
  <si>
    <t xml:space="preserve">PRAMEF2</t>
  </si>
  <si>
    <t xml:space="preserve">PRKG1</t>
  </si>
  <si>
    <t xml:space="preserve">TISSUE SPECIFICITY: Primarily expressed in lung and placenta. {ECO:0000269|PubMed:9192852}.; </t>
  </si>
  <si>
    <t xml:space="preserve">unclassifiable (Anatomical System);uterus;whole body;heart;artery;skin;aorta;</t>
  </si>
  <si>
    <t xml:space="preserve">dorsal root ganglion;superior cervical ganglion;subthalamic nucleus;ciliary ganglion;caudate nucleus;pons;atrioventricular node;trigeminal ganglion;cerebellum;</t>
  </si>
  <si>
    <t xml:space="preserve">PRPSAP2</t>
  </si>
  <si>
    <t xml:space="preserve">ovary;salivary gland;intestine;colon;parathyroid;fovea centralis;vein;skin;retina;uterus;prostate;whole body;frontal lobe;cochlea;endometrium;bone;pituitary gland;testis;germinal center;brain;bladder;tonsil;unclassifiable (Anatomical System);lymph node;cartilage;heart;lacrimal gland;islets of Langerhans;muscle;pharynx;blood;skeletal muscle;pancreas;lung;placenta;macula lutea;visual apparatus;hippocampus;liver;spleen;kidney;mammary gland;aorta;stomach;thymus;</t>
  </si>
  <si>
    <t xml:space="preserve">amygdala;superior cervical ganglion;testis;parietal lobe;</t>
  </si>
  <si>
    <t xml:space="preserve">PRSS1</t>
  </si>
  <si>
    <t xml:space="preserve">pancreas;islets of Langerhans;liver;colon;spleen;</t>
  </si>
  <si>
    <t xml:space="preserve">superior cervical ganglion;pancreas;beta cell islets;ciliary ganglion;bone marrow;</t>
  </si>
  <si>
    <t xml:space="preserve">PTPRB</t>
  </si>
  <si>
    <t xml:space="preserve">unclassifiable (Anatomical System);cartilage;heart;parathyroid;fovea centralis;choroid;lens;skin;skeletal muscle;retina;bile duct;uterus;optic nerve;lung;frontal lobe;endometrium;placenta;macula lutea;testis;spleen;cervix;kidney;spinal ganglion;brain;</t>
  </si>
  <si>
    <t xml:space="preserve">superior cervical ganglion;globus pallidus;atrioventricular node;trigeminal ganglion;skeletal muscle;</t>
  </si>
  <si>
    <t xml:space="preserve">PTPRK</t>
  </si>
  <si>
    <t xml:space="preserve">TISSUE SPECIFICITY: High levels in lung, brain and colon; less in liver, pancreas, stomach, kidney, placenta and mammary carcinoma.; </t>
  </si>
  <si>
    <t xml:space="preserve">PYGO1</t>
  </si>
  <si>
    <t xml:space="preserve">cervix;</t>
  </si>
  <si>
    <t xml:space="preserve">superior cervical ganglion;testis - interstitial;ciliary ganglion;atrioventricular node;trigeminal ganglion;skeletal muscle;</t>
  </si>
  <si>
    <t xml:space="preserve">PZP</t>
  </si>
  <si>
    <t xml:space="preserve">TISSUE SPECIFICITY: Plasma. Prominent constituent of late- pregnancy sera.; </t>
  </si>
  <si>
    <t xml:space="preserve">lymphoreticular;lung;endometrium;hippocampus;liver;testis;cervix;</t>
  </si>
  <si>
    <t xml:space="preserve">dorsal root ganglion;superior cervical ganglion;atrioventricular node;trigeminal ganglion;skeletal muscle;</t>
  </si>
  <si>
    <t xml:space="preserve">QPCT</t>
  </si>
  <si>
    <t xml:space="preserve">ovary;salivary gland;intestine;colon;parathyroid;skin;retina;uterus;prostate;endometrium;thyroid;iris;testis;germinal center;brain;bladder;unclassifiable (Anatomical System);cartilage;heart;islets of Langerhans;hypothalamus;urinary;adrenal cortex;pharynx;blood;breast;pancreas;lung;cornea;adrenal gland;placenta;visual apparatus;liver;spleen;kidney;mammary gland;stomach;</t>
  </si>
  <si>
    <t xml:space="preserve">adrenal gland;</t>
  </si>
  <si>
    <t xml:space="preserve">RAD51AP1</t>
  </si>
  <si>
    <t xml:space="preserve">TISSUE SPECIFICITY: Highly expressed in testis and thymus. Lower levels in colon and small intestine. Little or no expression in spleen, prostate, ovary and peripheral blood leukocytes. {ECO:0000269|PubMed:9396801}.; </t>
  </si>
  <si>
    <t xml:space="preserve">ovary;salivary gland;intestine;colon;skin;bone marrow;uterus;prostate;whole body;endometrium;testis;germinal center;bladder;brain;unclassifiable (Anatomical System);pharynx;blood;bile duct;pancreas;lung;cornea;nasopharynx;placenta;visual apparatus;liver;cervix;spleen;kidney;mammary gland;stomach;peripheral nerve;thymus;</t>
  </si>
  <si>
    <t xml:space="preserve">superior cervical ganglion;tumor;trigeminal ganglion;</t>
  </si>
  <si>
    <t xml:space="preserve">RALGAPA1</t>
  </si>
  <si>
    <t xml:space="preserve">TISSUE SPECIFICITY: Widely expressed. {ECO:0000269|PubMed:15498464}.; </t>
  </si>
  <si>
    <t xml:space="preserve">colon;skin;bone marrow;retina;uterus;cochlea;endometrium;larynx;thyroid;pituitary gland;testis;brain;unclassifiable (Anatomical System);heart;adrenal cortex;blood;skeletal muscle;breast;pancreas;lung;placenta;liver;spleen;head and neck;kidney;stomach;cerebellum;</t>
  </si>
  <si>
    <t xml:space="preserve">dorsal root ganglion;amygdala;superior cervical ganglion;thalamus;medulla oblongata;occipital lobe;hypothalamus;spinal cord;caudate nucleus;atrioventricular node;skeletal muscle;uterus corpus;subthalamic nucleus;fetal brain;prefrontal cortex;globus pallidus;ciliary ganglion;trigeminal ganglion;parietal lobe;cingulate cortex;</t>
  </si>
  <si>
    <t xml:space="preserve">RASA3</t>
  </si>
  <si>
    <t xml:space="preserve">ovary;umbilical cord;salivary gland;colon;parathyroid;fovea centralis;choroid;skin;retina;bone marrow;uterus;prostate;optic nerve;whole body;cerebral cortex;bone;testis;germinal center;spinal ganglion;brain;unclassifiable (Anatomical System);heart;tongue;islets of Langerhans;blood;lens;skeletal muscle;pancreas;lung;placenta;macula lutea;liver;amnion;spleen;head and neck;kidney;mammary gland;stomach;cerebellum;thymus;</t>
  </si>
  <si>
    <t xml:space="preserve">medulla oblongata;superior cervical ganglion;globus pallidus;pons;atrioventricular node;trigeminal ganglion;parietal lobe;skeletal muscle;</t>
  </si>
  <si>
    <t xml:space="preserve">RAVER1</t>
  </si>
  <si>
    <t xml:space="preserve">lymphoreticular;smooth muscle;ovary;sympathetic chain;colon;parathyroid;fovea centralis;choroid;skin;retina;bone marrow;uterus;optic nerve;whole body;frontal lobe;endometrium;bone;iris;testis;germinal center;brain;pineal gland;unclassifiable (Anatomical System);lymph node;cartilage;heart;muscle;adrenal cortex;blood;lens;skeletal muscle;pancreas;lung;placenta;macula lutea;visual apparatus;liver;spleen;cervix;kidney;mammary gland;stomach;cerebellum;thymus;</t>
  </si>
  <si>
    <t xml:space="preserve">RBM10</t>
  </si>
  <si>
    <t xml:space="preserve">lymphoreticular;myocardium;medulla oblongata;smooth muscle;ovary;colon;parathyroid;fovea centralis;skin;retina;bone marrow;uterus;prostate;optic nerve;whole body;endometrium;larynx;bone;thyroid;testis;germinal center;brain;unclassifiable (Anatomical System);cartilage;heart;tongue;islets of Langerhans;muscle;urinary;adrenal cortex;blood;breast;bile duct;pancreas;lung;adrenal gland;placenta;macula lutea;visual apparatus;liver;spleen;head and neck;cervix;kidney;mammary gland;stomach;</t>
  </si>
  <si>
    <t xml:space="preserve">fetal brain;cerebellum peduncles;placenta;prefrontal cortex;tumor;white blood cells;skeletal muscle;thymus;</t>
  </si>
  <si>
    <t xml:space="preserve">RBM6</t>
  </si>
  <si>
    <t xml:space="preserve">TISSUE SPECIFICITY: Ubiquitous in adults.; </t>
  </si>
  <si>
    <t xml:space="preserve">myocardium;smooth muscle;ovary;skin;bone marrow;prostate;optic nerve;frontal lobe;cochlea;endometrium;thyroid;germinal center;brain;gall bladder;amygdala;heart;cartilage;tongue;adrenal cortex;blood;skeletal muscle;breast;epididymis;macula lutea;liver;cervix;spleen;mammary gland;colon;parathyroid;fovea centralis;vein;uterus;larynx;bone;pituitary gland;testis;pineal gland;unclassifiable (Anatomical System);lymph node;islets of Langerhans;hypothalamus;pancreas;lung;adrenal gland;placenta;amnion;head and neck;kidney;stomach;thymus;cerebellum;</t>
  </si>
  <si>
    <t xml:space="preserve">superior cervical ganglion;olfactory bulb;testis - seminiferous tubule;fetal brain;adrenal cortex;testis;parietal lobe;</t>
  </si>
  <si>
    <t xml:space="preserve">RELN</t>
  </si>
  <si>
    <t xml:space="preserve">TISSUE SPECIFICITY: Abundantly produced during brain ontogenesis by the Cajal-Retzius cells and other pioneer neurons located in the telencephalic marginal zone and by granule cells of the external granular layer of the cerebellum. In adult brain, preferentially expressed in GABAergic interneurons of prefrontal cortices, temporal cortex, hippocampus and glutamatergic granule cells of cerebellum. Expression is reduced to about 50% in patients with schizophrenia. Also expressed in fetal and adult liver. {ECO:0000269|PubMed:9861036}.; </t>
  </si>
  <si>
    <t xml:space="preserve">unclassifiable (Anatomical System);amygdala;heart;cartilage;colon;fovea centralis;skin;skeletal muscle;retina;uterus;breast;prostate;lung;cochlea;endometrium;macula lutea;visual apparatus;hippocampus;liver;testis;spleen;spinal ganglion;brain;</t>
  </si>
  <si>
    <t xml:space="preserve">dorsal root ganglion;amygdala;fetal liver;superior cervical ganglion;olfactory bulb;cerebellum peduncles;appendix;ciliary ganglion;atrioventricular node;pons;trigeminal ganglion;skeletal muscle;cerebellum;</t>
  </si>
  <si>
    <t xml:space="preserve">RGS9</t>
  </si>
  <si>
    <t xml:space="preserve">TISSUE SPECIFICITY: Highly expressed in the caudate and putamen, lower levels found in the hypothalamus and nucleus accumbens and very low levels in cerebellum. Not expressed in globus pallidus or cingulate cortex. Isoform 2 is expressed predominantly in pineal gland and retina. Isoform 3 is expressed in retina (abundant in photoreceptors).; </t>
  </si>
  <si>
    <t xml:space="preserve">unclassifiable (Anatomical System);lymph node;islets of Langerhans;sympathetic chain;choroid;fovea centralis;lens;skeletal muscle;retina;prostate;optic nerve;lung;macula lutea;kidney;pineal gland;</t>
  </si>
  <si>
    <t xml:space="preserve">medulla oblongata;caudate nucleus;</t>
  </si>
  <si>
    <t xml:space="preserve">RPL23A</t>
  </si>
  <si>
    <t xml:space="preserve">ovary;umbilical cord;salivary gland;intestine;colon;parathyroid;skin;bone marrow;prostate;frontal lobe;thyroid;pituitary gland;testis;brain;pineal gland;bladder;unclassifiable (Anatomical System);lymph node;trophoblast;adrenal cortex;pharynx;blood;skeletal muscle;bile duct;breast;lung;cornea;adrenal gland;nasopharynx;placenta;visual apparatus;liver;head and neck;cervix;kidney;mammary gland;stomach;</t>
  </si>
  <si>
    <t xml:space="preserve">RTN4IP1</t>
  </si>
  <si>
    <t xml:space="preserve">TISSUE SPECIFICITY: Widely expressed in mitochondria-enriched tissues. Found in heart, muscle, kidney, liver, brain and placenta. {ECO:0000269|PubMed:12067236}.; </t>
  </si>
  <si>
    <t xml:space="preserve">RUVBL1</t>
  </si>
  <si>
    <t xml:space="preserve">TISSUE SPECIFICITY: Ubiquitously expressed with high expression in heart, skeletal muscle and testis.; </t>
  </si>
  <si>
    <t xml:space="preserve">myocardium;medulla oblongata;ovary;sympathetic chain;skin;bone marrow;retina;prostate;optic nerve;endometrium;thyroid;germinal center;bladder;brain;tonsil;heart;cartilage;pharynx;blood;lens;skeletal muscle;breast;visual apparatus;macula lutea;liver;spleen;cervix;mammary gland;peripheral nerve;salivary gland;intestine;colon;parathyroid;fovea centralis;choroid;uterus;bone;testis;unclassifiable (Anatomical System);lymph node;islets of Langerhans;muscle;pancreas;lung;cornea;nasopharynx;placenta;duodenum;hypopharynx;head and neck;kidney;stomach;thymus;</t>
  </si>
  <si>
    <t xml:space="preserve">superior cervical ganglion;tumor;testis;trigeminal ganglion;</t>
  </si>
  <si>
    <t xml:space="preserve">SCN1A</t>
  </si>
  <si>
    <t xml:space="preserve">unclassifiable (Anatomical System);optic nerve;frontal lobe;hypothalamus;macula lutea;fovea centralis;choroid;lens;brain;skeletal muscle;retina;</t>
  </si>
  <si>
    <t xml:space="preserve">amygdala;occipital lobe;medulla oblongata;thalamus;subthalamic nucleus;temporal lobe;prefrontal cortex;globus pallidus;pons;cingulate cortex;parietal lobe;</t>
  </si>
  <si>
    <t xml:space="preserve">SCNN1G</t>
  </si>
  <si>
    <t xml:space="preserve">TISSUE SPECIFICITY: Expressed in kidney (at protein level). {ECO:0000269|PubMed:22207244}.; </t>
  </si>
  <si>
    <t xml:space="preserve">unclassifiable (Anatomical System);breast;endometrium;kidney;brain;peripheral nerve;</t>
  </si>
  <si>
    <t xml:space="preserve">SEL1L3</t>
  </si>
  <si>
    <t xml:space="preserve">ovary;colon;parathyroid;choroid;skin;bone marrow;uterus;prostate;endometrium;bone;thyroid;pituitary gland;testis;germinal center;spinal ganglion;brain;bladder;tonsil;unclassifiable (Anatomical System);lymph node;small intestine;heart;islets of Langerhans;muscle;adrenal cortex;blood;skeletal muscle;breast;bile duct;pancreas;lung;nasopharynx;placenta;visual apparatus;amnion;liver;cervix;kidney;mammary gland;stomach;aorta;cerebellum;</t>
  </si>
  <si>
    <t xml:space="preserve">SEMA4B</t>
  </si>
  <si>
    <t xml:space="preserve">colon;skin;bone marrow;uterus;prostate;frontal lobe;endometrium;larynx;thyroid;iris;brain;unclassifiable (Anatomical System);lymph node;blood;skeletal muscle;bile duct;breast;pancreas;lung;epididymis;placenta;visual apparatus;hippocampus;liver;spleen;head and neck;cervix;kidney;mammary gland;stomach;cerebellum;</t>
  </si>
  <si>
    <t xml:space="preserve">SETD4</t>
  </si>
  <si>
    <t xml:space="preserve">medulla oblongata;ovary;salivary gland;intestine;colon;parathyroid;fovea centralis;choroid;skin;retina;uterus;prostate;optic nerve;thyroid;testis;germinal center;brain;bladder;unclassifiable (Anatomical System);lymph node;cartilage;heart;islets of Langerhans;pharynx;blood;lens;pancreas;lung;nasopharynx;placenta;macula lutea;visual apparatus;hippocampus;liver;spleen;kidney;stomach;</t>
  </si>
  <si>
    <t xml:space="preserve">superior cervical ganglion;testis - interstitial;testis;kidney;pons;trigeminal ganglion;skeletal muscle;</t>
  </si>
  <si>
    <t xml:space="preserve">SFI1</t>
  </si>
  <si>
    <t xml:space="preserve">medulla oblongata;ovary;colon;parathyroid;fovea centralis;choroid;vein;skin;retina;uterus;prostate;optic nerve;whole body;oesophagus;endometrium;larynx;bone;thyroid;iris;testis;germinal center;brain;unclassifiable (Anatomical System);lymph node;cartilage;islets of Langerhans;lens;skeletal muscle;pancreas;lung;placenta;macula lutea;visual apparatus;liver;spleen;head and neck;cervix;kidney;stomach;thymus;</t>
  </si>
  <si>
    <t xml:space="preserve">SGSM2</t>
  </si>
  <si>
    <t xml:space="preserve">TISSUE SPECIFICITY: Widely expressed. {ECO:0000269|PubMed:17509819}.; </t>
  </si>
  <si>
    <t xml:space="preserve">myocardium;lymphoreticular;medulla oblongata;smooth muscle;ovary;skin;retina;bone marrow;prostate;optic nerve;frontal lobe;endometrium;thyroid;iris;germinal center;brain;gall bladder;amygdala;heart;cartilage;blood;lens;skeletal muscle;breast;macula lutea;visual apparatus;liver;cervix;spleen;mammary gland;colon;parathyroid;fovea centralis;choroid;uterus;whole body;oesophagus;larynx;synovium;bone;pituitary gland;testis;spinal ganglion;unclassifiable (Anatomical System);lacrimal gland;islets of Langerhans;hypothalamus;lung;adrenal gland;placenta;hippocampus;head and neck;kidney;stomach;thymus;cerebellum;</t>
  </si>
  <si>
    <t xml:space="preserve">amygdala;superior cervical ganglion;subthalamic nucleus;medulla oblongata;temporal lobe;prefrontal cortex;globus pallidus;pons;atrioventricular node;caudate nucleus;trigeminal ganglion;cingulate cortex;</t>
  </si>
  <si>
    <t xml:space="preserve">SLC15A5</t>
  </si>
  <si>
    <t xml:space="preserve">SLC35D3</t>
  </si>
  <si>
    <t xml:space="preserve">SLC37A3</t>
  </si>
  <si>
    <t xml:space="preserve">ovary;colon;parathyroid;skin;uterus;prostate;whole body;frontal lobe;endometrium;synovium;larynx;bone;thyroid;testis;brain;artery;gall bladder;unclassifiable (Anatomical System);lymph node;cartilage;heart;lacrimal gland;islets of Langerhans;lens;skeletal muscle;breast;pancreas;lung;trabecular meshwork;placenta;visual apparatus;liver;head and neck;kidney;mammary gland;stomach;aorta;</t>
  </si>
  <si>
    <t xml:space="preserve">SLC39A13</t>
  </si>
  <si>
    <t xml:space="preserve">unclassifiable (Anatomical System);cartilage;ovary;islets of Langerhans;colon;skin;skeletal muscle;uterus;pancreas;whole body;lung;synovium;bone;thyroid;placenta;testis;spleen;kidney;spinal ganglion;brain;stomach;</t>
  </si>
  <si>
    <t xml:space="preserve">superior cervical ganglion;testis - interstitial;testis - seminiferous tubule;globus pallidus;testis;ciliary ganglion;atrioventricular node;trigeminal ganglion;skeletal muscle;</t>
  </si>
  <si>
    <t xml:space="preserve">SLC9A8</t>
  </si>
  <si>
    <t xml:space="preserve">TISSUE SPECIFICITY: Ubiquitous. Strongly expressed in skeletal muscle and kidney. {ECO:0000269|PubMed:15522866}.; </t>
  </si>
  <si>
    <t xml:space="preserve">ovary;sympathetic chain;colon;fovea centralis;choroid;skin;retina;bone marrow;uterus;prostate;optic nerve;whole body;endometrium;bone;thyroid;testis;germinal center;brain;unclassifiable (Anatomical System);lymph node;cartilage;heart;islets of Langerhans;blood;lens;skeletal muscle;breast;lung;placenta;macula lutea;liver;spleen;head and neck;cervix;kidney;mammary gland;stomach;cerebellum;</t>
  </si>
  <si>
    <t xml:space="preserve">superior cervical ganglion;ciliary ganglion;pons;atrioventricular node;trigeminal ganglion;skeletal muscle;</t>
  </si>
  <si>
    <t xml:space="preserve">SLC9B1</t>
  </si>
  <si>
    <t xml:space="preserve">TISSUE SPECIFICITY: Expressed only in the testis. {ECO:0000269|PubMed:16850186}.; </t>
  </si>
  <si>
    <t xml:space="preserve">unclassifiable (Anatomical System);medulla oblongata;pancreas;lung;whole body;ovary;heart;islets of Langerhans;placenta;visual apparatus;hippocampus;testis;parathyroid;</t>
  </si>
  <si>
    <t xml:space="preserve">dorsal root ganglion;superior cervical ganglion;testis - interstitial;temporal lobe;atrioventricular node;skeletal muscle;skin;testis - seminiferous tubule;globus pallidus;appendix;testis;ciliary ganglion;trigeminal ganglion;</t>
  </si>
  <si>
    <t xml:space="preserve">SMARCD3</t>
  </si>
  <si>
    <t xml:space="preserve">TISSUE SPECIFICITY: Isoform 2 and isoform 1 are expressed in brain, heart, kidney, placenta, prostate, salivary gland, spleen, testis, thyroid, trachea and uterus. Isoform 1 is also expressed in skeletal muscle and adipose tissue.; </t>
  </si>
  <si>
    <t xml:space="preserve">lymphoreticular;medulla oblongata;ovary;sympathetic chain;skin;retina;bone marrow;prostate;optic nerve;endometrium;thyroid;iris;amniotic fluid;germinal center;brain;bladder;cartilage;heart;blood;lens;skeletal muscle;breast;epididymis;visual apparatus;macula lutea;liver;spleen;cervix;mammary gland;peripheral nerve;colon;parathyroid;choroid;fovea centralis;uterus;whole body;cerebral cortex;bone;pituitary gland;testis;pineal gland;unclassifiable (Anatomical System);islets of Langerhans;hypothalamus;pancreas;lung;placenta;hippocampus;kidney;stomach;aorta;cerebellum;thymus;</t>
  </si>
  <si>
    <t xml:space="preserve">medulla oblongata;occipital lobe;fetal brain;temporal lobe;pons;caudate nucleus;parietal lobe;cingulate cortex;</t>
  </si>
  <si>
    <t xml:space="preserve">SMCHD1</t>
  </si>
  <si>
    <t xml:space="preserve">smooth muscle;ovary;skin;bone marrow;retina;prostate;optic nerve;frontal lobe;cochlea;endometrium;germinal center;brain;heart;cartilage;blood;lens;skeletal muscle;breast;visual apparatus;macula lutea;liver;spleen;cervix;mammary gland;peripheral nerve;colon;parathyroid;choroid;fovea centralis;uterus;whole body;cerebral cortex;larynx;bone;testis;spinal ganglion;unclassifiable (Anatomical System);lymph node;lacrimal gland;islets of Langerhans;oral cavity;bile duct;pancreas;lung;adrenal gland;nasopharynx;placenta;head and neck;kidney;stomach;aorta;thymus;</t>
  </si>
  <si>
    <t xml:space="preserve">dorsal root ganglion;testis - interstitial;superior cervical ganglion;testis - seminiferous tubule;testis;ciliary ganglion;whole blood;trigeminal ganglion;skeletal muscle;</t>
  </si>
  <si>
    <t xml:space="preserve">SNAP25</t>
  </si>
  <si>
    <t xml:space="preserve">TISSUE SPECIFICITY: Neurons of the neocortex, hippocampus, piriform cortex, anterior thalamic nuclei, pontine nuclei, and granule cells of the cerebellum.; </t>
  </si>
  <si>
    <t xml:space="preserve">sympathetic chain;fovea centralis;choroid;retina;optic nerve;whole body;frontal lobe;cerebral cortex;larynx;pituitary gland;testis;spinal ganglion;pineal gland;brain;unclassifiable (Anatomical System);amygdala;cerebellum cortex;islets of Langerhans;hypothalamus;lens;skeletal muscle;breast;lung;adrenal gland;macula lutea;hippocampus;visual apparatus;liver;spleen;head and neck;kidney;cerebellum;</t>
  </si>
  <si>
    <t xml:space="preserve">whole brain;amygdala;superior cervical ganglion;thalamus;medulla oblongata;occipital lobe;cerebellum peduncles;hypothalamus;temporal lobe;spinal cord;caudate nucleus;pons;subthalamic nucleus;fetal brain;prefrontal cortex;globus pallidus;ciliary ganglion;cingulate cortex;pituitary;parietal lobe;cerebellum;</t>
  </si>
  <si>
    <t xml:space="preserve">SNHG14</t>
  </si>
  <si>
    <t xml:space="preserve">small nucleolar RNA host gene 14</t>
  </si>
  <si>
    <t xml:space="preserve">SNHG22</t>
  </si>
  <si>
    <t xml:space="preserve">small nucleolar RNA host gene 22</t>
  </si>
  <si>
    <t xml:space="preserve">SP110</t>
  </si>
  <si>
    <t xml:space="preserve">TISSUE SPECIFICITY: Highly expressed in peripheral blood leukocytes and spleen. Detected at intermediate levels in thymus, prostate, testis, ovary, small intestine and colon, and at low levels in heart, brain, placenta, lung, liver, skeletal muscle, kidney and pancreas.; </t>
  </si>
  <si>
    <t xml:space="preserve">lymphoreticular;ovary;salivary gland;intestine;colon;parathyroid;fovea centralis;choroid;skin;bone marrow;uterus;prostate;whole body;bone;testis;germinal center;spinal ganglion;brain;bladder;tonsil;unclassifiable (Anatomical System);lymph node;cartilage;heart;islets of Langerhans;pharynx;blood;breast;lung;nasopharynx;placenta;macula lutea;visual apparatus;alveolus;liver;spleen;kidney;mammary gland;</t>
  </si>
  <si>
    <t xml:space="preserve">dorsal root ganglion;superior cervical ganglion;appendix;ciliary ganglion;white blood cells;trigeminal ganglion;whole blood;tonsil;skeletal muscle;</t>
  </si>
  <si>
    <t xml:space="preserve">SPDL1</t>
  </si>
  <si>
    <t xml:space="preserve">SPNS1</t>
  </si>
  <si>
    <t xml:space="preserve">ovary;sympathetic chain;colon;parathyroid;fovea centralis;choroid;skin;retina;bone marrow;uterus;prostate;optic nerve;whole body;frontal lobe;endometrium;larynx;bone;thyroid;iris;testis;germinal center;brain;unclassifiable (Anatomical System);trophoblast;lymph node;cartilage;heart;tongue;islets of Langerhans;adrenal cortex;blood;lens;skeletal muscle;bile duct;pancreas;lung;placenta;macula lutea;visual apparatus;hippocampus;liver;spleen;head and neck;cervix;kidney;mammary gland;stomach;thymus;</t>
  </si>
  <si>
    <t xml:space="preserve">STAT3</t>
  </si>
  <si>
    <t xml:space="preserve">TISSUE SPECIFICITY: Heart, brain, placenta, lung, liver, skeletal muscle, kidney and pancreas.; </t>
  </si>
  <si>
    <t xml:space="preserve">ovary;salivary gland;colon;choroid;skin;retina;bone marrow;uterus;prostate;whole body;endometrium;synovium;larynx;bone;thyroid;testis;amniotic fluid;germinal center;brain;bladder;tonsil;unclassifiable (Anatomical System);lymph node;cartilage;heart;islets of Langerhans;muscle;blood;lens;skeletal muscle;breast;bile duct;pancreas;lung;cornea;adrenal gland;nasopharynx;placenta;visual apparatus;amnion;hypopharynx;liver;cervix;spleen;head and neck;kidney;mammary gland;aorta;stomach;</t>
  </si>
  <si>
    <t xml:space="preserve">adipose tissue;beta cell islets;kidney;</t>
  </si>
  <si>
    <t xml:space="preserve">STEAP3</t>
  </si>
  <si>
    <t xml:space="preserve">STEAP3 metalloreductase</t>
  </si>
  <si>
    <t xml:space="preserve">TISSUE SPECIFICITY: Expressed in adult bone marrow, placenta, liver, skeletal muscle and pancreas. Down-regulated in hepatocellular carcinoma. {ECO:0000269|PubMed:12606722, ECO:0000269|PubMed:15885357, ECO:0000269|PubMed:16227996}.; </t>
  </si>
  <si>
    <t xml:space="preserve">unclassifiable (Anatomical System);placenta;visual apparatus;liver;colon;cervix;blood;brain;bone marrow;</t>
  </si>
  <si>
    <t xml:space="preserve">dorsal root ganglion;liver;ciliary ganglion;skeletal muscle;</t>
  </si>
  <si>
    <t xml:space="preserve">STEAP3-AS1</t>
  </si>
  <si>
    <t xml:space="preserve">STEAP3 antisense RNA 1</t>
  </si>
  <si>
    <t xml:space="preserve">SULF1</t>
  </si>
  <si>
    <t xml:space="preserve">TISSUE SPECIFICITY: Expressed at highest levels in testis, stomach, skeletal muscle, lung, kidney, pancreas, small intestine and colon. It is also detected in normal ovarian surface epithelial cells. Down-regulation seen in ovarian carcinoma cell lines, ovarian cancers, breast, pancreatic, renal and hepatocellular carcinoma cell lines.; </t>
  </si>
  <si>
    <t xml:space="preserve">smooth muscle;ovary;colon;parathyroid;fovea centralis;choroid;vein;skin;retina;bone marrow;uterus;prostate;optic nerve;whole body;endometrium;larynx;bone;thyroid;testis;amniotic fluid;brain;unclassifiable (Anatomical System);lymph node;cartilage;heart;tongue;muscle;urinary;lens;skeletal muscle;breast;pancreas;lung;trabecular meshwork;placenta;macula lutea;visual apparatus;head and neck;kidney;mammary gland;stomach;aorta;</t>
  </si>
  <si>
    <t xml:space="preserve">superior cervical ganglion;heart;testis;ciliary ganglion;trigeminal ganglion;</t>
  </si>
  <si>
    <t xml:space="preserve">SULT1A1</t>
  </si>
  <si>
    <t xml:space="preserve">TISSUE SPECIFICITY: Liver, lung, adrenal, brain, platelets and skin.; </t>
  </si>
  <si>
    <t xml:space="preserve">smooth muscle;ovary;sympathetic chain;colon;parathyroid;vein;skin;retina;bone marrow;uterus;prostate;optic nerve;whole body;frontal lobe;oesophagus;endometrium;larynx;thyroid;bone;iris;testis;germinal center;spinal ganglion;bladder;brain;tonsil;unclassifiable (Anatomical System);lymph node;heart;cartilage;tongue;islets of Langerhans;pineal body;blood;pancreas;lung;trabecular meshwork;placenta;visual apparatus;hypopharynx;liver;cervix;head and neck;spleen;kidney;mammary gland;stomach;cerebellum;</t>
  </si>
  <si>
    <t xml:space="preserve">SYCP1</t>
  </si>
  <si>
    <t xml:space="preserve">TISSUE SPECIFICITY: Testis.; </t>
  </si>
  <si>
    <t xml:space="preserve">SYNE1</t>
  </si>
  <si>
    <t xml:space="preserve">spectrin repeat containing, nuclear envelope 1</t>
  </si>
  <si>
    <t xml:space="preserve">TISSUE SPECIFICITY: Expressed in HeLa, A431, A172 and HaCaT cells (at protein level). Widely expressed. Highly expressed in skeletal and smooth muscles, heart, spleen, peripheral blood leukocytes, pancreas, cerebellum, stomach, kidney and placenta. Isoform GSRP- 56 is predominantly expressed in heart and skeletal muscle (at protein level). {ECO:0000269|PubMed:11792814, ECO:0000269|PubMed:11801724, ECO:0000269|PubMed:15093733, ECO:0000269|PubMed:16875688, ECO:0000269|PubMed:22518138}.; </t>
  </si>
  <si>
    <t xml:space="preserve">lymphoreticular;ovary;skin;bone marrow;retina;prostate;optic nerve;frontal lobe;endometrium;thyroid;germinal center;brain;heart;cartilage;spinal cord;blood;lens;skeletal muscle;breast;visual apparatus;macula lutea;liver;spleen;mammary gland;salivary gland;colon;parathyroid;choroid;fovea centralis;uterus;whole body;cerebral cortex;bone;testis;artery;unclassifiable (Anatomical System);islets of Langerhans;hypothalamus;muscle;lung;adrenal gland;nasopharynx;placenta;hippocampus;hypopharynx;head and neck;kidney;stomach;aorta;cerebellum;</t>
  </si>
  <si>
    <t xml:space="preserve">dorsal root ganglion;superior cervical ganglion;medulla oblongata;cerebellum peduncles;atrioventricular node;pons;skeletal muscle;subthalamic nucleus;prefrontal cortex;globus pallidus;appendix;ciliary ganglion;trigeminal ganglion;parietal lobe;cingulate cortex;</t>
  </si>
  <si>
    <t xml:space="preserve">TAF5L</t>
  </si>
  <si>
    <t xml:space="preserve">unclassifiable (Anatomical System);ovary;heart;tongue;islets of Langerhans;colon;blood;skin;bone marrow;uterus;pancreas;whole body;lung;cochlea;endometrium;larynx;placenta;liver;testis;head and neck;kidney;germinal center;brain;mammary gland;cerebellum;</t>
  </si>
  <si>
    <t xml:space="preserve">dorsal root ganglion;superior cervical ganglion;atrioventricular node;</t>
  </si>
  <si>
    <t xml:space="preserve">TCP10</t>
  </si>
  <si>
    <t xml:space="preserve">TCP10L2</t>
  </si>
  <si>
    <t xml:space="preserve">unclassifiable (Anatomical System);lung;ovary;testis;colon;kidney;</t>
  </si>
  <si>
    <t xml:space="preserve">superior cervical ganglion;globus pallidus;appendix;pons;trigeminal ganglion;</t>
  </si>
  <si>
    <t xml:space="preserve">TGFB2</t>
  </si>
  <si>
    <t xml:space="preserve">transforming growth factor beta 2</t>
  </si>
  <si>
    <t xml:space="preserve">THBD</t>
  </si>
  <si>
    <t xml:space="preserve">TISSUE SPECIFICITY: Endothelial cells are unique in synthesizing thrombomodulin.; </t>
  </si>
  <si>
    <t xml:space="preserve">TMEM147</t>
  </si>
  <si>
    <t xml:space="preserve">lymphoreticular;ovary;colon;parathyroid;skin;retina;uterus;prostate;whole body;endometrium;larynx;bone;thyroid;iris;testis;brain;unclassifiable (Anatomical System);lymph node;cartilage;lacrimal gland;islets of Langerhans;hypothalamus;muscle;urinary;adrenal cortex;lens;skeletal muscle;breast;pancreas;lung;placenta;visual apparatus;liver;duodenum;spleen;head and neck;cervix;kidney;mammary gland;stomach;thymus;</t>
  </si>
  <si>
    <t xml:space="preserve">superior cervical ganglion;adrenal gland;thyroid;testis;kidney;trigeminal ganglion;</t>
  </si>
  <si>
    <t xml:space="preserve">TMEM248</t>
  </si>
  <si>
    <t xml:space="preserve">TMEM38B</t>
  </si>
  <si>
    <t xml:space="preserve">TNNI3K</t>
  </si>
  <si>
    <t xml:space="preserve">1.80292277016875e-38</t>
  </si>
  <si>
    <t xml:space="preserve">TNNI3 interacting kinase</t>
  </si>
  <si>
    <t xml:space="preserve">TNRC18</t>
  </si>
  <si>
    <t xml:space="preserve">colon;parathyroid;choroid;fovea centralis;skin;retina;uterus;optic nerve;bone;iris;testis;germinal center;brain;unclassifiable (Anatomical System);heart;islets of Langerhans;lens;skeletal muscle;lung;placenta;macula lutea;liver;cervix;spleen;stomach;</t>
  </si>
  <si>
    <t xml:space="preserve">dorsal root ganglion;subthalamic nucleus;thalamus;superior cervical ganglion;globus pallidus;ciliary ganglion;pons;atrioventricular node;trigeminal ganglion;skeletal muscle;</t>
  </si>
  <si>
    <t xml:space="preserve">TRAF3IP2</t>
  </si>
  <si>
    <t xml:space="preserve">TRAF3 interacting protein 2</t>
  </si>
  <si>
    <t xml:space="preserve">ovary;colon;parathyroid;fovea centralis;choroid;skin;retina;uterus;prostate;optic nerve;endometrium;larynx;bone;iris;testis;brain;unclassifiable (Anatomical System);cartilage;heart;tongue;islets of Langerhans;spinal cord;pharynx;blood;lens;skeletal muscle;bile duct;breast;pancreas;lung;trabecular meshwork;placenta;macula lutea;liver;alveolus;spleen;head and neck;cervix;kidney;mammary gland;stomach;thymus;</t>
  </si>
  <si>
    <t xml:space="preserve">prostate;superior cervical ganglion;adipose tissue;lung;placenta;ciliary ganglion;trigeminal ganglion;</t>
  </si>
  <si>
    <t xml:space="preserve">TRAF3IP2-AS1</t>
  </si>
  <si>
    <t xml:space="preserve">TRAF3IP2 antisense RNA 1</t>
  </si>
  <si>
    <t xml:space="preserve">TRDN</t>
  </si>
  <si>
    <t xml:space="preserve">unclassifiable (Anatomical System);lung;whole body;macula lutea;developmental;liver;testis;fovea centralis;skeletal muscle;retina;</t>
  </si>
  <si>
    <t xml:space="preserve">subthalamic nucleus;superior cervical ganglion;tongue;thyroid;ciliary ganglion;atrioventricular node;pons;trigeminal ganglion;skeletal muscle;</t>
  </si>
  <si>
    <t xml:space="preserve">TRO</t>
  </si>
  <si>
    <t xml:space="preserve">TISSUE SPECIFICITY: Strong expression at implantation sites. Found in the placenta from the sixth week of pregnancy. Was localized in the cytoplasm of the syncytiotrophoblast in the chorionic villi and in endometrial decidual cells at the uteroplacental interface. After week 10, the level decreased and then disappeared from placental villi. Also found in macrophages.; </t>
  </si>
  <si>
    <t xml:space="preserve">smooth muscle;ovary;parathyroid;skin;uterus;prostate;whole body;cochlea;endometrium;synovium;testis;brain;unclassifiable (Anatomical System);amygdala;heart;cerebellum cortex;islets of Langerhans;blood;skeletal muscle;lung;placenta;visual apparatus;hippocampus;liver;spleen;head and neck;kidney;mammary gland;peripheral nerve;</t>
  </si>
  <si>
    <t xml:space="preserve">amygdala;whole brain;superior cervical ganglion;occipital lobe;fetal brain;hypothalamus;prefrontal cortex;ciliary ganglion;atrioventricular node;pons;trigeminal ganglion;skeletal muscle;cingulate cortex;</t>
  </si>
  <si>
    <t xml:space="preserve">TRPM4</t>
  </si>
  <si>
    <t xml:space="preserve">TISSUE SPECIFICITY: Widely expressed with a high expression in intestine and prostate. In brain, it is both expressed in whole cerebral arteries and isolated vascular smooth muscle cells. Prominently expressed in Purkinje fibers. Expressed at higher levels in T-helper 2 (Th2) cells as compared to T-helper 1 (Th1) cells. {ECO:0000269|PubMed:11535825, ECO:0000269|PubMed:12015988, ECO:0000269|PubMed:12799367, ECO:0000269|PubMed:15472118, ECO:0000269|PubMed:16777713, ECO:0000269|PubMed:19726882, ECO:0000269|PubMed:20656926}.; </t>
  </si>
  <si>
    <t xml:space="preserve">ovary;colon;fovea centralis;choroid;skin;bone marrow;retina;uterus;optic nerve;bone;testis;brain;tonsil;unclassifiable (Anatomical System);heart;islets of Langerhans;blood;lens;skeletal muscle;pancreas;lung;epididymis;placenta;macula lutea;liver;kidney;mammary gland;stomach;peripheral nerve;</t>
  </si>
  <si>
    <t xml:space="preserve">dorsal root ganglion;prostate;ciliary ganglion;skeletal muscle;</t>
  </si>
  <si>
    <t xml:space="preserve">TSACC</t>
  </si>
  <si>
    <t xml:space="preserve">TISSUE SPECIFICITY: Expressed in testis but is absent from mature sperm. {ECO:0000269|PubMed:20829357}.; </t>
  </si>
  <si>
    <t xml:space="preserve">TSEN34</t>
  </si>
  <si>
    <t xml:space="preserve">ovary;colon;parathyroid;fovea centralis;skin;retina;bone marrow;uterus;prostate;whole body;endometrium;testis;amniotic fluid;brain;tonsil;unclassifiable (Anatomical System);lymph node;heart;hypothalamus;blood;pancreas;lung;placenta;macula lutea;visual apparatus;duodenum;alveolus;liver;spleen;kidney;mammary gland;stomach;</t>
  </si>
  <si>
    <t xml:space="preserve">superior cervical ganglion;testis;trigeminal ganglion;whole blood;</t>
  </si>
  <si>
    <t xml:space="preserve">TSGA10</t>
  </si>
  <si>
    <t xml:space="preserve">TISSUE SPECIFICITY: Testis specific. {ECO:0000269|PubMed:11179690}.; </t>
  </si>
  <si>
    <t xml:space="preserve">unclassifiable (Anatomical System);uterus;lung;frontal lobe;islets of Langerhans;testis;skin;stomach;</t>
  </si>
  <si>
    <t xml:space="preserve">testis - interstitial;testis - seminiferous tubule;testis;ciliary ganglion;</t>
  </si>
  <si>
    <t xml:space="preserve">TSHR</t>
  </si>
  <si>
    <t xml:space="preserve">TISSUE SPECIFICITY: Expressed in the thyroid. {ECO:0000269|PubMed:2610690}.; </t>
  </si>
  <si>
    <t xml:space="preserve">unclassifiable (Anatomical System);lung;ovary;thyroid;blood;head and neck;brain;skeletal muscle;bone marrow;</t>
  </si>
  <si>
    <t xml:space="preserve">superior cervical ganglion;thyroid;globus pallidus;ciliary ganglion;pons;atrioventricular node;fetal thyroid;trigeminal ganglion;skeletal muscle;thymus;</t>
  </si>
  <si>
    <t xml:space="preserve">TSNAX-DISC1</t>
  </si>
  <si>
    <t xml:space="preserve">TSNAX-DISC1 readthrough (NMD candidate)</t>
  </si>
  <si>
    <t xml:space="preserve">TTN</t>
  </si>
  <si>
    <t xml:space="preserve">TISSUE SPECIFICITY: Isoforms 3, 7 and 8 are expressed in cardiac muscle. Isoform 4 is expressed in vertebrate skeletal muscle. Isoform 6 is expressed in skeletal muscle (at protein level). {ECO:0000269|PubMed:11717165, ECO:0000269|PubMed:7819249}.; </t>
  </si>
  <si>
    <t xml:space="preserve">myocardium;ovary;colon;parathyroid;choroid;fovea centralis;skin;bone marrow;retina;uterus;prostate;whole body;optic nerve;atrium;frontal lobe;larynx;thyroid;bone;testis;germinal center;unclassifiable (Anatomical System);heart;tongue;muscle;spinal cord;blood;lens;skeletal muscle;pancreas;lung;nasopharynx;placenta;visual apparatus;macula lutea;alveolus;liver;spleen;head and neck;kidney;peripheral nerve;</t>
  </si>
  <si>
    <t xml:space="preserve">superior cervical ganglion;tongue;thyroid;globus pallidus;testis;atrioventricular node;pons;fetal thyroid;trigeminal ganglion;skeletal muscle;</t>
  </si>
  <si>
    <t xml:space="preserve">UBE3A</t>
  </si>
  <si>
    <t xml:space="preserve">ubiquitin protein ligase E3A</t>
  </si>
  <si>
    <t xml:space="preserve">smooth muscle;ovary;sympathetic chain;skin;retina;bone marrow;prostate;optic nerve;cochlea;endometrium;thyroid;germinal center;brain;amygdala;heart;cartilage;tongue;adrenal cortex;pharynx;blood;lens;skeletal muscle;breast;trabecular meshwork;macula lutea;visual apparatus;liver;spleen;cervix;mammary gland;peripheral nerve;salivary gland;intestine;colon;parathyroid;fovea centralis;choroid;uterus;whole body;larynx;bone;pituitary gland;testis;dura mater;artery;pineal gland;unclassifiable (Anatomical System);meninges;lymph node;islets of Langerhans;hypothalamus;bile duct;pancreas;lung;pia mater;cornea;nasopharynx;placenta;hypopharynx;head and neck;kidney;stomach;aorta;</t>
  </si>
  <si>
    <t xml:space="preserve">dorsal root ganglion;amygdala;superior cervical ganglion;testis - interstitial;occipital lobe;cerebellum peduncles;caudate nucleus;atrioventricular node;pons;skeletal muscle;prefrontal cortex;globus pallidus;testis;ciliary ganglion;trigeminal ganglion;cingulate cortex;parietal lobe;</t>
  </si>
  <si>
    <t xml:space="preserve">UBE3C</t>
  </si>
  <si>
    <t xml:space="preserve">TISSUE SPECIFICITY: Highly expressed in skeletal muscle. Detected at much lower levels in kidney and pancreas. {ECO:0000269|PubMed:11278995, ECO:0000269|PubMed:12692129, ECO:0000269|PubMed:9575161}.; </t>
  </si>
  <si>
    <t xml:space="preserve">myocardium;ovary;skin;bone marrow;retina;prostate;optic nerve;cochlea;endometrium;thyroid;iris;germinal center;bladder;brain;gall bladder;heart;cartilage;tongue;spinal cord;blood;lens;skeletal muscle;breast;visual apparatus;liver;spleen;mammary gland;colon;parathyroid;choroid;vein;uterus;whole body;larynx;bone;testis;unclassifiable (Anatomical System);lymph node;cerebellum cortex;islets of Langerhans;muscle;pancreas;lung;adrenal gland;placenta;hypopharynx;head and neck;kidney;stomach;aorta;</t>
  </si>
  <si>
    <t xml:space="preserve">superior cervical ganglion;testis;pons;skeletal muscle;</t>
  </si>
  <si>
    <t xml:space="preserve">UEVLD</t>
  </si>
  <si>
    <t xml:space="preserve">TISSUE SPECIFICITY: Colon, colon carcinoma cell lines, normal cervical epithelium, carcinomas of the uterine cervix and peripheral blood leukocytes. {ECO:0000269|PubMed:12427560}.; </t>
  </si>
  <si>
    <t xml:space="preserve">unclassifiable (Anatomical System);smooth muscle;cartilage;ovary;blood;parathyroid;skin;skeletal muscle;retina;pancreas;placenta;bone;hippocampus;testis;germinal center;kidney;brain;mammary gland;</t>
  </si>
  <si>
    <t xml:space="preserve">UGT1A4</t>
  </si>
  <si>
    <t xml:space="preserve">TISSUE SPECIFICITY: Isoform 1 and isoform 2 are expressed in liver, kidney, colon and small intestine. Isoform 2 but not isoform 1 is expressed in esophagus. Not expressed in skin. {ECO:0000269|PubMed:1339448, ECO:0000269|PubMed:18004212}.; </t>
  </si>
  <si>
    <t xml:space="preserve">URB2</t>
  </si>
  <si>
    <t xml:space="preserve">fovea centralis;choroid;skin;retina;uterus;optic nerve;whole body;larynx;thyroid;bone;testis;germinal center;brain;unclassifiable (Anatomical System);lymph node;cartilage;lens;skeletal muscle;pancreas;lung;macula lutea;liver;spleen;head and neck;cervix;kidney;mammary gland;stomach;aorta;</t>
  </si>
  <si>
    <t xml:space="preserve">superior cervical ganglion;testis;ciliary ganglion;pons;trigeminal ganglion;parietal lobe;cingulate cortex;</t>
  </si>
  <si>
    <t xml:space="preserve">USF3</t>
  </si>
  <si>
    <t xml:space="preserve">UVRAG</t>
  </si>
  <si>
    <t xml:space="preserve">TISSUE SPECIFICITY: Highly expressed in brain, lung, kidney and liver. {ECO:0000269|PubMed:10798355}.; </t>
  </si>
  <si>
    <t xml:space="preserve">medulla oblongata;ovary;colon;parathyroid;fovea centralis;choroid;skin;retina;uterus;prostate;optic nerve;frontal lobe;cochlea;endometrium;larynx;bone;thyroid;iris;testis;germinal center;brain;unclassifiable (Anatomical System);cartilage;heart;islets of Langerhans;adrenal cortex;blood;lens;skeletal muscle;breast;lung;placenta;macula lutea;visual apparatus;liver;alveolus;spleen;head and neck;cervix;kidney;mammary gland;stomach;cerebellum;thymus;</t>
  </si>
  <si>
    <t xml:space="preserve">parietal lobe;</t>
  </si>
  <si>
    <t xml:space="preserve">WDPCP</t>
  </si>
  <si>
    <t xml:space="preserve">unclassifiable (Anatomical System);medulla oblongata;heart;ovary;urinary;parathyroid;skeletal muscle;skin;uterus;lung;placenta;testis;mammary gland;brain;</t>
  </si>
  <si>
    <t xml:space="preserve">WDR3</t>
  </si>
  <si>
    <t xml:space="preserve">unclassifiable (Anatomical System);medulla oblongata;lymph node;heart;sympathetic chain;adrenal cortex;colon;blood;skin;uterus;prostate;whole body;lung;endometrium;larynx;placenta;visual apparatus;testis;head and neck;germinal center;kidney;brain;mammary gland;aorta;stomach;</t>
  </si>
  <si>
    <t xml:space="preserve">dorsal root ganglion;testis - interstitial;superior cervical ganglion;testis - seminiferous tubule;ciliary ganglion;pons;atrioventricular node;trigeminal ganglion;skeletal muscle;</t>
  </si>
  <si>
    <t xml:space="preserve">ZC2HC1A</t>
  </si>
  <si>
    <t xml:space="preserve">ZEB1</t>
  </si>
  <si>
    <t xml:space="preserve">TISSUE SPECIFICITY: Colocalizes with SMARCA4/BRG1 in E-cadherin- negative cells from established lines, and stroma of normal colon as well as in de-differentiated epithelial cells at the invasion front of colorectal carcinomas (at protein level). Expressed in heart and skeletal muscle, but not in liver, spleen, or pancreas. {ECO:0000269|PubMed:20418909}.; </t>
  </si>
  <si>
    <t xml:space="preserve">lymphoreticular;ovary;salivary gland;intestine;colon;parathyroid;skin;retina;bone marrow;uterus;prostate;whole body;endometrium;bone;testis;germinal center;brain;artery;bladder;unclassifiable (Anatomical System);cartilage;heart;tongue;islets of Langerhans;hypothalamus;spinal cord;pharynx;blood;skeletal muscle;breast;pancreas;lung;placenta;visual apparatus;liver;spleen;head and neck;kidney;aorta;stomach;</t>
  </si>
  <si>
    <t xml:space="preserve">uterus;superior cervical ganglion;occipital lobe;adipose tissue;spinal cord;atrioventricular node;</t>
  </si>
  <si>
    <t xml:space="preserve">ZFR</t>
  </si>
  <si>
    <t xml:space="preserve">TISSUE SPECIFICITY: Expressed in lung, liver, lymphocytes, heart, pancreas, placenta, brain and kidney. {ECO:0000269|PubMed:11574164}.; </t>
  </si>
  <si>
    <t xml:space="preserve">myocardium;ovary;skin;retina;bone marrow;prostate;optic nerve;frontal lobe;cochlea;endometrium;gum;thyroid;germinal center;bladder;brain;gall bladder;heart;cartilage;adrenal cortex;pharynx;blood;lens;skeletal muscle;breast;macula lutea;visual apparatus;liver;alveolus;spleen;cervix;peripheral nerve;salivary gland;intestine;colon;parathyroid;fovea centralis;choroid;uterus;whole body;bone;pituitary gland;testis;pineal gland;unclassifiable (Anatomical System);lymph node;lacrimal gland;islets of Langerhans;hypothalamus;pancreas;lung;mesenchyma;adrenal gland;placenta;hypopharynx;head and neck;kidney;stomach;aorta;cerebellum;thymus;</t>
  </si>
  <si>
    <t xml:space="preserve">amygdala;dorsal root ganglion;medulla oblongata;superior cervical ganglion;occipital lobe;hypothalamus;spinal cord;pons;atrioventricular node;caudate nucleus;skeletal muscle;subthalamic nucleus;prefrontal cortex;globus pallidus;trigeminal ganglion;parietal lobe;</t>
  </si>
  <si>
    <t xml:space="preserve">ZMYND8</t>
  </si>
  <si>
    <t xml:space="preserve">TISSUE SPECIFICITY: Expressed in all tissues examined with highest expression in brain, lung, pancreas, and placenta. Expressed in cutaneous T-cell lymphomas (CTCL).; </t>
  </si>
  <si>
    <t xml:space="preserve">myocardium;ovary;sympathetic chain;skin;bone marrow;retina;prostate;optic nerve;frontal lobe;cochlea;endometrium;thyroid;amniotic fluid;germinal center;brain;heart;cartilage;spinal cord;pharynx;blood;lens;skeletal muscle;breast;visual apparatus;macula lutea;alveolus;liver;cervix;spleen;mammary gland;salivary gland;intestine;colon;parathyroid;choroid;fovea centralis;uterus;whole body;larynx;bone;pituitary gland;testis;dura mater;unclassifiable (Anatomical System);meninges;lymph node;islets of Langerhans;pancreas;lung;pia mater;cornea;adrenal gland;placenta;head and neck;kidney;stomach;</t>
  </si>
  <si>
    <t xml:space="preserve">amygdala;dorsal root ganglion;superior cervical ganglion;medulla oblongata;adrenal cortex;atrioventricular node;pons;skeletal muscle;subthalamic nucleus;testis - seminiferous tubule;prefrontal cortex;globus pallidus;ciliary ganglion;trigeminal ganglion;cingulate cortex;parietal lobe;</t>
  </si>
  <si>
    <t xml:space="preserve">ZNF100</t>
  </si>
  <si>
    <t xml:space="preserve">unclassifiable (Anatomical System);liver;colon;brain;skeletal muscle;</t>
  </si>
  <si>
    <t xml:space="preserve">ZNF195</t>
  </si>
  <si>
    <t xml:space="preserve">TISSUE SPECIFICITY: Expressed in adult heart, brain, placenta, skeletal muscle and pancreas, and in fetal lung, kidney and brain. There is little expression in adult lung, liver and kidney.; </t>
  </si>
  <si>
    <t xml:space="preserve">unclassifiable (Anatomical System);lymphoreticular;ovary;heart;islets of Langerhans;colon;skin;uterus;prostate;lung;endometrium;epididymis;nasopharynx;bone;thyroid;placenta;liver;testis;head and neck;kidney;brain;mammary gland;stomach;</t>
  </si>
  <si>
    <t xml:space="preserve">subthalamic nucleus;testis - interstitial;superior cervical ganglion;ciliary ganglion;trigeminal ganglion;cingulate cortex;skeletal muscle;</t>
  </si>
  <si>
    <t xml:space="preserve">ZNF507</t>
  </si>
  <si>
    <t xml:space="preserve">ovary;colon;fovea centralis;choroid;skin;retina;uterus;optic nerve;cochlea;endometrium;bone;testis;germinal center;spinal ganglion;brain;unclassifiable (Anatomical System);lymph node;heart;cartilage;islets of Langerhans;blood;lens;skeletal muscle;breast;lung;nasopharynx;trabecular meshwork;placenta;macula lutea;liver;spleen;kidney;mammary gland;stomach;cerebellum;</t>
  </si>
  <si>
    <t xml:space="preserve">dorsal root ganglion;testis - interstitial;superior cervical ganglion;testis;ciliary ganglion;</t>
  </si>
  <si>
    <t xml:space="preserve">ZNF66</t>
  </si>
  <si>
    <t xml:space="preserve">ZNF829</t>
  </si>
  <si>
    <t xml:space="preserve">ZP3</t>
  </si>
  <si>
    <t xml:space="preserve">TISSUE SPECIFICITY: Oocytes.; </t>
  </si>
  <si>
    <t xml:space="preserve">unclassifiable (Anatomical System);medulla oblongata;lymph node;ovary;heart;colon;choroid;skin;uterus;prostate;whole body;lung;endometrium;larynx;bone;thyroid;liver;testis;cervix;head and neck;spleen;kidney;brain;mammary gland;stomach;</t>
  </si>
</sst>
</file>

<file path=xl/styles.xml><?xml version="1.0" encoding="utf-8"?>
<styleSheet xmlns="http://schemas.openxmlformats.org/spreadsheetml/2006/main">
  <numFmts count="1">
    <numFmt numFmtId="164" formatCode="General"/>
  </numFmts>
  <fonts count="5">
    <font>
      <sz val="11"/>
      <color rgb="FF000000"/>
      <name val="Calibri"/>
      <family val="2"/>
      <charset val="1"/>
    </font>
    <font>
      <sz val="10"/>
      <name val="Arial"/>
      <family val="0"/>
    </font>
    <font>
      <sz val="10"/>
      <name val="Arial"/>
      <family val="0"/>
    </font>
    <font>
      <sz val="10"/>
      <name val="Arial"/>
      <family val="0"/>
    </font>
    <font>
      <b val="true"/>
      <sz val="11"/>
      <name val="Cambria"/>
      <family val="0"/>
      <charset val="1"/>
    </font>
  </fonts>
  <fills count="5">
    <fill>
      <patternFill patternType="none"/>
    </fill>
    <fill>
      <patternFill patternType="gray125"/>
    </fill>
    <fill>
      <patternFill patternType="solid">
        <fgColor rgb="FF81D41A"/>
        <bgColor rgb="FF969696"/>
      </patternFill>
    </fill>
    <fill>
      <patternFill patternType="solid">
        <fgColor rgb="FFE8A202"/>
        <bgColor rgb="FFFFCC00"/>
      </patternFill>
    </fill>
    <fill>
      <patternFill patternType="solid">
        <fgColor rgb="FF729FCF"/>
        <bgColor rgb="FF969696"/>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E8A202"/>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399"/>
  <sheetViews>
    <sheetView showFormulas="false" showGridLines="true" showRowColHeaders="true" showZeros="true" rightToLeft="false" tabSelected="true" showOutlineSymbols="true" defaultGridColor="true" view="normal" topLeftCell="A385" colorId="64" zoomScale="100" zoomScaleNormal="100" zoomScalePageLayoutView="100" workbookViewId="0">
      <selection pane="topLeft" activeCell="A239" activeCellId="0" sqref="239:239"/>
    </sheetView>
  </sheetViews>
  <sheetFormatPr defaultColWidth="8.6953125" defaultRowHeight="15" zeroHeight="false" outlineLevelRow="0" outlineLevelCol="0"/>
  <cols>
    <col collapsed="false" customWidth="true" hidden="false" outlineLevel="0" max="16" min="16" style="0" width="17.92"/>
    <col collapsed="false" customWidth="true" hidden="false" outlineLevel="0" max="27" min="27" style="0" width="20.42"/>
    <col collapsed="false" customWidth="true" hidden="false" outlineLevel="0" max="28" min="28" style="0" width="33.34"/>
  </cols>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s="2" customFormat="true" ht="15" hidden="false" customHeight="false" outlineLevel="0" collapsed="false">
      <c r="B2" s="2" t="str">
        <f aca="false">HYPERLINK("https://genome.ucsc.edu/cgi-bin/hgTracks?db=hg19&amp;position=chr2%3A219674453%2D219674453", "chr2:219674453")</f>
        <v>chr2:219674453</v>
      </c>
      <c r="C2" s="2" t="s">
        <v>38</v>
      </c>
      <c r="D2" s="2" t="n">
        <v>219674453</v>
      </c>
      <c r="E2" s="2" t="n">
        <v>219674453</v>
      </c>
      <c r="F2" s="2" t="s">
        <v>39</v>
      </c>
      <c r="G2" s="2" t="s">
        <v>40</v>
      </c>
      <c r="H2" s="2" t="s">
        <v>41</v>
      </c>
      <c r="I2" s="2" t="s">
        <v>42</v>
      </c>
      <c r="J2" s="2" t="s">
        <v>43</v>
      </c>
      <c r="K2" s="2" t="s">
        <v>44</v>
      </c>
      <c r="L2" s="2" t="str">
        <f aca="false">HYPERLINK("https://www.ncbi.nlm.nih.gov/snp/rs72551312", "rs72551312")</f>
        <v>rs72551312</v>
      </c>
      <c r="M2" s="2" t="str">
        <f aca="false">HYPERLINK("https://www.genecards.org/Search/Keyword?queryString=%5Baliases%5D(%20CYP27A1%20)&amp;keywords=CYP27A1", "CYP27A1")</f>
        <v>CYP27A1</v>
      </c>
      <c r="N2" s="2" t="s">
        <v>45</v>
      </c>
      <c r="O2" s="2" t="s">
        <v>46</v>
      </c>
      <c r="P2" s="2" t="s">
        <v>47</v>
      </c>
      <c r="Q2" s="2" t="n">
        <v>1.94E-005</v>
      </c>
      <c r="R2" s="2" t="n">
        <v>-1</v>
      </c>
      <c r="S2" s="2" t="n">
        <v>-1</v>
      </c>
      <c r="T2" s="2" t="n">
        <v>-1</v>
      </c>
      <c r="U2" s="2" t="n">
        <v>-1</v>
      </c>
      <c r="V2" s="2" t="s">
        <v>48</v>
      </c>
      <c r="W2" s="2" t="s">
        <v>49</v>
      </c>
      <c r="X2" s="2" t="s">
        <v>49</v>
      </c>
      <c r="Y2" s="2" t="s">
        <v>49</v>
      </c>
      <c r="Z2" s="2" t="s">
        <v>50</v>
      </c>
      <c r="AA2" s="2" t="s">
        <v>51</v>
      </c>
      <c r="AB2" s="2" t="s">
        <v>52</v>
      </c>
      <c r="AC2" s="2" t="s">
        <v>53</v>
      </c>
      <c r="AD2" s="2" t="s">
        <v>54</v>
      </c>
      <c r="AE2" s="2" t="s">
        <v>55</v>
      </c>
      <c r="AF2" s="2" t="s">
        <v>56</v>
      </c>
      <c r="AG2" s="2" t="s">
        <v>57</v>
      </c>
      <c r="AH2" s="2" t="s">
        <v>58</v>
      </c>
      <c r="AI2" s="2" t="s">
        <v>49</v>
      </c>
      <c r="AJ2" s="2" t="s">
        <v>49</v>
      </c>
      <c r="AK2" s="2" t="s">
        <v>49</v>
      </c>
      <c r="AL2" s="2" t="s">
        <v>49</v>
      </c>
    </row>
    <row r="3" s="2" customFormat="true" ht="15" hidden="false" customHeight="false" outlineLevel="0" collapsed="false">
      <c r="B3" s="2" t="str">
        <f aca="false">HYPERLINK("https://genome.ucsc.edu/cgi-bin/hgTracks?db=hg19&amp;position=chr17%3A2282779%2D2282779", "chr17:2282779")</f>
        <v>chr17:2282779</v>
      </c>
      <c r="C3" s="2" t="s">
        <v>59</v>
      </c>
      <c r="D3" s="2" t="n">
        <v>2282779</v>
      </c>
      <c r="E3" s="2" t="n">
        <v>2282779</v>
      </c>
      <c r="F3" s="2" t="s">
        <v>60</v>
      </c>
      <c r="G3" s="2" t="s">
        <v>61</v>
      </c>
      <c r="H3" s="2" t="s">
        <v>62</v>
      </c>
      <c r="I3" s="2" t="s">
        <v>63</v>
      </c>
      <c r="J3" s="2" t="s">
        <v>64</v>
      </c>
      <c r="K3" s="2" t="s">
        <v>65</v>
      </c>
      <c r="L3" s="2" t="str">
        <f aca="false">HYPERLINK("https://www.ncbi.nlm.nih.gov/snp/rs61741902", "rs61741902")</f>
        <v>rs61741902</v>
      </c>
      <c r="M3" s="2" t="str">
        <f aca="false">HYPERLINK("https://www.genecards.org/Search/Keyword?queryString=%5Baliases%5D(%20SGSM2%20)&amp;keywords=SGSM2", "SGSM2")</f>
        <v>SGSM2</v>
      </c>
      <c r="N3" s="2" t="s">
        <v>45</v>
      </c>
      <c r="O3" s="2" t="s">
        <v>46</v>
      </c>
      <c r="P3" s="2" t="s">
        <v>66</v>
      </c>
      <c r="Q3" s="2" t="n">
        <v>0.013</v>
      </c>
      <c r="R3" s="2" t="n">
        <v>0.0128</v>
      </c>
      <c r="S3" s="2" t="n">
        <v>0.0117</v>
      </c>
      <c r="T3" s="2" t="n">
        <v>-1</v>
      </c>
      <c r="U3" s="2" t="n">
        <v>0.01</v>
      </c>
      <c r="V3" s="2" t="s">
        <v>67</v>
      </c>
      <c r="W3" s="2" t="s">
        <v>49</v>
      </c>
      <c r="X3" s="2" t="s">
        <v>49</v>
      </c>
      <c r="Y3" s="2" t="s">
        <v>49</v>
      </c>
      <c r="Z3" s="2" t="s">
        <v>68</v>
      </c>
      <c r="AA3" s="2" t="s">
        <v>51</v>
      </c>
      <c r="AB3" s="2" t="s">
        <v>49</v>
      </c>
      <c r="AC3" s="2" t="s">
        <v>53</v>
      </c>
      <c r="AD3" s="2" t="s">
        <v>54</v>
      </c>
      <c r="AE3" s="2" t="s">
        <v>69</v>
      </c>
      <c r="AF3" s="2" t="s">
        <v>70</v>
      </c>
      <c r="AG3" s="2" t="s">
        <v>49</v>
      </c>
      <c r="AH3" s="2" t="s">
        <v>49</v>
      </c>
      <c r="AI3" s="2" t="s">
        <v>49</v>
      </c>
      <c r="AJ3" s="2" t="s">
        <v>49</v>
      </c>
      <c r="AK3" s="2" t="s">
        <v>49</v>
      </c>
      <c r="AL3" s="2" t="s">
        <v>49</v>
      </c>
    </row>
    <row r="4" s="2" customFormat="true" ht="15" hidden="false" customHeight="false" outlineLevel="0" collapsed="false">
      <c r="B4" s="2" t="str">
        <f aca="false">HYPERLINK("https://genome.ucsc.edu/cgi-bin/hgTracks?db=hg19&amp;position=chr14%3A24573006%2D24573006", "chr14:24573006")</f>
        <v>chr14:24573006</v>
      </c>
      <c r="C4" s="2" t="s">
        <v>71</v>
      </c>
      <c r="D4" s="2" t="n">
        <v>24573006</v>
      </c>
      <c r="E4" s="2" t="n">
        <v>24573006</v>
      </c>
      <c r="F4" s="2" t="s">
        <v>60</v>
      </c>
      <c r="G4" s="2" t="s">
        <v>61</v>
      </c>
      <c r="H4" s="2" t="s">
        <v>72</v>
      </c>
      <c r="I4" s="2" t="s">
        <v>73</v>
      </c>
      <c r="J4" s="2" t="s">
        <v>74</v>
      </c>
      <c r="K4" s="2" t="s">
        <v>75</v>
      </c>
      <c r="L4" s="2" t="str">
        <f aca="false">HYPERLINK("https://www.ncbi.nlm.nih.gov/snp/rs61737098", "rs61737098")</f>
        <v>rs61737098</v>
      </c>
      <c r="M4" s="2" t="str">
        <f aca="false">HYPERLINK("https://www.genecards.org/Search/Keyword?queryString=%5Baliases%5D(%20PCK2%20)&amp;keywords=PCK2", "PCK2")</f>
        <v>PCK2</v>
      </c>
      <c r="N4" s="2" t="s">
        <v>45</v>
      </c>
      <c r="O4" s="2" t="s">
        <v>46</v>
      </c>
      <c r="P4" s="2" t="s">
        <v>76</v>
      </c>
      <c r="Q4" s="2" t="n">
        <v>0.017241</v>
      </c>
      <c r="R4" s="2" t="n">
        <v>0.0056</v>
      </c>
      <c r="S4" s="2" t="n">
        <v>0.0057</v>
      </c>
      <c r="T4" s="2" t="n">
        <v>-1</v>
      </c>
      <c r="U4" s="2" t="n">
        <v>0.0065</v>
      </c>
      <c r="V4" s="2" t="s">
        <v>77</v>
      </c>
      <c r="W4" s="2" t="s">
        <v>49</v>
      </c>
      <c r="X4" s="2" t="s">
        <v>49</v>
      </c>
      <c r="Y4" s="2" t="s">
        <v>49</v>
      </c>
      <c r="Z4" s="2" t="s">
        <v>78</v>
      </c>
      <c r="AA4" s="2" t="s">
        <v>79</v>
      </c>
      <c r="AB4" s="2" t="s">
        <v>80</v>
      </c>
      <c r="AC4" s="2" t="s">
        <v>53</v>
      </c>
      <c r="AD4" s="2" t="s">
        <v>54</v>
      </c>
      <c r="AE4" s="2" t="s">
        <v>81</v>
      </c>
      <c r="AF4" s="2" t="s">
        <v>82</v>
      </c>
      <c r="AG4" s="2" t="s">
        <v>83</v>
      </c>
      <c r="AH4" s="2" t="s">
        <v>84</v>
      </c>
      <c r="AI4" s="2" t="s">
        <v>49</v>
      </c>
      <c r="AJ4" s="2" t="s">
        <v>49</v>
      </c>
      <c r="AK4" s="2" t="s">
        <v>49</v>
      </c>
      <c r="AL4" s="2" t="s">
        <v>49</v>
      </c>
    </row>
    <row r="5" customFormat="false" ht="15" hidden="false" customHeight="false" outlineLevel="0" collapsed="false">
      <c r="A5" s="3"/>
      <c r="B5" s="3" t="str">
        <f aca="false">HYPERLINK("https://genome.ucsc.edu/cgi-bin/hgTracks?db=hg19&amp;position=chr11%3A76895733%2D76895733", "chr11:76895733")</f>
        <v>chr11:76895733</v>
      </c>
      <c r="C5" s="3" t="s">
        <v>85</v>
      </c>
      <c r="D5" s="3" t="n">
        <v>76895733</v>
      </c>
      <c r="E5" s="3" t="n">
        <v>76895733</v>
      </c>
      <c r="F5" s="3" t="s">
        <v>60</v>
      </c>
      <c r="G5" s="3" t="s">
        <v>40</v>
      </c>
      <c r="H5" s="3" t="s">
        <v>86</v>
      </c>
      <c r="I5" s="3" t="s">
        <v>87</v>
      </c>
      <c r="J5" s="3" t="s">
        <v>88</v>
      </c>
      <c r="K5" s="3" t="s">
        <v>89</v>
      </c>
      <c r="L5" s="3" t="str">
        <f aca="false">HYPERLINK("https://www.ncbi.nlm.nih.gov/snp/rs199897298", "rs199897298")</f>
        <v>rs199897298</v>
      </c>
      <c r="M5" s="3" t="str">
        <f aca="false">HYPERLINK("https://www.genecards.org/Search/Keyword?queryString=%5Baliases%5D(%20MYO7A%20)&amp;keywords=MYO7A", "MYO7A")</f>
        <v>MYO7A</v>
      </c>
      <c r="N5" s="3" t="s">
        <v>45</v>
      </c>
      <c r="O5" s="3" t="s">
        <v>46</v>
      </c>
      <c r="P5" s="3" t="s">
        <v>90</v>
      </c>
      <c r="Q5" s="3" t="n">
        <v>0.0006</v>
      </c>
      <c r="R5" s="3" t="n">
        <v>0.0006</v>
      </c>
      <c r="S5" s="3" t="n">
        <v>0.0004</v>
      </c>
      <c r="T5" s="3" t="n">
        <v>-1</v>
      </c>
      <c r="U5" s="3" t="n">
        <v>0.0004</v>
      </c>
      <c r="V5" s="3" t="s">
        <v>91</v>
      </c>
      <c r="W5" s="3" t="s">
        <v>49</v>
      </c>
      <c r="X5" s="3" t="s">
        <v>49</v>
      </c>
      <c r="Y5" s="3" t="s">
        <v>49</v>
      </c>
      <c r="Z5" s="3" t="s">
        <v>78</v>
      </c>
      <c r="AA5" s="3" t="s">
        <v>92</v>
      </c>
      <c r="AB5" s="3" t="s">
        <v>93</v>
      </c>
      <c r="AC5" s="3" t="s">
        <v>53</v>
      </c>
      <c r="AD5" s="3" t="s">
        <v>54</v>
      </c>
      <c r="AE5" s="3" t="s">
        <v>94</v>
      </c>
      <c r="AF5" s="3" t="s">
        <v>95</v>
      </c>
      <c r="AG5" s="3" t="s">
        <v>96</v>
      </c>
      <c r="AH5" s="3" t="s">
        <v>97</v>
      </c>
      <c r="AI5" s="3" t="s">
        <v>49</v>
      </c>
      <c r="AJ5" s="3" t="s">
        <v>49</v>
      </c>
      <c r="AK5" s="3" t="s">
        <v>49</v>
      </c>
      <c r="AL5" s="3" t="s">
        <v>49</v>
      </c>
    </row>
    <row r="6" s="2" customFormat="true" ht="15" hidden="false" customHeight="false" outlineLevel="0" collapsed="false">
      <c r="B6" s="2" t="str">
        <f aca="false">HYPERLINK("https://genome.ucsc.edu/cgi-bin/hgTracks?db=hg19&amp;position=chr12%3A88523494%2D88523494", "chr12:88523494")</f>
        <v>chr12:88523494</v>
      </c>
      <c r="C6" s="2" t="s">
        <v>98</v>
      </c>
      <c r="D6" s="2" t="n">
        <v>88523494</v>
      </c>
      <c r="E6" s="2" t="n">
        <v>88523494</v>
      </c>
      <c r="F6" s="2" t="s">
        <v>39</v>
      </c>
      <c r="G6" s="2" t="s">
        <v>60</v>
      </c>
      <c r="H6" s="2" t="s">
        <v>99</v>
      </c>
      <c r="I6" s="2" t="s">
        <v>100</v>
      </c>
      <c r="J6" s="2" t="s">
        <v>101</v>
      </c>
      <c r="K6" s="2" t="s">
        <v>102</v>
      </c>
      <c r="L6" s="2" t="str">
        <f aca="false">HYPERLINK("https://www.ncbi.nlm.nih.gov/snp/rs45502896", "rs45502896")</f>
        <v>rs45502896</v>
      </c>
      <c r="M6" s="2" t="str">
        <f aca="false">HYPERLINK("https://www.genecards.org/Search/Keyword?queryString=%5Baliases%5D(%20CEP290%20)&amp;keywords=CEP290", "CEP290")</f>
        <v>CEP290</v>
      </c>
      <c r="N6" s="2" t="s">
        <v>45</v>
      </c>
      <c r="O6" s="2" t="s">
        <v>46</v>
      </c>
      <c r="P6" s="2" t="s">
        <v>103</v>
      </c>
      <c r="Q6" s="2" t="n">
        <v>0.026273</v>
      </c>
      <c r="R6" s="2" t="n">
        <v>0.0186</v>
      </c>
      <c r="S6" s="2" t="n">
        <v>0.0183</v>
      </c>
      <c r="T6" s="2" t="n">
        <v>-1</v>
      </c>
      <c r="U6" s="2" t="n">
        <v>0.0167</v>
      </c>
      <c r="V6" s="2" t="s">
        <v>67</v>
      </c>
      <c r="W6" s="2" t="s">
        <v>49</v>
      </c>
      <c r="X6" s="2" t="s">
        <v>49</v>
      </c>
      <c r="Y6" s="2" t="s">
        <v>49</v>
      </c>
      <c r="Z6" s="2" t="s">
        <v>78</v>
      </c>
      <c r="AA6" s="2" t="s">
        <v>79</v>
      </c>
      <c r="AB6" s="2" t="s">
        <v>104</v>
      </c>
      <c r="AC6" s="2" t="s">
        <v>53</v>
      </c>
      <c r="AD6" s="2" t="s">
        <v>54</v>
      </c>
      <c r="AE6" s="2" t="s">
        <v>105</v>
      </c>
      <c r="AF6" s="2" t="s">
        <v>106</v>
      </c>
      <c r="AG6" s="2" t="s">
        <v>107</v>
      </c>
      <c r="AH6" s="2" t="s">
        <v>108</v>
      </c>
      <c r="AI6" s="2" t="s">
        <v>49</v>
      </c>
      <c r="AJ6" s="2" t="s">
        <v>49</v>
      </c>
      <c r="AK6" s="2" t="s">
        <v>49</v>
      </c>
      <c r="AL6" s="2" t="s">
        <v>49</v>
      </c>
    </row>
    <row r="7" s="2" customFormat="true" ht="15" hidden="false" customHeight="false" outlineLevel="0" collapsed="false">
      <c r="B7" s="2" t="str">
        <f aca="false">HYPERLINK("https://genome.ucsc.edu/cgi-bin/hgTracks?db=hg19&amp;position=chr2%3A234627616%2D234627616", "chr2:234627616")</f>
        <v>chr2:234627616</v>
      </c>
      <c r="C7" s="2" t="s">
        <v>38</v>
      </c>
      <c r="D7" s="2" t="n">
        <v>234627616</v>
      </c>
      <c r="E7" s="2" t="n">
        <v>234627616</v>
      </c>
      <c r="F7" s="2" t="s">
        <v>60</v>
      </c>
      <c r="G7" s="2" t="s">
        <v>39</v>
      </c>
      <c r="H7" s="2" t="s">
        <v>109</v>
      </c>
      <c r="I7" s="2" t="s">
        <v>110</v>
      </c>
      <c r="J7" s="2" t="s">
        <v>111</v>
      </c>
      <c r="K7" s="2" t="s">
        <v>112</v>
      </c>
      <c r="L7" s="2" t="str">
        <f aca="false">HYPERLINK("https://www.ncbi.nlm.nih.gov/snp/rs45510694", "rs45510694")</f>
        <v>rs45510694</v>
      </c>
      <c r="M7" s="2" t="str">
        <f aca="false">HYPERLINK("https://www.genecards.org/Search/Keyword?queryString=%5Baliases%5D(%20UGT1A4%20)&amp;keywords=UGT1A4", "UGT1A4")</f>
        <v>UGT1A4</v>
      </c>
      <c r="N7" s="2" t="s">
        <v>45</v>
      </c>
      <c r="O7" s="2" t="s">
        <v>46</v>
      </c>
      <c r="P7" s="2" t="s">
        <v>113</v>
      </c>
      <c r="Q7" s="2" t="n">
        <v>0.009202</v>
      </c>
      <c r="R7" s="2" t="n">
        <v>0.0013</v>
      </c>
      <c r="S7" s="2" t="n">
        <v>0.0013</v>
      </c>
      <c r="T7" s="2" t="n">
        <v>-1</v>
      </c>
      <c r="U7" s="2" t="n">
        <v>0.0012</v>
      </c>
      <c r="V7" s="2" t="s">
        <v>114</v>
      </c>
      <c r="W7" s="2" t="s">
        <v>49</v>
      </c>
      <c r="X7" s="2" t="s">
        <v>49</v>
      </c>
      <c r="Y7" s="2" t="s">
        <v>49</v>
      </c>
      <c r="Z7" s="2" t="s">
        <v>115</v>
      </c>
      <c r="AA7" s="2" t="s">
        <v>51</v>
      </c>
      <c r="AB7" s="2" t="s">
        <v>49</v>
      </c>
      <c r="AC7" s="2" t="s">
        <v>53</v>
      </c>
      <c r="AD7" s="2" t="s">
        <v>54</v>
      </c>
      <c r="AE7" s="2" t="s">
        <v>116</v>
      </c>
      <c r="AF7" s="2" t="s">
        <v>117</v>
      </c>
      <c r="AG7" s="2" t="s">
        <v>118</v>
      </c>
      <c r="AH7" s="2" t="s">
        <v>119</v>
      </c>
      <c r="AI7" s="2" t="s">
        <v>49</v>
      </c>
      <c r="AJ7" s="2" t="s">
        <v>49</v>
      </c>
      <c r="AK7" s="2" t="s">
        <v>49</v>
      </c>
      <c r="AL7" s="2" t="s">
        <v>120</v>
      </c>
    </row>
    <row r="8" s="2" customFormat="true" ht="15" hidden="false" customHeight="false" outlineLevel="0" collapsed="false">
      <c r="B8" s="2" t="str">
        <f aca="false">HYPERLINK("https://genome.ucsc.edu/cgi-bin/hgTracks?db=hg19&amp;position=chr16%3A2158672%2D2158672", "chr16:2158672")</f>
        <v>chr16:2158672</v>
      </c>
      <c r="C8" s="2" t="s">
        <v>121</v>
      </c>
      <c r="D8" s="2" t="n">
        <v>2158672</v>
      </c>
      <c r="E8" s="2" t="n">
        <v>2158672</v>
      </c>
      <c r="F8" s="2" t="s">
        <v>60</v>
      </c>
      <c r="G8" s="2" t="s">
        <v>61</v>
      </c>
      <c r="H8" s="2" t="s">
        <v>122</v>
      </c>
      <c r="I8" s="2" t="s">
        <v>123</v>
      </c>
      <c r="J8" s="2" t="s">
        <v>124</v>
      </c>
      <c r="K8" s="2" t="s">
        <v>125</v>
      </c>
      <c r="L8" s="2" t="str">
        <f aca="false">HYPERLINK("https://www.ncbi.nlm.nih.gov/snp/rs146096401", "rs146096401")</f>
        <v>rs146096401</v>
      </c>
      <c r="M8" s="2" t="str">
        <f aca="false">HYPERLINK("https://www.genecards.org/Search/Keyword?queryString=%5Baliases%5D(%20PKD1%20)&amp;keywords=PKD1", "PKD1")</f>
        <v>PKD1</v>
      </c>
      <c r="N8" s="2" t="s">
        <v>45</v>
      </c>
      <c r="O8" s="2" t="s">
        <v>46</v>
      </c>
      <c r="P8" s="2" t="s">
        <v>126</v>
      </c>
      <c r="Q8" s="2" t="n">
        <v>0.0196</v>
      </c>
      <c r="R8" s="2" t="n">
        <v>0.002</v>
      </c>
      <c r="S8" s="2" t="n">
        <v>0.0019</v>
      </c>
      <c r="T8" s="2" t="n">
        <v>-1</v>
      </c>
      <c r="U8" s="2" t="n">
        <v>0.0033</v>
      </c>
      <c r="V8" s="2" t="s">
        <v>127</v>
      </c>
      <c r="W8" s="2" t="s">
        <v>49</v>
      </c>
      <c r="X8" s="2" t="s">
        <v>49</v>
      </c>
      <c r="Y8" s="2" t="s">
        <v>49</v>
      </c>
      <c r="Z8" s="2" t="s">
        <v>78</v>
      </c>
      <c r="AA8" s="2" t="s">
        <v>79</v>
      </c>
      <c r="AB8" s="2" t="s">
        <v>52</v>
      </c>
      <c r="AC8" s="2" t="s">
        <v>53</v>
      </c>
      <c r="AD8" s="2" t="s">
        <v>54</v>
      </c>
      <c r="AE8" s="2" t="s">
        <v>128</v>
      </c>
      <c r="AF8" s="2" t="s">
        <v>129</v>
      </c>
      <c r="AG8" s="2" t="s">
        <v>130</v>
      </c>
      <c r="AH8" s="2" t="s">
        <v>131</v>
      </c>
      <c r="AI8" s="2" t="s">
        <v>49</v>
      </c>
      <c r="AJ8" s="2" t="s">
        <v>49</v>
      </c>
      <c r="AK8" s="2" t="s">
        <v>49</v>
      </c>
      <c r="AL8" s="2" t="s">
        <v>132</v>
      </c>
    </row>
    <row r="9" s="2" customFormat="true" ht="15" hidden="false" customHeight="false" outlineLevel="0" collapsed="false">
      <c r="B9" s="2" t="str">
        <f aca="false">HYPERLINK("https://genome.ucsc.edu/cgi-bin/hgTracks?db=hg19&amp;position=chr12%3A100926308%2D100926308", "chr12:100926308")</f>
        <v>chr12:100926308</v>
      </c>
      <c r="C9" s="2" t="s">
        <v>98</v>
      </c>
      <c r="D9" s="2" t="n">
        <v>100926308</v>
      </c>
      <c r="E9" s="2" t="n">
        <v>100926308</v>
      </c>
      <c r="F9" s="2" t="s">
        <v>40</v>
      </c>
      <c r="G9" s="2" t="s">
        <v>39</v>
      </c>
      <c r="H9" s="2" t="s">
        <v>133</v>
      </c>
      <c r="I9" s="2" t="s">
        <v>134</v>
      </c>
      <c r="J9" s="2" t="s">
        <v>135</v>
      </c>
      <c r="K9" s="2" t="s">
        <v>136</v>
      </c>
      <c r="L9" s="2" t="str">
        <f aca="false">HYPERLINK("https://www.ncbi.nlm.nih.gov/snp/rs61755050", "rs61755050")</f>
        <v>rs61755050</v>
      </c>
      <c r="M9" s="2" t="str">
        <f aca="false">HYPERLINK("https://www.genecards.org/Search/Keyword?queryString=%5Baliases%5D(%20NR1H4%20)&amp;keywords=NR1H4", "NR1H4")</f>
        <v>NR1H4</v>
      </c>
      <c r="N9" s="2" t="s">
        <v>45</v>
      </c>
      <c r="O9" s="2" t="s">
        <v>46</v>
      </c>
      <c r="P9" s="2" t="s">
        <v>137</v>
      </c>
      <c r="Q9" s="2" t="n">
        <v>0.008621</v>
      </c>
      <c r="R9" s="2" t="n">
        <v>0.007</v>
      </c>
      <c r="S9" s="2" t="n">
        <v>0.0075</v>
      </c>
      <c r="T9" s="2" t="n">
        <v>-1</v>
      </c>
      <c r="U9" s="2" t="n">
        <v>0.0163</v>
      </c>
      <c r="V9" s="2" t="s">
        <v>138</v>
      </c>
      <c r="W9" s="2" t="s">
        <v>49</v>
      </c>
      <c r="X9" s="2" t="s">
        <v>49</v>
      </c>
      <c r="Y9" s="2" t="s">
        <v>49</v>
      </c>
      <c r="Z9" s="2" t="s">
        <v>68</v>
      </c>
      <c r="AA9" s="2" t="s">
        <v>104</v>
      </c>
      <c r="AB9" s="2" t="s">
        <v>139</v>
      </c>
      <c r="AC9" s="2" t="s">
        <v>53</v>
      </c>
      <c r="AD9" s="2" t="s">
        <v>54</v>
      </c>
      <c r="AE9" s="2" t="s">
        <v>140</v>
      </c>
      <c r="AF9" s="2" t="s">
        <v>141</v>
      </c>
      <c r="AG9" s="2" t="s">
        <v>142</v>
      </c>
      <c r="AH9" s="2" t="s">
        <v>49</v>
      </c>
      <c r="AI9" s="2" t="s">
        <v>49</v>
      </c>
      <c r="AJ9" s="2" t="s">
        <v>49</v>
      </c>
      <c r="AK9" s="2" t="s">
        <v>49</v>
      </c>
      <c r="AL9" s="2" t="s">
        <v>49</v>
      </c>
    </row>
    <row r="10" s="2" customFormat="true" ht="15" hidden="false" customHeight="false" outlineLevel="0" collapsed="false">
      <c r="B10" s="2" t="str">
        <f aca="false">HYPERLINK("https://genome.ucsc.edu/cgi-bin/hgTracks?db=hg19&amp;position=chr19%3A17571397%2D17571397", "chr19:17571397")</f>
        <v>chr19:17571397</v>
      </c>
      <c r="C10" s="2" t="s">
        <v>143</v>
      </c>
      <c r="D10" s="2" t="n">
        <v>17571397</v>
      </c>
      <c r="E10" s="2" t="n">
        <v>17571397</v>
      </c>
      <c r="F10" s="2" t="s">
        <v>39</v>
      </c>
      <c r="G10" s="2" t="s">
        <v>61</v>
      </c>
      <c r="H10" s="2" t="s">
        <v>144</v>
      </c>
      <c r="I10" s="2" t="s">
        <v>145</v>
      </c>
      <c r="J10" s="2" t="s">
        <v>146</v>
      </c>
      <c r="K10" s="2" t="s">
        <v>147</v>
      </c>
      <c r="L10" s="2" t="str">
        <f aca="false">HYPERLINK("https://www.ncbi.nlm.nih.gov/snp/rs145106863", "rs145106863")</f>
        <v>rs145106863</v>
      </c>
      <c r="M10" s="2" t="str">
        <f aca="false">HYPERLINK("https://www.genecards.org/Search/Keyword?queryString=%5Baliases%5D(%20NXNL1%20)&amp;keywords=NXNL1", "NXNL1")</f>
        <v>NXNL1</v>
      </c>
      <c r="N10" s="2" t="s">
        <v>45</v>
      </c>
      <c r="O10" s="2" t="s">
        <v>148</v>
      </c>
      <c r="P10" s="2" t="s">
        <v>149</v>
      </c>
      <c r="Q10" s="2" t="n">
        <v>0.0026</v>
      </c>
      <c r="R10" s="2" t="n">
        <v>0.0014</v>
      </c>
      <c r="S10" s="2" t="n">
        <v>0.0012</v>
      </c>
      <c r="T10" s="2" t="n">
        <v>-1</v>
      </c>
      <c r="U10" s="2" t="n">
        <v>0.0016</v>
      </c>
      <c r="V10" s="2" t="s">
        <v>150</v>
      </c>
      <c r="W10" s="2" t="s">
        <v>49</v>
      </c>
      <c r="X10" s="2" t="s">
        <v>49</v>
      </c>
      <c r="Y10" s="2" t="s">
        <v>49</v>
      </c>
      <c r="Z10" s="2" t="s">
        <v>151</v>
      </c>
      <c r="AA10" s="2" t="s">
        <v>51</v>
      </c>
      <c r="AB10" s="2" t="s">
        <v>49</v>
      </c>
      <c r="AC10" s="2" t="s">
        <v>53</v>
      </c>
      <c r="AD10" s="2" t="s">
        <v>54</v>
      </c>
      <c r="AE10" s="2" t="s">
        <v>152</v>
      </c>
      <c r="AF10" s="2" t="s">
        <v>153</v>
      </c>
      <c r="AG10" s="2" t="s">
        <v>154</v>
      </c>
      <c r="AH10" s="2" t="s">
        <v>49</v>
      </c>
      <c r="AI10" s="2" t="s">
        <v>49</v>
      </c>
      <c r="AJ10" s="2" t="s">
        <v>49</v>
      </c>
      <c r="AK10" s="2" t="s">
        <v>49</v>
      </c>
      <c r="AL10" s="2" t="s">
        <v>49</v>
      </c>
    </row>
    <row r="11" s="2" customFormat="true" ht="15" hidden="false" customHeight="false" outlineLevel="0" collapsed="false">
      <c r="B11" s="2" t="str">
        <f aca="false">HYPERLINK("https://genome.ucsc.edu/cgi-bin/hgTracks?db=hg19&amp;position=chr5%3A172660192%2D172660192", "chr5:172660192")</f>
        <v>chr5:172660192</v>
      </c>
      <c r="C11" s="2" t="s">
        <v>155</v>
      </c>
      <c r="D11" s="2" t="n">
        <v>172660192</v>
      </c>
      <c r="E11" s="2" t="n">
        <v>172660192</v>
      </c>
      <c r="F11" s="2" t="s">
        <v>39</v>
      </c>
      <c r="G11" s="2" t="s">
        <v>61</v>
      </c>
      <c r="H11" s="2" t="s">
        <v>156</v>
      </c>
      <c r="I11" s="2" t="s">
        <v>157</v>
      </c>
      <c r="J11" s="2" t="s">
        <v>158</v>
      </c>
      <c r="K11" s="2" t="s">
        <v>159</v>
      </c>
      <c r="L11" s="2" t="str">
        <f aca="false">HYPERLINK("https://www.ncbi.nlm.nih.gov/snp/rs137852684", "rs137852684")</f>
        <v>rs137852684</v>
      </c>
      <c r="M11" s="2" t="str">
        <f aca="false">HYPERLINK("https://www.genecards.org/Search/Keyword?queryString=%5Baliases%5D(%20NKX2-5%20)&amp;keywords=NKX2-5", "NKX2-5")</f>
        <v>NKX2-5</v>
      </c>
      <c r="N11" s="2" t="s">
        <v>45</v>
      </c>
      <c r="O11" s="2" t="s">
        <v>46</v>
      </c>
      <c r="P11" s="2" t="s">
        <v>160</v>
      </c>
      <c r="Q11" s="2" t="n">
        <v>0.003788</v>
      </c>
      <c r="R11" s="2" t="n">
        <v>0.0042</v>
      </c>
      <c r="S11" s="2" t="n">
        <v>0.0029</v>
      </c>
      <c r="T11" s="2" t="n">
        <v>-1</v>
      </c>
      <c r="U11" s="2" t="n">
        <v>0.006</v>
      </c>
      <c r="V11" s="2" t="s">
        <v>161</v>
      </c>
      <c r="W11" s="2" t="s">
        <v>49</v>
      </c>
      <c r="X11" s="2" t="s">
        <v>49</v>
      </c>
      <c r="Y11" s="2" t="s">
        <v>49</v>
      </c>
      <c r="Z11" s="2" t="s">
        <v>151</v>
      </c>
      <c r="AA11" s="2" t="s">
        <v>79</v>
      </c>
      <c r="AB11" s="2" t="s">
        <v>162</v>
      </c>
      <c r="AC11" s="2" t="s">
        <v>53</v>
      </c>
      <c r="AD11" s="2" t="s">
        <v>54</v>
      </c>
      <c r="AE11" s="2" t="s">
        <v>163</v>
      </c>
      <c r="AF11" s="2" t="s">
        <v>164</v>
      </c>
      <c r="AG11" s="2" t="s">
        <v>165</v>
      </c>
      <c r="AH11" s="2" t="s">
        <v>166</v>
      </c>
      <c r="AI11" s="2" t="s">
        <v>49</v>
      </c>
      <c r="AJ11" s="2" t="s">
        <v>49</v>
      </c>
      <c r="AK11" s="2" t="s">
        <v>49</v>
      </c>
      <c r="AL11" s="2" t="s">
        <v>49</v>
      </c>
    </row>
    <row r="12" s="2" customFormat="true" ht="15" hidden="false" customHeight="false" outlineLevel="0" collapsed="false">
      <c r="B12" s="2" t="str">
        <f aca="false">HYPERLINK("https://genome.ucsc.edu/cgi-bin/hgTracks?db=hg19&amp;position=chr1%3A55523127%2D55523127", "chr1:55523127")</f>
        <v>chr1:55523127</v>
      </c>
      <c r="C12" s="2" t="s">
        <v>167</v>
      </c>
      <c r="D12" s="2" t="n">
        <v>55523127</v>
      </c>
      <c r="E12" s="2" t="n">
        <v>55523127</v>
      </c>
      <c r="F12" s="2" t="s">
        <v>60</v>
      </c>
      <c r="G12" s="2" t="s">
        <v>61</v>
      </c>
      <c r="H12" s="2" t="s">
        <v>168</v>
      </c>
      <c r="I12" s="2" t="s">
        <v>169</v>
      </c>
      <c r="J12" s="2" t="s">
        <v>170</v>
      </c>
      <c r="K12" s="2" t="s">
        <v>171</v>
      </c>
      <c r="L12" s="2" t="str">
        <f aca="false">HYPERLINK("https://www.ncbi.nlm.nih.gov/snp/rs137852912", "rs137852912")</f>
        <v>rs137852912</v>
      </c>
      <c r="M12" s="4" t="str">
        <f aca="false">HYPERLINK("https://www.genecards.org/Search/Keyword?queryString=%5Baliases%5D(%20PCSK9%20)&amp;keywords=PCSK9", "PCSK9")</f>
        <v>PCSK9</v>
      </c>
      <c r="N12" s="2" t="s">
        <v>45</v>
      </c>
      <c r="O12" s="2" t="s">
        <v>46</v>
      </c>
      <c r="P12" s="2" t="s">
        <v>172</v>
      </c>
      <c r="Q12" s="2" t="n">
        <v>0.0006</v>
      </c>
      <c r="R12" s="2" t="n">
        <v>0.0007</v>
      </c>
      <c r="S12" s="2" t="n">
        <v>0.0006</v>
      </c>
      <c r="T12" s="2" t="n">
        <v>-1</v>
      </c>
      <c r="U12" s="2" t="n">
        <v>0.0011</v>
      </c>
      <c r="V12" s="2" t="s">
        <v>173</v>
      </c>
      <c r="W12" s="2" t="s">
        <v>49</v>
      </c>
      <c r="X12" s="2" t="s">
        <v>49</v>
      </c>
      <c r="Y12" s="2" t="s">
        <v>49</v>
      </c>
      <c r="Z12" s="2" t="s">
        <v>174</v>
      </c>
      <c r="AA12" s="2" t="s">
        <v>51</v>
      </c>
      <c r="AB12" s="2" t="s">
        <v>49</v>
      </c>
      <c r="AC12" s="2" t="s">
        <v>53</v>
      </c>
      <c r="AD12" s="2" t="s">
        <v>54</v>
      </c>
      <c r="AE12" s="2" t="s">
        <v>175</v>
      </c>
      <c r="AF12" s="2" t="s">
        <v>176</v>
      </c>
      <c r="AG12" s="2" t="s">
        <v>177</v>
      </c>
      <c r="AH12" s="2" t="s">
        <v>178</v>
      </c>
      <c r="AI12" s="2" t="s">
        <v>49</v>
      </c>
      <c r="AJ12" s="2" t="s">
        <v>49</v>
      </c>
      <c r="AK12" s="2" t="s">
        <v>49</v>
      </c>
      <c r="AL12" s="2" t="s">
        <v>49</v>
      </c>
    </row>
    <row r="13" s="2" customFormat="true" ht="15" hidden="false" customHeight="false" outlineLevel="0" collapsed="false">
      <c r="B13" s="2" t="str">
        <f aca="false">HYPERLINK("https://genome.ucsc.edu/cgi-bin/hgTracks?db=hg19&amp;position=chr11%3A47367871%2D47367871", "chr11:47367871")</f>
        <v>chr11:47367871</v>
      </c>
      <c r="C13" s="2" t="s">
        <v>85</v>
      </c>
      <c r="D13" s="2" t="n">
        <v>47367871</v>
      </c>
      <c r="E13" s="2" t="n">
        <v>47367871</v>
      </c>
      <c r="F13" s="2" t="s">
        <v>39</v>
      </c>
      <c r="G13" s="2" t="s">
        <v>40</v>
      </c>
      <c r="H13" s="2" t="s">
        <v>179</v>
      </c>
      <c r="I13" s="2" t="s">
        <v>180</v>
      </c>
      <c r="J13" s="2" t="s">
        <v>181</v>
      </c>
      <c r="K13" s="2" t="s">
        <v>182</v>
      </c>
      <c r="L13" s="2" t="str">
        <f aca="false">HYPERLINK("https://www.ncbi.nlm.nih.gov/snp/rs34580776", "rs34580776")</f>
        <v>rs34580776</v>
      </c>
      <c r="M13" s="4" t="str">
        <f aca="false">HYPERLINK("https://www.genecards.org/Search/Keyword?queryString=%5Baliases%5D(%20MYBPC3%20)&amp;keywords=MYBPC3", "MYBPC3")</f>
        <v>MYBPC3</v>
      </c>
      <c r="N13" s="2" t="s">
        <v>45</v>
      </c>
      <c r="O13" s="2" t="s">
        <v>46</v>
      </c>
      <c r="P13" s="2" t="s">
        <v>183</v>
      </c>
      <c r="Q13" s="2" t="n">
        <v>0.015</v>
      </c>
      <c r="R13" s="2" t="n">
        <v>0.0118</v>
      </c>
      <c r="S13" s="2" t="n">
        <v>0.0095</v>
      </c>
      <c r="T13" s="2" t="n">
        <v>-1</v>
      </c>
      <c r="U13" s="2" t="n">
        <v>0.0194</v>
      </c>
      <c r="V13" s="2" t="s">
        <v>184</v>
      </c>
      <c r="W13" s="2" t="s">
        <v>49</v>
      </c>
      <c r="X13" s="2" t="s">
        <v>49</v>
      </c>
      <c r="Y13" s="2" t="s">
        <v>49</v>
      </c>
      <c r="Z13" s="2" t="s">
        <v>115</v>
      </c>
      <c r="AA13" s="2" t="s">
        <v>104</v>
      </c>
      <c r="AB13" s="2" t="s">
        <v>162</v>
      </c>
      <c r="AC13" s="2" t="s">
        <v>53</v>
      </c>
      <c r="AD13" s="2" t="s">
        <v>54</v>
      </c>
      <c r="AE13" s="2" t="s">
        <v>185</v>
      </c>
      <c r="AF13" s="2" t="s">
        <v>186</v>
      </c>
      <c r="AG13" s="2" t="s">
        <v>187</v>
      </c>
      <c r="AH13" s="2" t="s">
        <v>188</v>
      </c>
      <c r="AI13" s="2" t="s">
        <v>49</v>
      </c>
      <c r="AJ13" s="2" t="s">
        <v>49</v>
      </c>
      <c r="AK13" s="2" t="s">
        <v>49</v>
      </c>
      <c r="AL13" s="2" t="s">
        <v>49</v>
      </c>
    </row>
    <row r="14" s="2" customFormat="true" ht="15" hidden="false" customHeight="false" outlineLevel="0" collapsed="false">
      <c r="B14" s="2" t="str">
        <f aca="false">HYPERLINK("https://genome.ucsc.edu/cgi-bin/hgTracks?db=hg19&amp;position=chr10%3A89473069%2D89473069", "chr10:89473069")</f>
        <v>chr10:89473069</v>
      </c>
      <c r="C14" s="2" t="s">
        <v>189</v>
      </c>
      <c r="D14" s="2" t="n">
        <v>89473069</v>
      </c>
      <c r="E14" s="2" t="n">
        <v>89473069</v>
      </c>
      <c r="F14" s="2" t="s">
        <v>190</v>
      </c>
      <c r="G14" s="2" t="s">
        <v>191</v>
      </c>
      <c r="H14" s="2" t="s">
        <v>192</v>
      </c>
      <c r="I14" s="2" t="s">
        <v>193</v>
      </c>
      <c r="J14" s="2" t="s">
        <v>194</v>
      </c>
      <c r="K14" s="2" t="s">
        <v>195</v>
      </c>
      <c r="L14" s="2" t="str">
        <f aca="false">HYPERLINK("https://www.ncbi.nlm.nih.gov/snp/rs367885911", "rs367885911")</f>
        <v>rs367885911</v>
      </c>
      <c r="M14" s="2" t="str">
        <f aca="false">HYPERLINK("https://www.genecards.org/Search/Keyword?queryString=%5Baliases%5D(%20PAPSS2%20)&amp;keywords=PAPSS2", "PAPSS2")</f>
        <v>PAPSS2</v>
      </c>
      <c r="N14" s="2" t="s">
        <v>196</v>
      </c>
      <c r="O14" s="2" t="s">
        <v>49</v>
      </c>
      <c r="P14" s="2" t="s">
        <v>197</v>
      </c>
      <c r="Q14" s="2" t="n">
        <v>0.0009896</v>
      </c>
      <c r="R14" s="2" t="n">
        <v>-1</v>
      </c>
      <c r="S14" s="2" t="n">
        <v>-1</v>
      </c>
      <c r="T14" s="2" t="n">
        <v>-1</v>
      </c>
      <c r="U14" s="2" t="n">
        <v>-1</v>
      </c>
      <c r="V14" s="2" t="s">
        <v>49</v>
      </c>
      <c r="W14" s="2" t="s">
        <v>49</v>
      </c>
      <c r="X14" s="2" t="s">
        <v>49</v>
      </c>
      <c r="Y14" s="2" t="s">
        <v>49</v>
      </c>
      <c r="Z14" s="2" t="s">
        <v>49</v>
      </c>
      <c r="AA14" s="2" t="s">
        <v>49</v>
      </c>
      <c r="AB14" s="2" t="s">
        <v>49</v>
      </c>
      <c r="AC14" s="2" t="s">
        <v>53</v>
      </c>
      <c r="AD14" s="2" t="s">
        <v>54</v>
      </c>
      <c r="AE14" s="2" t="s">
        <v>198</v>
      </c>
      <c r="AF14" s="2" t="s">
        <v>199</v>
      </c>
      <c r="AG14" s="2" t="s">
        <v>200</v>
      </c>
      <c r="AH14" s="2" t="s">
        <v>49</v>
      </c>
      <c r="AI14" s="2" t="s">
        <v>49</v>
      </c>
      <c r="AJ14" s="2" t="s">
        <v>49</v>
      </c>
      <c r="AK14" s="2" t="s">
        <v>49</v>
      </c>
      <c r="AL14" s="2" t="s">
        <v>49</v>
      </c>
    </row>
    <row r="15" customFormat="false" ht="15" hidden="false" customHeight="false" outlineLevel="0" collapsed="false">
      <c r="A15" s="2"/>
      <c r="B15" s="2" t="str">
        <f aca="false">HYPERLINK("https://genome.ucsc.edu/cgi-bin/hgTracks?db=hg19&amp;position=chr7%3A151927023%2D151927023", "chr7:151927023")</f>
        <v>chr7:151927023</v>
      </c>
      <c r="C15" s="2" t="s">
        <v>201</v>
      </c>
      <c r="D15" s="2" t="n">
        <v>151927023</v>
      </c>
      <c r="E15" s="2" t="n">
        <v>151927023</v>
      </c>
      <c r="F15" s="2" t="s">
        <v>60</v>
      </c>
      <c r="G15" s="2" t="s">
        <v>39</v>
      </c>
      <c r="H15" s="2" t="s">
        <v>202</v>
      </c>
      <c r="I15" s="2" t="s">
        <v>203</v>
      </c>
      <c r="J15" s="2" t="s">
        <v>204</v>
      </c>
      <c r="K15" s="2" t="s">
        <v>49</v>
      </c>
      <c r="L15" s="2" t="str">
        <f aca="false">HYPERLINK("https://www.ncbi.nlm.nih.gov/snp/rs58528565", "rs58528565")</f>
        <v>rs58528565</v>
      </c>
      <c r="M15" s="2" t="str">
        <f aca="false">HYPERLINK("https://www.genecards.org/Search/Keyword?queryString=%5Baliases%5D(%20KMT2C%20)&amp;keywords=KMT2C", "KMT2C")</f>
        <v>KMT2C</v>
      </c>
      <c r="N15" s="2" t="s">
        <v>45</v>
      </c>
      <c r="O15" s="2" t="s">
        <v>205</v>
      </c>
      <c r="P15" s="2" t="s">
        <v>206</v>
      </c>
      <c r="Q15" s="2" t="n">
        <v>1.94E-005</v>
      </c>
      <c r="R15" s="2" t="n">
        <v>-1</v>
      </c>
      <c r="S15" s="2" t="n">
        <v>-1</v>
      </c>
      <c r="T15" s="2" t="n">
        <v>-1</v>
      </c>
      <c r="U15" s="2" t="n">
        <v>-1</v>
      </c>
      <c r="V15" s="2" t="s">
        <v>207</v>
      </c>
      <c r="W15" s="2" t="s">
        <v>49</v>
      </c>
      <c r="X15" s="2" t="s">
        <v>49</v>
      </c>
      <c r="Y15" s="2" t="s">
        <v>49</v>
      </c>
      <c r="Z15" s="2" t="s">
        <v>151</v>
      </c>
      <c r="AA15" s="2" t="s">
        <v>208</v>
      </c>
      <c r="AB15" s="2" t="s">
        <v>80</v>
      </c>
      <c r="AC15" s="2" t="s">
        <v>53</v>
      </c>
      <c r="AD15" s="2" t="s">
        <v>209</v>
      </c>
      <c r="AE15" s="2" t="s">
        <v>210</v>
      </c>
      <c r="AF15" s="2" t="s">
        <v>211</v>
      </c>
      <c r="AG15" s="2" t="s">
        <v>212</v>
      </c>
      <c r="AH15" s="2" t="s">
        <v>49</v>
      </c>
      <c r="AI15" s="2" t="s">
        <v>49</v>
      </c>
      <c r="AJ15" s="2" t="s">
        <v>49</v>
      </c>
      <c r="AK15" s="2" t="s">
        <v>49</v>
      </c>
      <c r="AL15" s="2" t="s">
        <v>132</v>
      </c>
    </row>
    <row r="16" customFormat="false" ht="15" hidden="false" customHeight="false" outlineLevel="0" collapsed="false">
      <c r="B16" s="0" t="str">
        <f aca="false">HYPERLINK("https://genome.ucsc.edu/cgi-bin/hgTracks?db=hg19&amp;position=chr19%3A55678060%2D55678060", "chr19:55678060")</f>
        <v>chr19:55678060</v>
      </c>
      <c r="C16" s="0" t="s">
        <v>143</v>
      </c>
      <c r="D16" s="0" t="n">
        <v>55678060</v>
      </c>
      <c r="E16" s="0" t="n">
        <v>55678060</v>
      </c>
      <c r="F16" s="0" t="s">
        <v>60</v>
      </c>
      <c r="G16" s="0" t="s">
        <v>61</v>
      </c>
      <c r="H16" s="0" t="s">
        <v>213</v>
      </c>
      <c r="I16" s="0" t="s">
        <v>214</v>
      </c>
      <c r="J16" s="0" t="s">
        <v>215</v>
      </c>
      <c r="K16" s="0" t="s">
        <v>49</v>
      </c>
      <c r="L16" s="0" t="str">
        <f aca="false">HYPERLINK("https://www.ncbi.nlm.nih.gov/snp/rs73066642", "rs73066642")</f>
        <v>rs73066642</v>
      </c>
      <c r="M16" s="0" t="str">
        <f aca="false">HYPERLINK("https://www.genecards.org/Search/Keyword?queryString=%5Baliases%5D(%20AK097618%20)%20OR%20%5Baliases%5D(%20DNAAF3%20)&amp;keywords=AK097618,DNAAF3", "AK097618;DNAAF3")</f>
        <v>AK097618;DNAAF3</v>
      </c>
      <c r="N16" s="0" t="s">
        <v>216</v>
      </c>
      <c r="O16" s="0" t="s">
        <v>49</v>
      </c>
      <c r="P16" s="0" t="s">
        <v>217</v>
      </c>
      <c r="Q16" s="0" t="n">
        <v>0.0209</v>
      </c>
      <c r="R16" s="0" t="n">
        <v>0.0161</v>
      </c>
      <c r="S16" s="0" t="n">
        <v>0.0199</v>
      </c>
      <c r="T16" s="0" t="n">
        <v>-1</v>
      </c>
      <c r="U16" s="0" t="n">
        <v>0.0203</v>
      </c>
      <c r="V16" s="0" t="s">
        <v>49</v>
      </c>
      <c r="W16" s="0" t="s">
        <v>49</v>
      </c>
      <c r="X16" s="0" t="s">
        <v>218</v>
      </c>
      <c r="Y16" s="0" t="s">
        <v>219</v>
      </c>
      <c r="Z16" s="0" t="s">
        <v>49</v>
      </c>
      <c r="AA16" s="0" t="s">
        <v>49</v>
      </c>
      <c r="AB16" s="0" t="s">
        <v>80</v>
      </c>
      <c r="AC16" s="0" t="s">
        <v>53</v>
      </c>
      <c r="AD16" s="0" t="s">
        <v>220</v>
      </c>
      <c r="AE16" s="0" t="s">
        <v>221</v>
      </c>
      <c r="AF16" s="0" t="s">
        <v>222</v>
      </c>
      <c r="AG16" s="0" t="s">
        <v>223</v>
      </c>
      <c r="AH16" s="0" t="s">
        <v>224</v>
      </c>
      <c r="AI16" s="0" t="s">
        <v>49</v>
      </c>
      <c r="AJ16" s="0" t="s">
        <v>49</v>
      </c>
      <c r="AK16" s="0" t="s">
        <v>49</v>
      </c>
      <c r="AL16" s="0" t="s">
        <v>49</v>
      </c>
    </row>
    <row r="17" customFormat="false" ht="15" hidden="false" customHeight="false" outlineLevel="0" collapsed="false">
      <c r="B17" s="0" t="str">
        <f aca="false">HYPERLINK("https://genome.ucsc.edu/cgi-bin/hgTracks?db=hg19&amp;position=chr22%3A41575884%2D41575884", "chr22:41575884")</f>
        <v>chr22:41575884</v>
      </c>
      <c r="C17" s="0" t="s">
        <v>225</v>
      </c>
      <c r="D17" s="0" t="n">
        <v>41575884</v>
      </c>
      <c r="E17" s="0" t="n">
        <v>41575884</v>
      </c>
      <c r="F17" s="0" t="s">
        <v>40</v>
      </c>
      <c r="G17" s="0" t="s">
        <v>61</v>
      </c>
      <c r="H17" s="0" t="s">
        <v>226</v>
      </c>
      <c r="I17" s="0" t="s">
        <v>227</v>
      </c>
      <c r="J17" s="0" t="s">
        <v>228</v>
      </c>
      <c r="K17" s="0" t="s">
        <v>49</v>
      </c>
      <c r="L17" s="0" t="str">
        <f aca="false">HYPERLINK("https://www.ncbi.nlm.nih.gov/snp/rs149250603", "rs149250603")</f>
        <v>rs149250603</v>
      </c>
      <c r="M17" s="0" t="str">
        <f aca="false">HYPERLINK("https://www.genecards.org/Search/Keyword?queryString=%5Baliases%5D(%20EP300%20)&amp;keywords=EP300", "EP300")</f>
        <v>EP300</v>
      </c>
      <c r="N17" s="0" t="s">
        <v>229</v>
      </c>
      <c r="O17" s="0" t="s">
        <v>49</v>
      </c>
      <c r="P17" s="0" t="s">
        <v>230</v>
      </c>
      <c r="Q17" s="0" t="n">
        <v>0.0014984</v>
      </c>
      <c r="R17" s="0" t="n">
        <v>-1</v>
      </c>
      <c r="S17" s="0" t="n">
        <v>-1</v>
      </c>
      <c r="T17" s="0" t="n">
        <v>-1</v>
      </c>
      <c r="U17" s="0" t="n">
        <v>-1</v>
      </c>
      <c r="V17" s="0" t="s">
        <v>49</v>
      </c>
      <c r="W17" s="0" t="s">
        <v>49</v>
      </c>
      <c r="X17" s="0" t="s">
        <v>49</v>
      </c>
      <c r="Y17" s="0" t="s">
        <v>49</v>
      </c>
      <c r="Z17" s="0" t="s">
        <v>49</v>
      </c>
      <c r="AA17" s="0" t="s">
        <v>49</v>
      </c>
      <c r="AB17" s="0" t="s">
        <v>80</v>
      </c>
      <c r="AC17" s="0" t="s">
        <v>231</v>
      </c>
      <c r="AD17" s="0" t="s">
        <v>54</v>
      </c>
      <c r="AE17" s="0" t="s">
        <v>232</v>
      </c>
      <c r="AF17" s="0" t="s">
        <v>233</v>
      </c>
      <c r="AG17" s="0" t="s">
        <v>234</v>
      </c>
      <c r="AH17" s="0" t="s">
        <v>235</v>
      </c>
      <c r="AI17" s="0" t="s">
        <v>49</v>
      </c>
      <c r="AJ17" s="0" t="s">
        <v>49</v>
      </c>
      <c r="AK17" s="0" t="s">
        <v>49</v>
      </c>
      <c r="AL17" s="0" t="s">
        <v>49</v>
      </c>
    </row>
    <row r="18" customFormat="false" ht="15" hidden="false" customHeight="false" outlineLevel="0" collapsed="false">
      <c r="B18" s="0" t="str">
        <f aca="false">HYPERLINK("https://genome.ucsc.edu/cgi-bin/hgTracks?db=hg19&amp;position=chr7%3A16128037%2D16128037", "chr7:16128037")</f>
        <v>chr7:16128037</v>
      </c>
      <c r="C18" s="0" t="s">
        <v>201</v>
      </c>
      <c r="D18" s="0" t="n">
        <v>16128037</v>
      </c>
      <c r="E18" s="0" t="n">
        <v>16128037</v>
      </c>
      <c r="F18" s="0" t="s">
        <v>190</v>
      </c>
      <c r="G18" s="0" t="s">
        <v>236</v>
      </c>
      <c r="H18" s="0" t="s">
        <v>237</v>
      </c>
      <c r="I18" s="0" t="s">
        <v>238</v>
      </c>
      <c r="J18" s="0" t="s">
        <v>239</v>
      </c>
      <c r="K18" s="0" t="s">
        <v>49</v>
      </c>
      <c r="L18" s="0" t="str">
        <f aca="false">HYPERLINK("https://www.ncbi.nlm.nih.gov/snp/rs886062144", "rs886062144")</f>
        <v>rs886062144</v>
      </c>
      <c r="M18" s="0" t="str">
        <f aca="false">HYPERLINK("https://www.genecards.org/Search/Keyword?queryString=%5Baliases%5D(%20CRPPA%20)%20OR%20%5Baliases%5D(%20ISPD%20)&amp;keywords=CRPPA,ISPD", "CRPPA;ISPD")</f>
        <v>CRPPA;ISPD</v>
      </c>
      <c r="N18" s="0" t="s">
        <v>240</v>
      </c>
      <c r="O18" s="0" t="s">
        <v>49</v>
      </c>
      <c r="P18" s="0" t="s">
        <v>241</v>
      </c>
      <c r="Q18" s="0" t="n">
        <v>-1</v>
      </c>
      <c r="R18" s="0" t="n">
        <v>-1</v>
      </c>
      <c r="S18" s="0" t="n">
        <v>-1</v>
      </c>
      <c r="T18" s="0" t="n">
        <v>-1</v>
      </c>
      <c r="U18" s="0" t="n">
        <v>-1</v>
      </c>
      <c r="V18" s="0" t="s">
        <v>49</v>
      </c>
      <c r="W18" s="0" t="s">
        <v>49</v>
      </c>
      <c r="X18" s="0" t="s">
        <v>49</v>
      </c>
      <c r="Y18" s="0" t="s">
        <v>49</v>
      </c>
      <c r="Z18" s="0" t="s">
        <v>49</v>
      </c>
      <c r="AA18" s="0" t="s">
        <v>49</v>
      </c>
      <c r="AB18" s="0" t="s">
        <v>80</v>
      </c>
      <c r="AC18" s="0" t="s">
        <v>231</v>
      </c>
      <c r="AD18" s="0" t="s">
        <v>242</v>
      </c>
      <c r="AE18" s="0" t="s">
        <v>243</v>
      </c>
      <c r="AF18" s="0" t="s">
        <v>244</v>
      </c>
      <c r="AG18" s="0" t="s">
        <v>245</v>
      </c>
      <c r="AH18" s="0" t="s">
        <v>246</v>
      </c>
      <c r="AI18" s="0" t="s">
        <v>49</v>
      </c>
      <c r="AJ18" s="0" t="s">
        <v>49</v>
      </c>
      <c r="AK18" s="0" t="s">
        <v>49</v>
      </c>
      <c r="AL18" s="0" t="s">
        <v>49</v>
      </c>
    </row>
    <row r="19" customFormat="false" ht="15" hidden="false" customHeight="false" outlineLevel="0" collapsed="false">
      <c r="A19" s="2"/>
      <c r="B19" s="2" t="str">
        <f aca="false">HYPERLINK("https://genome.ucsc.edu/cgi-bin/hgTracks?db=hg19&amp;position=chr16%3A16284116%2D16284116", "chr16:16284116")</f>
        <v>chr16:16284116</v>
      </c>
      <c r="C19" s="2" t="s">
        <v>121</v>
      </c>
      <c r="D19" s="2" t="n">
        <v>16284116</v>
      </c>
      <c r="E19" s="2" t="n">
        <v>16284116</v>
      </c>
      <c r="F19" s="2" t="s">
        <v>39</v>
      </c>
      <c r="G19" s="2" t="s">
        <v>40</v>
      </c>
      <c r="H19" s="2" t="s">
        <v>247</v>
      </c>
      <c r="I19" s="2" t="s">
        <v>248</v>
      </c>
      <c r="J19" s="2" t="s">
        <v>249</v>
      </c>
      <c r="K19" s="2" t="s">
        <v>49</v>
      </c>
      <c r="L19" s="2" t="str">
        <f aca="false">HYPERLINK("https://www.ncbi.nlm.nih.gov/snp/rs59157279", "rs59157279")</f>
        <v>rs59157279</v>
      </c>
      <c r="M19" s="2" t="str">
        <f aca="false">HYPERLINK("https://www.genecards.org/Search/Keyword?queryString=%5Baliases%5D(%20ABCC6%20)&amp;keywords=ABCC6", "ABCC6")</f>
        <v>ABCC6</v>
      </c>
      <c r="N19" s="2" t="s">
        <v>45</v>
      </c>
      <c r="O19" s="2" t="s">
        <v>46</v>
      </c>
      <c r="P19" s="2" t="s">
        <v>250</v>
      </c>
      <c r="Q19" s="2" t="n">
        <v>0.023392</v>
      </c>
      <c r="R19" s="2" t="n">
        <v>0.0025</v>
      </c>
      <c r="S19" s="2" t="n">
        <v>0.0036</v>
      </c>
      <c r="T19" s="2" t="n">
        <v>-1</v>
      </c>
      <c r="U19" s="2" t="n">
        <v>0.0081</v>
      </c>
      <c r="V19" s="2" t="s">
        <v>67</v>
      </c>
      <c r="W19" s="2" t="s">
        <v>49</v>
      </c>
      <c r="X19" s="2" t="s">
        <v>49</v>
      </c>
      <c r="Y19" s="2" t="s">
        <v>49</v>
      </c>
      <c r="Z19" s="2" t="s">
        <v>115</v>
      </c>
      <c r="AA19" s="2" t="s">
        <v>51</v>
      </c>
      <c r="AB19" s="2" t="s">
        <v>208</v>
      </c>
      <c r="AC19" s="2" t="s">
        <v>53</v>
      </c>
      <c r="AD19" s="2" t="s">
        <v>54</v>
      </c>
      <c r="AE19" s="2" t="s">
        <v>251</v>
      </c>
      <c r="AF19" s="2" t="s">
        <v>252</v>
      </c>
      <c r="AG19" s="2" t="s">
        <v>253</v>
      </c>
      <c r="AH19" s="2" t="s">
        <v>254</v>
      </c>
      <c r="AI19" s="2" t="s">
        <v>49</v>
      </c>
      <c r="AJ19" s="2" t="s">
        <v>49</v>
      </c>
      <c r="AK19" s="2" t="s">
        <v>49</v>
      </c>
      <c r="AL19" s="2" t="s">
        <v>49</v>
      </c>
    </row>
    <row r="20" customFormat="false" ht="15" hidden="false" customHeight="false" outlineLevel="0" collapsed="false">
      <c r="B20" s="0" t="str">
        <f aca="false">HYPERLINK("https://genome.ucsc.edu/cgi-bin/hgTracks?db=hg19&amp;position=chr3%3A113377481%2D113377481", "chr3:113377481")</f>
        <v>chr3:113377481</v>
      </c>
      <c r="C20" s="0" t="s">
        <v>255</v>
      </c>
      <c r="D20" s="0" t="n">
        <v>113377481</v>
      </c>
      <c r="E20" s="0" t="n">
        <v>113377481</v>
      </c>
      <c r="F20" s="0" t="s">
        <v>190</v>
      </c>
      <c r="G20" s="0" t="s">
        <v>40</v>
      </c>
      <c r="H20" s="0" t="s">
        <v>256</v>
      </c>
      <c r="I20" s="0" t="s">
        <v>257</v>
      </c>
      <c r="J20" s="0" t="s">
        <v>258</v>
      </c>
      <c r="K20" s="0" t="s">
        <v>49</v>
      </c>
      <c r="L20" s="0" t="str">
        <f aca="false">HYPERLINK("https://www.ncbi.nlm.nih.gov/snp/rs766218926", "rs766218926")</f>
        <v>rs766218926</v>
      </c>
      <c r="M20" s="0" t="str">
        <f aca="false">HYPERLINK("https://www.genecards.org/Search/Keyword?queryString=%5Baliases%5D(%20KIAA2018%20)%20OR%20%5Baliases%5D(%20USF3%20)&amp;keywords=KIAA2018,USF3", "KIAA2018;USF3")</f>
        <v>KIAA2018;USF3</v>
      </c>
      <c r="N20" s="0" t="s">
        <v>45</v>
      </c>
      <c r="O20" s="0" t="s">
        <v>259</v>
      </c>
      <c r="P20" s="0" t="s">
        <v>260</v>
      </c>
      <c r="Q20" s="0" t="n">
        <v>0.0126</v>
      </c>
      <c r="R20" s="0" t="n">
        <v>0.0114</v>
      </c>
      <c r="S20" s="0" t="n">
        <v>0.0024</v>
      </c>
      <c r="T20" s="0" t="n">
        <v>-1</v>
      </c>
      <c r="U20" s="0" t="n">
        <v>0.0086</v>
      </c>
      <c r="V20" s="0" t="s">
        <v>49</v>
      </c>
      <c r="W20" s="0" t="s">
        <v>49</v>
      </c>
      <c r="X20" s="0" t="s">
        <v>49</v>
      </c>
      <c r="Y20" s="0" t="s">
        <v>49</v>
      </c>
      <c r="Z20" s="0" t="s">
        <v>49</v>
      </c>
      <c r="AA20" s="0" t="s">
        <v>49</v>
      </c>
      <c r="AB20" s="0" t="s">
        <v>261</v>
      </c>
      <c r="AC20" s="0" t="s">
        <v>53</v>
      </c>
      <c r="AD20" s="0" t="s">
        <v>220</v>
      </c>
      <c r="AE20" s="0" t="s">
        <v>49</v>
      </c>
      <c r="AF20" s="0" t="s">
        <v>262</v>
      </c>
      <c r="AG20" s="0" t="s">
        <v>49</v>
      </c>
      <c r="AH20" s="0" t="s">
        <v>49</v>
      </c>
      <c r="AI20" s="0" t="s">
        <v>49</v>
      </c>
      <c r="AJ20" s="0" t="s">
        <v>49</v>
      </c>
      <c r="AK20" s="0" t="s">
        <v>49</v>
      </c>
      <c r="AL20" s="0" t="s">
        <v>49</v>
      </c>
    </row>
    <row r="21" customFormat="false" ht="15" hidden="false" customHeight="false" outlineLevel="0" collapsed="false">
      <c r="B21" s="0" t="str">
        <f aca="false">HYPERLINK("https://genome.ucsc.edu/cgi-bin/hgTracks?db=hg19&amp;position=chr20%3A23028093%2D23028093", "chr20:23028093")</f>
        <v>chr20:23028093</v>
      </c>
      <c r="C21" s="0" t="s">
        <v>263</v>
      </c>
      <c r="D21" s="0" t="n">
        <v>23028093</v>
      </c>
      <c r="E21" s="0" t="n">
        <v>23028093</v>
      </c>
      <c r="F21" s="0" t="s">
        <v>39</v>
      </c>
      <c r="G21" s="0" t="s">
        <v>61</v>
      </c>
      <c r="H21" s="0" t="s">
        <v>264</v>
      </c>
      <c r="I21" s="0" t="s">
        <v>265</v>
      </c>
      <c r="J21" s="0" t="s">
        <v>266</v>
      </c>
      <c r="K21" s="0" t="s">
        <v>49</v>
      </c>
      <c r="L21" s="0" t="str">
        <f aca="false">HYPERLINK("https://www.ncbi.nlm.nih.gov/snp/rs56354707", "rs56354707")</f>
        <v>rs56354707</v>
      </c>
      <c r="M21" s="0" t="str">
        <f aca="false">HYPERLINK("https://www.genecards.org/Search/Keyword?queryString=%5Baliases%5D(%20AX747264%20)%20OR%20%5Baliases%5D(%20THBD%20)&amp;keywords=AX747264,THBD", "AX747264;THBD")</f>
        <v>AX747264;THBD</v>
      </c>
      <c r="N21" s="0" t="s">
        <v>240</v>
      </c>
      <c r="O21" s="0" t="s">
        <v>49</v>
      </c>
      <c r="P21" s="0" t="s">
        <v>267</v>
      </c>
      <c r="Q21" s="0" t="n">
        <v>0.0149</v>
      </c>
      <c r="R21" s="0" t="n">
        <v>0.0086</v>
      </c>
      <c r="S21" s="0" t="n">
        <v>0.0093</v>
      </c>
      <c r="T21" s="0" t="n">
        <v>-1</v>
      </c>
      <c r="U21" s="0" t="n">
        <v>0.0122</v>
      </c>
      <c r="V21" s="0" t="s">
        <v>49</v>
      </c>
      <c r="W21" s="0" t="s">
        <v>49</v>
      </c>
      <c r="X21" s="0" t="s">
        <v>49</v>
      </c>
      <c r="Y21" s="0" t="s">
        <v>49</v>
      </c>
      <c r="Z21" s="0" t="s">
        <v>49</v>
      </c>
      <c r="AA21" s="0" t="s">
        <v>49</v>
      </c>
      <c r="AB21" s="0" t="s">
        <v>139</v>
      </c>
      <c r="AC21" s="0" t="s">
        <v>53</v>
      </c>
      <c r="AD21" s="0" t="s">
        <v>220</v>
      </c>
      <c r="AE21" s="0" t="s">
        <v>49</v>
      </c>
      <c r="AF21" s="0" t="s">
        <v>268</v>
      </c>
      <c r="AG21" s="0" t="s">
        <v>269</v>
      </c>
      <c r="AH21" s="0" t="s">
        <v>270</v>
      </c>
      <c r="AI21" s="0" t="s">
        <v>49</v>
      </c>
      <c r="AJ21" s="0" t="s">
        <v>49</v>
      </c>
      <c r="AK21" s="0" t="s">
        <v>49</v>
      </c>
      <c r="AL21" s="0" t="s">
        <v>49</v>
      </c>
    </row>
    <row r="22" customFormat="false" ht="15" hidden="false" customHeight="false" outlineLevel="0" collapsed="false">
      <c r="B22" s="0" t="str">
        <f aca="false">HYPERLINK("https://genome.ucsc.edu/cgi-bin/hgTracks?db=hg19&amp;position=chr5%3A74722305%2D74722305", "chr5:74722305")</f>
        <v>chr5:74722305</v>
      </c>
      <c r="C22" s="0" t="s">
        <v>155</v>
      </c>
      <c r="D22" s="0" t="n">
        <v>74722305</v>
      </c>
      <c r="E22" s="0" t="n">
        <v>74722305</v>
      </c>
      <c r="F22" s="0" t="s">
        <v>190</v>
      </c>
      <c r="G22" s="0" t="s">
        <v>61</v>
      </c>
      <c r="H22" s="0" t="s">
        <v>271</v>
      </c>
      <c r="I22" s="0" t="s">
        <v>272</v>
      </c>
      <c r="J22" s="0" t="s">
        <v>273</v>
      </c>
      <c r="K22" s="0" t="s">
        <v>49</v>
      </c>
      <c r="L22" s="0" t="str">
        <f aca="false">HYPERLINK("https://www.ncbi.nlm.nih.gov/snp/rs765690709", "rs765690709")</f>
        <v>rs765690709</v>
      </c>
      <c r="M22" s="0" t="str">
        <f aca="false">HYPERLINK("https://www.genecards.org/Search/Keyword?queryString=%5Baliases%5D(%20CERT1%20)%20OR%20%5Baliases%5D(%20COL4A3BP%20)&amp;keywords=CERT1,COL4A3BP", "CERT1;COL4A3BP")</f>
        <v>CERT1;COL4A3BP</v>
      </c>
      <c r="N22" s="0" t="s">
        <v>196</v>
      </c>
      <c r="O22" s="0" t="s">
        <v>49</v>
      </c>
      <c r="P22" s="0" t="s">
        <v>274</v>
      </c>
      <c r="Q22" s="0" t="n">
        <v>0.0031</v>
      </c>
      <c r="R22" s="0" t="n">
        <v>0.0003</v>
      </c>
      <c r="S22" s="0" t="n">
        <v>0.0002</v>
      </c>
      <c r="T22" s="0" t="n">
        <v>-1</v>
      </c>
      <c r="U22" s="0" t="n">
        <v>0.0007</v>
      </c>
      <c r="V22" s="0" t="s">
        <v>49</v>
      </c>
      <c r="W22" s="0" t="s">
        <v>49</v>
      </c>
      <c r="X22" s="0" t="s">
        <v>49</v>
      </c>
      <c r="Y22" s="0" t="s">
        <v>49</v>
      </c>
      <c r="Z22" s="0" t="s">
        <v>49</v>
      </c>
      <c r="AA22" s="0" t="s">
        <v>49</v>
      </c>
      <c r="AB22" s="0" t="s">
        <v>139</v>
      </c>
      <c r="AC22" s="0" t="s">
        <v>53</v>
      </c>
      <c r="AD22" s="0" t="s">
        <v>220</v>
      </c>
      <c r="AE22" s="0" t="s">
        <v>275</v>
      </c>
      <c r="AF22" s="0" t="s">
        <v>276</v>
      </c>
      <c r="AG22" s="0" t="s">
        <v>277</v>
      </c>
      <c r="AH22" s="0" t="s">
        <v>278</v>
      </c>
      <c r="AI22" s="0" t="s">
        <v>49</v>
      </c>
      <c r="AJ22" s="0" t="s">
        <v>49</v>
      </c>
      <c r="AK22" s="0" t="s">
        <v>49</v>
      </c>
      <c r="AL22" s="0" t="s">
        <v>49</v>
      </c>
    </row>
    <row r="23" customFormat="false" ht="15" hidden="false" customHeight="false" outlineLevel="0" collapsed="false">
      <c r="B23" s="0" t="str">
        <f aca="false">HYPERLINK("https://genome.ucsc.edu/cgi-bin/hgTracks?db=hg19&amp;position=chr6%3A152545600%2D152545600", "chr6:152545600")</f>
        <v>chr6:152545600</v>
      </c>
      <c r="C23" s="0" t="s">
        <v>279</v>
      </c>
      <c r="D23" s="0" t="n">
        <v>152545600</v>
      </c>
      <c r="E23" s="0" t="n">
        <v>152545600</v>
      </c>
      <c r="F23" s="0" t="s">
        <v>60</v>
      </c>
      <c r="G23" s="0" t="s">
        <v>61</v>
      </c>
      <c r="H23" s="0" t="s">
        <v>280</v>
      </c>
      <c r="I23" s="0" t="s">
        <v>281</v>
      </c>
      <c r="J23" s="0" t="s">
        <v>282</v>
      </c>
      <c r="K23" s="0" t="s">
        <v>49</v>
      </c>
      <c r="L23" s="0" t="str">
        <f aca="false">HYPERLINK("https://www.ncbi.nlm.nih.gov/snp/rs147275274", "rs147275274")</f>
        <v>rs147275274</v>
      </c>
      <c r="M23" s="0" t="str">
        <f aca="false">HYPERLINK("https://www.genecards.org/Search/Keyword?queryString=%5Baliases%5D(%20MIR3163%20)%20OR%20%5Baliases%5D(%20SYNE1%20)&amp;keywords=MIR3163,SYNE1", "MIR3163;SYNE1")</f>
        <v>MIR3163;SYNE1</v>
      </c>
      <c r="N23" s="0" t="s">
        <v>283</v>
      </c>
      <c r="O23" s="0" t="s">
        <v>49</v>
      </c>
      <c r="P23" s="0" t="s">
        <v>49</v>
      </c>
      <c r="Q23" s="0" t="n">
        <v>0.0267</v>
      </c>
      <c r="R23" s="0" t="n">
        <v>0.0258</v>
      </c>
      <c r="S23" s="0" t="n">
        <v>0.0264</v>
      </c>
      <c r="T23" s="0" t="n">
        <v>-1</v>
      </c>
      <c r="U23" s="0" t="n">
        <v>0.0267</v>
      </c>
      <c r="V23" s="0" t="s">
        <v>49</v>
      </c>
      <c r="W23" s="0" t="s">
        <v>49</v>
      </c>
      <c r="X23" s="0" t="s">
        <v>218</v>
      </c>
      <c r="Y23" s="0" t="s">
        <v>219</v>
      </c>
      <c r="Z23" s="0" t="s">
        <v>49</v>
      </c>
      <c r="AA23" s="0" t="s">
        <v>49</v>
      </c>
      <c r="AB23" s="0" t="s">
        <v>139</v>
      </c>
      <c r="AC23" s="0" t="s">
        <v>53</v>
      </c>
      <c r="AD23" s="0" t="s">
        <v>220</v>
      </c>
      <c r="AE23" s="0" t="s">
        <v>284</v>
      </c>
      <c r="AF23" s="0" t="s">
        <v>285</v>
      </c>
      <c r="AG23" s="0" t="s">
        <v>286</v>
      </c>
      <c r="AH23" s="0" t="s">
        <v>287</v>
      </c>
      <c r="AI23" s="0" t="s">
        <v>49</v>
      </c>
      <c r="AJ23" s="0" t="s">
        <v>49</v>
      </c>
      <c r="AK23" s="0" t="s">
        <v>49</v>
      </c>
      <c r="AL23" s="0" t="s">
        <v>49</v>
      </c>
    </row>
    <row r="24" customFormat="false" ht="15" hidden="false" customHeight="false" outlineLevel="0" collapsed="false">
      <c r="B24" s="0" t="str">
        <f aca="false">HYPERLINK("https://genome.ucsc.edu/cgi-bin/hgTracks?db=hg19&amp;position=chr7%3A30634361%2D30634361", "chr7:30634361")</f>
        <v>chr7:30634361</v>
      </c>
      <c r="C24" s="0" t="s">
        <v>201</v>
      </c>
      <c r="D24" s="0" t="n">
        <v>30634361</v>
      </c>
      <c r="E24" s="0" t="n">
        <v>30634361</v>
      </c>
      <c r="F24" s="0" t="s">
        <v>40</v>
      </c>
      <c r="G24" s="0" t="s">
        <v>39</v>
      </c>
      <c r="H24" s="0" t="s">
        <v>288</v>
      </c>
      <c r="I24" s="0" t="s">
        <v>289</v>
      </c>
      <c r="J24" s="0" t="s">
        <v>290</v>
      </c>
      <c r="K24" s="0" t="s">
        <v>49</v>
      </c>
      <c r="L24" s="0" t="str">
        <f aca="false">HYPERLINK("https://www.ncbi.nlm.nih.gov/snp/rs78980639", "rs78980639")</f>
        <v>rs78980639</v>
      </c>
      <c r="M24" s="0" t="str">
        <f aca="false">HYPERLINK("https://www.genecards.org/Search/Keyword?queryString=%5Baliases%5D(%20DJ031144%20)%20OR%20%5Baliases%5D(%20GARS%20)%20OR%20%5Baliases%5D(%20LOC401320%20)&amp;keywords=DJ031144,GARS,LOC401320", "DJ031144;GARS;LOC401320")</f>
        <v>DJ031144;GARS;LOC401320</v>
      </c>
      <c r="N24" s="0" t="s">
        <v>291</v>
      </c>
      <c r="O24" s="0" t="s">
        <v>49</v>
      </c>
      <c r="P24" s="0" t="s">
        <v>292</v>
      </c>
      <c r="Q24" s="0" t="n">
        <v>0.0127</v>
      </c>
      <c r="R24" s="0" t="n">
        <v>0.0099</v>
      </c>
      <c r="S24" s="0" t="n">
        <v>0.0097</v>
      </c>
      <c r="T24" s="0" t="n">
        <v>-1</v>
      </c>
      <c r="U24" s="0" t="n">
        <v>0.0091</v>
      </c>
      <c r="V24" s="0" t="s">
        <v>49</v>
      </c>
      <c r="W24" s="0" t="s">
        <v>49</v>
      </c>
      <c r="X24" s="0" t="s">
        <v>49</v>
      </c>
      <c r="Y24" s="0" t="s">
        <v>49</v>
      </c>
      <c r="Z24" s="0" t="s">
        <v>49</v>
      </c>
      <c r="AA24" s="0" t="s">
        <v>49</v>
      </c>
      <c r="AB24" s="0" t="s">
        <v>139</v>
      </c>
      <c r="AC24" s="0" t="s">
        <v>53</v>
      </c>
      <c r="AD24" s="0" t="s">
        <v>293</v>
      </c>
      <c r="AE24" s="0" t="s">
        <v>294</v>
      </c>
      <c r="AF24" s="0" t="s">
        <v>295</v>
      </c>
      <c r="AG24" s="0" t="s">
        <v>296</v>
      </c>
      <c r="AH24" s="0" t="s">
        <v>297</v>
      </c>
      <c r="AI24" s="0" t="s">
        <v>49</v>
      </c>
      <c r="AJ24" s="0" t="s">
        <v>49</v>
      </c>
      <c r="AK24" s="0" t="s">
        <v>49</v>
      </c>
      <c r="AL24" s="0" t="s">
        <v>49</v>
      </c>
    </row>
    <row r="25" s="2" customFormat="true" ht="15" hidden="false" customHeight="false" outlineLevel="0" collapsed="false">
      <c r="B25" s="2" t="str">
        <f aca="false">HYPERLINK("https://genome.ucsc.edu/cgi-bin/hgTracks?db=hg19&amp;position=chr7%3A128493382%2D128493382", "chr7:128493382")</f>
        <v>chr7:128493382</v>
      </c>
      <c r="C25" s="2" t="s">
        <v>201</v>
      </c>
      <c r="D25" s="2" t="n">
        <v>128493382</v>
      </c>
      <c r="E25" s="2" t="n">
        <v>128493382</v>
      </c>
      <c r="F25" s="2" t="s">
        <v>39</v>
      </c>
      <c r="G25" s="2" t="s">
        <v>40</v>
      </c>
      <c r="H25" s="2" t="s">
        <v>144</v>
      </c>
      <c r="I25" s="2" t="s">
        <v>298</v>
      </c>
      <c r="J25" s="2" t="s">
        <v>299</v>
      </c>
      <c r="K25" s="2" t="s">
        <v>49</v>
      </c>
      <c r="L25" s="2" t="str">
        <f aca="false">HYPERLINK("https://www.ncbi.nlm.nih.gov/snp/rs117360467", "rs117360467")</f>
        <v>rs117360467</v>
      </c>
      <c r="M25" s="2" t="str">
        <f aca="false">HYPERLINK("https://www.genecards.org/Search/Keyword?queryString=%5Baliases%5D(%20FLNC%20)%20OR%20%5Baliases%5D(%20FLNC-AS1%20)&amp;keywords=FLNC,FLNC-AS1", "FLNC;FLNC-AS1")</f>
        <v>FLNC;FLNC-AS1</v>
      </c>
      <c r="N25" s="2" t="s">
        <v>300</v>
      </c>
      <c r="O25" s="2" t="s">
        <v>49</v>
      </c>
      <c r="P25" s="2" t="s">
        <v>49</v>
      </c>
      <c r="Q25" s="2" t="n">
        <v>0.0161</v>
      </c>
      <c r="R25" s="2" t="n">
        <v>0.0116</v>
      </c>
      <c r="S25" s="2" t="n">
        <v>0.0116</v>
      </c>
      <c r="T25" s="2" t="n">
        <v>-1</v>
      </c>
      <c r="U25" s="2" t="n">
        <v>0.0103</v>
      </c>
      <c r="V25" s="2" t="s">
        <v>49</v>
      </c>
      <c r="W25" s="2" t="s">
        <v>49</v>
      </c>
      <c r="X25" s="2" t="s">
        <v>49</v>
      </c>
      <c r="Y25" s="2" t="s">
        <v>49</v>
      </c>
      <c r="Z25" s="2" t="s">
        <v>49</v>
      </c>
      <c r="AA25" s="2" t="s">
        <v>49</v>
      </c>
      <c r="AB25" s="2" t="s">
        <v>139</v>
      </c>
      <c r="AC25" s="2" t="s">
        <v>53</v>
      </c>
      <c r="AD25" s="2" t="s">
        <v>220</v>
      </c>
      <c r="AE25" s="2" t="s">
        <v>301</v>
      </c>
      <c r="AF25" s="2" t="s">
        <v>302</v>
      </c>
      <c r="AG25" s="2" t="s">
        <v>303</v>
      </c>
      <c r="AH25" s="2" t="s">
        <v>304</v>
      </c>
      <c r="AI25" s="2" t="s">
        <v>49</v>
      </c>
      <c r="AJ25" s="2" t="s">
        <v>49</v>
      </c>
      <c r="AK25" s="2" t="s">
        <v>49</v>
      </c>
      <c r="AL25" s="2" t="s">
        <v>49</v>
      </c>
    </row>
    <row r="26" customFormat="false" ht="15" hidden="false" customHeight="false" outlineLevel="0" collapsed="false">
      <c r="B26" s="0" t="str">
        <f aca="false">HYPERLINK("https://genome.ucsc.edu/cgi-bin/hgTracks?db=hg19&amp;position=chr12%3A9321534%2D9321534", "chr12:9321534")</f>
        <v>chr12:9321534</v>
      </c>
      <c r="C26" s="0" t="s">
        <v>98</v>
      </c>
      <c r="D26" s="0" t="n">
        <v>9321534</v>
      </c>
      <c r="E26" s="0" t="n">
        <v>9321534</v>
      </c>
      <c r="F26" s="0" t="s">
        <v>60</v>
      </c>
      <c r="G26" s="0" t="s">
        <v>61</v>
      </c>
      <c r="H26" s="0" t="s">
        <v>305</v>
      </c>
      <c r="I26" s="0" t="s">
        <v>306</v>
      </c>
      <c r="J26" s="0" t="s">
        <v>307</v>
      </c>
      <c r="K26" s="0" t="s">
        <v>49</v>
      </c>
      <c r="L26" s="0" t="str">
        <f aca="false">HYPERLINK("https://www.ncbi.nlm.nih.gov/snp/rs145240281", "rs145240281")</f>
        <v>rs145240281</v>
      </c>
      <c r="M26" s="0" t="str">
        <f aca="false">HYPERLINK("https://www.genecards.org/Search/Keyword?queryString=%5Baliases%5D(%20PZP%20)&amp;keywords=PZP", "PZP")</f>
        <v>PZP</v>
      </c>
      <c r="N26" s="0" t="s">
        <v>45</v>
      </c>
      <c r="O26" s="0" t="s">
        <v>205</v>
      </c>
      <c r="P26" s="0" t="s">
        <v>308</v>
      </c>
      <c r="Q26" s="0" t="n">
        <v>0.0102</v>
      </c>
      <c r="R26" s="0" t="n">
        <v>0.0092</v>
      </c>
      <c r="S26" s="0" t="n">
        <v>0.0077</v>
      </c>
      <c r="T26" s="0" t="n">
        <v>-1</v>
      </c>
      <c r="U26" s="0" t="n">
        <v>0.0127</v>
      </c>
      <c r="V26" s="0" t="s">
        <v>231</v>
      </c>
      <c r="W26" s="0" t="s">
        <v>49</v>
      </c>
      <c r="X26" s="0" t="s">
        <v>49</v>
      </c>
      <c r="Y26" s="0" t="s">
        <v>49</v>
      </c>
      <c r="Z26" s="0" t="s">
        <v>115</v>
      </c>
      <c r="AA26" s="0" t="s">
        <v>51</v>
      </c>
      <c r="AB26" s="0" t="s">
        <v>104</v>
      </c>
      <c r="AC26" s="0" t="s">
        <v>53</v>
      </c>
      <c r="AD26" s="0" t="s">
        <v>54</v>
      </c>
      <c r="AE26" s="0" t="s">
        <v>309</v>
      </c>
      <c r="AF26" s="0" t="s">
        <v>310</v>
      </c>
      <c r="AG26" s="0" t="s">
        <v>311</v>
      </c>
      <c r="AH26" s="0" t="s">
        <v>49</v>
      </c>
      <c r="AI26" s="0" t="s">
        <v>49</v>
      </c>
      <c r="AJ26" s="0" t="s">
        <v>49</v>
      </c>
      <c r="AK26" s="0" t="s">
        <v>49</v>
      </c>
      <c r="AL26" s="0" t="s">
        <v>49</v>
      </c>
    </row>
    <row r="27" customFormat="false" ht="15" hidden="false" customHeight="false" outlineLevel="0" collapsed="false">
      <c r="B27" s="0" t="str">
        <f aca="false">HYPERLINK("https://genome.ucsc.edu/cgi-bin/hgTracks?db=hg19&amp;position=chr7%3A286468%2D286468", "chr7:286468")</f>
        <v>chr7:286468</v>
      </c>
      <c r="C27" s="0" t="s">
        <v>201</v>
      </c>
      <c r="D27" s="0" t="n">
        <v>286468</v>
      </c>
      <c r="E27" s="0" t="n">
        <v>286468</v>
      </c>
      <c r="F27" s="0" t="s">
        <v>190</v>
      </c>
      <c r="G27" s="0" t="s">
        <v>312</v>
      </c>
      <c r="H27" s="0" t="s">
        <v>313</v>
      </c>
      <c r="I27" s="0" t="s">
        <v>314</v>
      </c>
      <c r="J27" s="0" t="s">
        <v>315</v>
      </c>
      <c r="K27" s="0" t="s">
        <v>49</v>
      </c>
      <c r="L27" s="0" t="str">
        <f aca="false">HYPERLINK("https://www.ncbi.nlm.nih.gov/snp/rs771282640", "rs771282640")</f>
        <v>rs771282640</v>
      </c>
      <c r="M27" s="0" t="str">
        <f aca="false">HYPERLINK("https://www.genecards.org/Search/Keyword?queryString=%5Baliases%5D(%20FAM20C%20)&amp;keywords=FAM20C", "FAM20C")</f>
        <v>FAM20C</v>
      </c>
      <c r="N27" s="0" t="s">
        <v>45</v>
      </c>
      <c r="O27" s="0" t="s">
        <v>205</v>
      </c>
      <c r="P27" s="0" t="s">
        <v>316</v>
      </c>
      <c r="Q27" s="0" t="n">
        <v>0.0070116</v>
      </c>
      <c r="R27" s="0" t="n">
        <v>-1</v>
      </c>
      <c r="S27" s="0" t="n">
        <v>-1</v>
      </c>
      <c r="T27" s="0" t="n">
        <v>-1</v>
      </c>
      <c r="U27" s="0" t="n">
        <v>-1</v>
      </c>
      <c r="V27" s="0" t="s">
        <v>49</v>
      </c>
      <c r="W27" s="0" t="s">
        <v>49</v>
      </c>
      <c r="X27" s="0" t="s">
        <v>49</v>
      </c>
      <c r="Y27" s="0" t="s">
        <v>49</v>
      </c>
      <c r="Z27" s="0" t="s">
        <v>49</v>
      </c>
      <c r="AA27" s="0" t="s">
        <v>49</v>
      </c>
      <c r="AB27" s="0" t="s">
        <v>104</v>
      </c>
      <c r="AC27" s="0" t="s">
        <v>53</v>
      </c>
      <c r="AD27" s="0" t="s">
        <v>54</v>
      </c>
      <c r="AE27" s="0" t="s">
        <v>317</v>
      </c>
      <c r="AF27" s="0" t="s">
        <v>318</v>
      </c>
      <c r="AG27" s="0" t="s">
        <v>319</v>
      </c>
      <c r="AH27" s="0" t="s">
        <v>320</v>
      </c>
      <c r="AI27" s="0" t="s">
        <v>49</v>
      </c>
      <c r="AJ27" s="0" t="s">
        <v>49</v>
      </c>
      <c r="AK27" s="0" t="s">
        <v>49</v>
      </c>
      <c r="AL27" s="0" t="s">
        <v>49</v>
      </c>
    </row>
    <row r="28" customFormat="false" ht="15" hidden="false" customHeight="false" outlineLevel="0" collapsed="false">
      <c r="B28" s="0" t="str">
        <f aca="false">HYPERLINK("https://genome.ucsc.edu/cgi-bin/hgTracks?db=hg19&amp;position=chr1%3A12919770%2D12919770", "chr1:12919770")</f>
        <v>chr1:12919770</v>
      </c>
      <c r="C28" s="0" t="s">
        <v>167</v>
      </c>
      <c r="D28" s="0" t="n">
        <v>12919770</v>
      </c>
      <c r="E28" s="0" t="n">
        <v>12919770</v>
      </c>
      <c r="F28" s="0" t="s">
        <v>60</v>
      </c>
      <c r="G28" s="0" t="s">
        <v>61</v>
      </c>
      <c r="H28" s="0" t="s">
        <v>321</v>
      </c>
      <c r="I28" s="0" t="s">
        <v>322</v>
      </c>
      <c r="J28" s="0" t="s">
        <v>323</v>
      </c>
      <c r="K28" s="0" t="s">
        <v>49</v>
      </c>
      <c r="L28" s="0" t="str">
        <f aca="false">HYPERLINK("https://www.ncbi.nlm.nih.gov/snp/rs201702646", "rs201702646")</f>
        <v>rs201702646</v>
      </c>
      <c r="M28" s="0" t="str">
        <f aca="false">HYPERLINK("https://www.genecards.org/Search/Keyword?queryString=%5Baliases%5D(%20PRAMEF2%20)&amp;keywords=PRAMEF2", "PRAMEF2")</f>
        <v>PRAMEF2</v>
      </c>
      <c r="N28" s="0" t="s">
        <v>45</v>
      </c>
      <c r="O28" s="0" t="s">
        <v>205</v>
      </c>
      <c r="P28" s="0" t="s">
        <v>324</v>
      </c>
      <c r="Q28" s="0" t="n">
        <v>0.0136</v>
      </c>
      <c r="R28" s="0" t="n">
        <v>0.0105</v>
      </c>
      <c r="S28" s="0" t="n">
        <v>0.0133</v>
      </c>
      <c r="T28" s="0" t="n">
        <v>-1</v>
      </c>
      <c r="U28" s="0" t="n">
        <v>0.0167</v>
      </c>
      <c r="V28" s="0" t="s">
        <v>325</v>
      </c>
      <c r="W28" s="0" t="s">
        <v>49</v>
      </c>
      <c r="X28" s="0" t="s">
        <v>49</v>
      </c>
      <c r="Y28" s="0" t="s">
        <v>49</v>
      </c>
      <c r="Z28" s="0" t="s">
        <v>115</v>
      </c>
      <c r="AA28" s="0" t="s">
        <v>51</v>
      </c>
      <c r="AB28" s="0" t="s">
        <v>49</v>
      </c>
      <c r="AC28" s="0" t="s">
        <v>53</v>
      </c>
      <c r="AD28" s="0" t="s">
        <v>54</v>
      </c>
      <c r="AE28" s="0" t="s">
        <v>326</v>
      </c>
      <c r="AF28" s="0" t="s">
        <v>327</v>
      </c>
      <c r="AG28" s="0" t="s">
        <v>49</v>
      </c>
      <c r="AH28" s="0" t="s">
        <v>49</v>
      </c>
      <c r="AI28" s="0" t="s">
        <v>49</v>
      </c>
      <c r="AJ28" s="0" t="s">
        <v>49</v>
      </c>
      <c r="AK28" s="0" t="s">
        <v>49</v>
      </c>
      <c r="AL28" s="0" t="s">
        <v>120</v>
      </c>
    </row>
    <row r="29" s="2" customFormat="true" ht="15" hidden="false" customHeight="false" outlineLevel="0" collapsed="false">
      <c r="A29" s="0"/>
      <c r="B29" s="0" t="str">
        <f aca="false">HYPERLINK("https://genome.ucsc.edu/cgi-bin/hgTracks?db=hg19&amp;position=chr1%3A156314497%2D156314497", "chr1:156314497")</f>
        <v>chr1:156314497</v>
      </c>
      <c r="C29" s="0" t="s">
        <v>167</v>
      </c>
      <c r="D29" s="0" t="n">
        <v>156314497</v>
      </c>
      <c r="E29" s="0" t="n">
        <v>156314497</v>
      </c>
      <c r="F29" s="0" t="s">
        <v>39</v>
      </c>
      <c r="G29" s="0" t="s">
        <v>40</v>
      </c>
      <c r="H29" s="0" t="s">
        <v>328</v>
      </c>
      <c r="I29" s="0" t="s">
        <v>329</v>
      </c>
      <c r="J29" s="0" t="s">
        <v>330</v>
      </c>
      <c r="K29" s="0" t="s">
        <v>49</v>
      </c>
      <c r="L29" s="0" t="str">
        <f aca="false">HYPERLINK("https://www.ncbi.nlm.nih.gov/snp/rs41265043", "rs41265043")</f>
        <v>rs41265043</v>
      </c>
      <c r="M29" s="0" t="str">
        <f aca="false">HYPERLINK("https://www.genecards.org/Search/Keyword?queryString=%5Baliases%5D(%20TSACC%20)&amp;keywords=TSACC", "TSACC")</f>
        <v>TSACC</v>
      </c>
      <c r="N29" s="0" t="s">
        <v>45</v>
      </c>
      <c r="O29" s="0" t="s">
        <v>46</v>
      </c>
      <c r="P29" s="0" t="s">
        <v>331</v>
      </c>
      <c r="Q29" s="0" t="n">
        <v>0.0241</v>
      </c>
      <c r="R29" s="0" t="n">
        <v>0.0242</v>
      </c>
      <c r="S29" s="0" t="n">
        <v>0.0228</v>
      </c>
      <c r="T29" s="0" t="n">
        <v>-1</v>
      </c>
      <c r="U29" s="0" t="n">
        <v>0.0276</v>
      </c>
      <c r="V29" s="0" t="s">
        <v>332</v>
      </c>
      <c r="W29" s="0" t="s">
        <v>333</v>
      </c>
      <c r="X29" s="0" t="s">
        <v>49</v>
      </c>
      <c r="Y29" s="0" t="s">
        <v>49</v>
      </c>
      <c r="Z29" s="0" t="s">
        <v>115</v>
      </c>
      <c r="AA29" s="0" t="s">
        <v>51</v>
      </c>
      <c r="AB29" s="0" t="s">
        <v>49</v>
      </c>
      <c r="AC29" s="0" t="s">
        <v>53</v>
      </c>
      <c r="AD29" s="0" t="s">
        <v>54</v>
      </c>
      <c r="AE29" s="0" t="s">
        <v>334</v>
      </c>
      <c r="AF29" s="0" t="s">
        <v>335</v>
      </c>
      <c r="AG29" s="0" t="s">
        <v>336</v>
      </c>
      <c r="AH29" s="0" t="s">
        <v>49</v>
      </c>
      <c r="AI29" s="0" t="s">
        <v>49</v>
      </c>
      <c r="AJ29" s="0" t="s">
        <v>49</v>
      </c>
      <c r="AK29" s="0" t="s">
        <v>49</v>
      </c>
      <c r="AL29" s="0" t="s">
        <v>49</v>
      </c>
    </row>
    <row r="30" s="2" customFormat="true" ht="15" hidden="false" customHeight="false" outlineLevel="0" collapsed="false">
      <c r="A30" s="0"/>
      <c r="B30" s="0" t="str">
        <f aca="false">HYPERLINK("https://genome.ucsc.edu/cgi-bin/hgTracks?db=hg19&amp;position=chr1%3A229750089%2D229750089", "chr1:229750089")</f>
        <v>chr1:229750089</v>
      </c>
      <c r="C30" s="0" t="s">
        <v>167</v>
      </c>
      <c r="D30" s="0" t="n">
        <v>229750089</v>
      </c>
      <c r="E30" s="0" t="n">
        <v>229750089</v>
      </c>
      <c r="F30" s="0" t="s">
        <v>40</v>
      </c>
      <c r="G30" s="0" t="s">
        <v>60</v>
      </c>
      <c r="H30" s="0" t="s">
        <v>337</v>
      </c>
      <c r="I30" s="0" t="s">
        <v>338</v>
      </c>
      <c r="J30" s="0" t="s">
        <v>339</v>
      </c>
      <c r="K30" s="0" t="s">
        <v>49</v>
      </c>
      <c r="L30" s="0" t="s">
        <v>49</v>
      </c>
      <c r="M30" s="0" t="str">
        <f aca="false">HYPERLINK("https://www.genecards.org/Search/Keyword?queryString=%5Baliases%5D(%20TAF5L%20)&amp;keywords=TAF5L", "TAF5L")</f>
        <v>TAF5L</v>
      </c>
      <c r="N30" s="0" t="s">
        <v>45</v>
      </c>
      <c r="O30" s="0" t="s">
        <v>340</v>
      </c>
      <c r="P30" s="0" t="s">
        <v>341</v>
      </c>
      <c r="Q30" s="0" t="n">
        <v>-1</v>
      </c>
      <c r="R30" s="0" t="n">
        <v>-1</v>
      </c>
      <c r="S30" s="0" t="n">
        <v>-1</v>
      </c>
      <c r="T30" s="0" t="n">
        <v>-1</v>
      </c>
      <c r="U30" s="0" t="n">
        <v>-1</v>
      </c>
      <c r="V30" s="0" t="s">
        <v>49</v>
      </c>
      <c r="W30" s="0" t="s">
        <v>333</v>
      </c>
      <c r="X30" s="0" t="s">
        <v>49</v>
      </c>
      <c r="Y30" s="0" t="s">
        <v>49</v>
      </c>
      <c r="Z30" s="0" t="s">
        <v>49</v>
      </c>
      <c r="AA30" s="0" t="s">
        <v>51</v>
      </c>
      <c r="AB30" s="0" t="s">
        <v>49</v>
      </c>
      <c r="AC30" s="0" t="s">
        <v>53</v>
      </c>
      <c r="AD30" s="0" t="s">
        <v>54</v>
      </c>
      <c r="AE30" s="0" t="s">
        <v>342</v>
      </c>
      <c r="AF30" s="0" t="s">
        <v>343</v>
      </c>
      <c r="AG30" s="0" t="s">
        <v>344</v>
      </c>
      <c r="AH30" s="0" t="s">
        <v>49</v>
      </c>
      <c r="AI30" s="0" t="s">
        <v>49</v>
      </c>
      <c r="AJ30" s="0" t="s">
        <v>49</v>
      </c>
      <c r="AK30" s="0" t="s">
        <v>49</v>
      </c>
      <c r="AL30" s="0" t="s">
        <v>49</v>
      </c>
    </row>
    <row r="31" s="2" customFormat="true" ht="15" hidden="false" customHeight="false" outlineLevel="0" collapsed="false">
      <c r="A31" s="0"/>
      <c r="B31" s="0" t="str">
        <f aca="false">HYPERLINK("https://genome.ucsc.edu/cgi-bin/hgTracks?db=hg19&amp;position=chr10%3A75187483%2D75187483", "chr10:75187483")</f>
        <v>chr10:75187483</v>
      </c>
      <c r="C31" s="0" t="s">
        <v>189</v>
      </c>
      <c r="D31" s="0" t="n">
        <v>75187483</v>
      </c>
      <c r="E31" s="0" t="n">
        <v>75187483</v>
      </c>
      <c r="F31" s="0" t="s">
        <v>60</v>
      </c>
      <c r="G31" s="0" t="s">
        <v>61</v>
      </c>
      <c r="H31" s="0" t="s">
        <v>345</v>
      </c>
      <c r="I31" s="0" t="s">
        <v>346</v>
      </c>
      <c r="J31" s="0" t="s">
        <v>347</v>
      </c>
      <c r="K31" s="0" t="s">
        <v>49</v>
      </c>
      <c r="L31" s="0" t="str">
        <f aca="false">HYPERLINK("https://www.ncbi.nlm.nih.gov/snp/rs138597910", "rs138597910")</f>
        <v>rs138597910</v>
      </c>
      <c r="M31" s="0" t="str">
        <f aca="false">HYPERLINK("https://www.genecards.org/Search/Keyword?queryString=%5Baliases%5D(%20MSS51%20)&amp;keywords=MSS51", "MSS51")</f>
        <v>MSS51</v>
      </c>
      <c r="N31" s="0" t="s">
        <v>45</v>
      </c>
      <c r="O31" s="0" t="s">
        <v>205</v>
      </c>
      <c r="P31" s="0" t="s">
        <v>348</v>
      </c>
      <c r="Q31" s="0" t="n">
        <v>0.0141</v>
      </c>
      <c r="R31" s="0" t="n">
        <v>0.0023</v>
      </c>
      <c r="S31" s="0" t="n">
        <v>0.0021</v>
      </c>
      <c r="T31" s="0" t="n">
        <v>-1</v>
      </c>
      <c r="U31" s="0" t="n">
        <v>0.0029</v>
      </c>
      <c r="V31" s="0" t="s">
        <v>349</v>
      </c>
      <c r="W31" s="0" t="s">
        <v>49</v>
      </c>
      <c r="X31" s="0" t="s">
        <v>49</v>
      </c>
      <c r="Y31" s="0" t="s">
        <v>49</v>
      </c>
      <c r="Z31" s="0" t="s">
        <v>50</v>
      </c>
      <c r="AA31" s="0" t="s">
        <v>51</v>
      </c>
      <c r="AB31" s="0" t="s">
        <v>49</v>
      </c>
      <c r="AC31" s="0" t="s">
        <v>53</v>
      </c>
      <c r="AD31" s="0" t="s">
        <v>54</v>
      </c>
      <c r="AE31" s="0" t="s">
        <v>350</v>
      </c>
      <c r="AF31" s="0" t="s">
        <v>351</v>
      </c>
      <c r="AG31" s="0" t="s">
        <v>49</v>
      </c>
      <c r="AH31" s="0" t="s">
        <v>49</v>
      </c>
      <c r="AI31" s="0" t="s">
        <v>49</v>
      </c>
      <c r="AJ31" s="0" t="s">
        <v>49</v>
      </c>
      <c r="AK31" s="0" t="s">
        <v>49</v>
      </c>
      <c r="AL31" s="0" t="s">
        <v>49</v>
      </c>
    </row>
    <row r="32" s="3" customFormat="true" ht="15" hidden="false" customHeight="false" outlineLevel="0" collapsed="false">
      <c r="A32" s="0"/>
      <c r="B32" s="0" t="str">
        <f aca="false">HYPERLINK("https://genome.ucsc.edu/cgi-bin/hgTracks?db=hg19&amp;position=chr10%3A126683166%2D126683166", "chr10:126683166")</f>
        <v>chr10:126683166</v>
      </c>
      <c r="C32" s="0" t="s">
        <v>189</v>
      </c>
      <c r="D32" s="0" t="n">
        <v>126683166</v>
      </c>
      <c r="E32" s="0" t="n">
        <v>126683166</v>
      </c>
      <c r="F32" s="0" t="s">
        <v>39</v>
      </c>
      <c r="G32" s="0" t="s">
        <v>61</v>
      </c>
      <c r="H32" s="0" t="s">
        <v>352</v>
      </c>
      <c r="I32" s="0" t="s">
        <v>353</v>
      </c>
      <c r="J32" s="0" t="s">
        <v>354</v>
      </c>
      <c r="K32" s="0" t="s">
        <v>49</v>
      </c>
      <c r="L32" s="0" t="str">
        <f aca="false">HYPERLINK("https://www.ncbi.nlm.nih.gov/snp/rs968566248", "rs968566248")</f>
        <v>rs968566248</v>
      </c>
      <c r="M32" s="0" t="str">
        <f aca="false">HYPERLINK("https://www.genecards.org/Search/Keyword?queryString=%5Baliases%5D(%20CTBP2%20)&amp;keywords=CTBP2", "CTBP2")</f>
        <v>CTBP2</v>
      </c>
      <c r="N32" s="0" t="s">
        <v>45</v>
      </c>
      <c r="O32" s="0" t="s">
        <v>205</v>
      </c>
      <c r="P32" s="0" t="s">
        <v>355</v>
      </c>
      <c r="Q32" s="0" t="n">
        <v>-1</v>
      </c>
      <c r="R32" s="0" t="n">
        <v>-1</v>
      </c>
      <c r="S32" s="0" t="n">
        <v>-1</v>
      </c>
      <c r="T32" s="0" t="n">
        <v>-1</v>
      </c>
      <c r="U32" s="0" t="n">
        <v>-1</v>
      </c>
      <c r="V32" s="0" t="s">
        <v>207</v>
      </c>
      <c r="W32" s="0" t="s">
        <v>49</v>
      </c>
      <c r="X32" s="0" t="s">
        <v>49</v>
      </c>
      <c r="Y32" s="0" t="s">
        <v>49</v>
      </c>
      <c r="Z32" s="0" t="s">
        <v>356</v>
      </c>
      <c r="AA32" s="0" t="s">
        <v>51</v>
      </c>
      <c r="AB32" s="0" t="s">
        <v>49</v>
      </c>
      <c r="AC32" s="0" t="s">
        <v>53</v>
      </c>
      <c r="AD32" s="0" t="s">
        <v>289</v>
      </c>
      <c r="AE32" s="0" t="s">
        <v>357</v>
      </c>
      <c r="AF32" s="0" t="s">
        <v>358</v>
      </c>
      <c r="AG32" s="0" t="s">
        <v>359</v>
      </c>
      <c r="AH32" s="0" t="s">
        <v>49</v>
      </c>
      <c r="AI32" s="0" t="s">
        <v>49</v>
      </c>
      <c r="AJ32" s="0" t="s">
        <v>49</v>
      </c>
      <c r="AK32" s="0" t="s">
        <v>49</v>
      </c>
      <c r="AL32" s="0" t="s">
        <v>49</v>
      </c>
    </row>
    <row r="33" customFormat="false" ht="15" hidden="false" customHeight="false" outlineLevel="0" collapsed="false">
      <c r="B33" s="0" t="str">
        <f aca="false">HYPERLINK("https://genome.ucsc.edu/cgi-bin/hgTracks?db=hg19&amp;position=chr10%3A126727602%2D126727602", "chr10:126727602")</f>
        <v>chr10:126727602</v>
      </c>
      <c r="C33" s="0" t="s">
        <v>189</v>
      </c>
      <c r="D33" s="0" t="n">
        <v>126727602</v>
      </c>
      <c r="E33" s="0" t="n">
        <v>126727602</v>
      </c>
      <c r="F33" s="0" t="s">
        <v>40</v>
      </c>
      <c r="G33" s="0" t="s">
        <v>61</v>
      </c>
      <c r="H33" s="0" t="s">
        <v>360</v>
      </c>
      <c r="I33" s="0" t="s">
        <v>361</v>
      </c>
      <c r="J33" s="0" t="s">
        <v>362</v>
      </c>
      <c r="K33" s="0" t="s">
        <v>49</v>
      </c>
      <c r="L33" s="0" t="str">
        <f aca="false">HYPERLINK("https://www.ncbi.nlm.nih.gov/snp/rs76555439", "rs76555439")</f>
        <v>rs76555439</v>
      </c>
      <c r="M33" s="0" t="str">
        <f aca="false">HYPERLINK("https://www.genecards.org/Search/Keyword?queryString=%5Baliases%5D(%20CTBP2%20)&amp;keywords=CTBP2", "CTBP2")</f>
        <v>CTBP2</v>
      </c>
      <c r="N33" s="0" t="s">
        <v>45</v>
      </c>
      <c r="O33" s="0" t="s">
        <v>205</v>
      </c>
      <c r="P33" s="0" t="s">
        <v>363</v>
      </c>
      <c r="Q33" s="0" t="n">
        <v>2.59E-005</v>
      </c>
      <c r="R33" s="0" t="n">
        <v>-1</v>
      </c>
      <c r="S33" s="0" t="n">
        <v>-1</v>
      </c>
      <c r="T33" s="0" t="n">
        <v>-1</v>
      </c>
      <c r="U33" s="0" t="n">
        <v>-1</v>
      </c>
      <c r="V33" s="0" t="s">
        <v>364</v>
      </c>
      <c r="W33" s="0" t="s">
        <v>49</v>
      </c>
      <c r="X33" s="0" t="s">
        <v>49</v>
      </c>
      <c r="Y33" s="0" t="s">
        <v>49</v>
      </c>
      <c r="Z33" s="0" t="s">
        <v>174</v>
      </c>
      <c r="AA33" s="0" t="s">
        <v>51</v>
      </c>
      <c r="AB33" s="0" t="s">
        <v>49</v>
      </c>
      <c r="AC33" s="0" t="s">
        <v>53</v>
      </c>
      <c r="AD33" s="0" t="s">
        <v>289</v>
      </c>
      <c r="AE33" s="0" t="s">
        <v>357</v>
      </c>
      <c r="AF33" s="0" t="s">
        <v>358</v>
      </c>
      <c r="AG33" s="0" t="s">
        <v>359</v>
      </c>
      <c r="AH33" s="0" t="s">
        <v>49</v>
      </c>
      <c r="AI33" s="0" t="s">
        <v>49</v>
      </c>
      <c r="AJ33" s="0" t="s">
        <v>49</v>
      </c>
      <c r="AK33" s="0" t="s">
        <v>49</v>
      </c>
      <c r="AL33" s="0" t="s">
        <v>49</v>
      </c>
    </row>
    <row r="34" customFormat="false" ht="15" hidden="false" customHeight="false" outlineLevel="0" collapsed="false">
      <c r="B34" s="0" t="str">
        <f aca="false">HYPERLINK("https://genome.ucsc.edu/cgi-bin/hgTracks?db=hg19&amp;position=chr2%3A96519588%2D96519588", "chr2:96519588")</f>
        <v>chr2:96519588</v>
      </c>
      <c r="C34" s="0" t="s">
        <v>38</v>
      </c>
      <c r="D34" s="0" t="n">
        <v>96519588</v>
      </c>
      <c r="E34" s="0" t="n">
        <v>96519588</v>
      </c>
      <c r="F34" s="0" t="s">
        <v>60</v>
      </c>
      <c r="G34" s="0" t="s">
        <v>61</v>
      </c>
      <c r="H34" s="0" t="s">
        <v>365</v>
      </c>
      <c r="I34" s="0" t="s">
        <v>366</v>
      </c>
      <c r="J34" s="0" t="s">
        <v>367</v>
      </c>
      <c r="K34" s="0" t="s">
        <v>49</v>
      </c>
      <c r="L34" s="0" t="str">
        <f aca="false">HYPERLINK("https://www.ncbi.nlm.nih.gov/snp/rs56121945", "rs56121945")</f>
        <v>rs56121945</v>
      </c>
      <c r="M34" s="0" t="str">
        <f aca="false">HYPERLINK("https://www.genecards.org/Search/Keyword?queryString=%5Baliases%5D(%20ANKRD36C%20)&amp;keywords=ANKRD36C", "ANKRD36C")</f>
        <v>ANKRD36C</v>
      </c>
      <c r="N34" s="0" t="s">
        <v>368</v>
      </c>
      <c r="O34" s="0" t="s">
        <v>205</v>
      </c>
      <c r="P34" s="0" t="s">
        <v>369</v>
      </c>
      <c r="Q34" s="0" t="n">
        <v>0.0005045</v>
      </c>
      <c r="R34" s="0" t="n">
        <v>-1</v>
      </c>
      <c r="S34" s="0" t="n">
        <v>-1</v>
      </c>
      <c r="T34" s="0" t="n">
        <v>-1</v>
      </c>
      <c r="U34" s="0" t="n">
        <v>-1</v>
      </c>
      <c r="V34" s="0" t="s">
        <v>364</v>
      </c>
      <c r="W34" s="0" t="s">
        <v>49</v>
      </c>
      <c r="X34" s="0" t="s">
        <v>49</v>
      </c>
      <c r="Y34" s="0" t="s">
        <v>49</v>
      </c>
      <c r="Z34" s="0" t="s">
        <v>151</v>
      </c>
      <c r="AA34" s="0" t="s">
        <v>51</v>
      </c>
      <c r="AB34" s="0" t="s">
        <v>49</v>
      </c>
      <c r="AC34" s="0" t="s">
        <v>53</v>
      </c>
      <c r="AD34" s="0" t="s">
        <v>370</v>
      </c>
      <c r="AE34" s="0" t="s">
        <v>49</v>
      </c>
      <c r="AF34" s="0" t="s">
        <v>371</v>
      </c>
      <c r="AG34" s="0" t="s">
        <v>49</v>
      </c>
      <c r="AH34" s="0" t="s">
        <v>49</v>
      </c>
      <c r="AI34" s="0" t="s">
        <v>49</v>
      </c>
      <c r="AJ34" s="0" t="s">
        <v>49</v>
      </c>
      <c r="AK34" s="0" t="s">
        <v>49</v>
      </c>
      <c r="AL34" s="0" t="s">
        <v>49</v>
      </c>
    </row>
    <row r="35" customFormat="false" ht="15" hidden="false" customHeight="false" outlineLevel="0" collapsed="false">
      <c r="B35" s="0" t="str">
        <f aca="false">HYPERLINK("https://genome.ucsc.edu/cgi-bin/hgTracks?db=hg19&amp;position=chr2%3A96521337%2D96521337", "chr2:96521337")</f>
        <v>chr2:96521337</v>
      </c>
      <c r="C35" s="0" t="s">
        <v>38</v>
      </c>
      <c r="D35" s="0" t="n">
        <v>96521337</v>
      </c>
      <c r="E35" s="0" t="n">
        <v>96521337</v>
      </c>
      <c r="F35" s="0" t="s">
        <v>60</v>
      </c>
      <c r="G35" s="0" t="s">
        <v>61</v>
      </c>
      <c r="H35" s="0" t="s">
        <v>372</v>
      </c>
      <c r="I35" s="0" t="s">
        <v>373</v>
      </c>
      <c r="J35" s="0" t="s">
        <v>374</v>
      </c>
      <c r="K35" s="0" t="s">
        <v>49</v>
      </c>
      <c r="L35" s="0" t="str">
        <f aca="false">HYPERLINK("https://www.ncbi.nlm.nih.gov/snp/rs200422439", "rs200422439")</f>
        <v>rs200422439</v>
      </c>
      <c r="M35" s="0" t="str">
        <f aca="false">HYPERLINK("https://www.genecards.org/Search/Keyword?queryString=%5Baliases%5D(%20ANKRD36C%20)&amp;keywords=ANKRD36C", "ANKRD36C")</f>
        <v>ANKRD36C</v>
      </c>
      <c r="N35" s="0" t="s">
        <v>375</v>
      </c>
      <c r="O35" s="0" t="s">
        <v>205</v>
      </c>
      <c r="P35" s="0" t="s">
        <v>376</v>
      </c>
      <c r="Q35" s="0" t="n">
        <v>6.5E-006</v>
      </c>
      <c r="R35" s="0" t="n">
        <v>-1</v>
      </c>
      <c r="S35" s="0" t="n">
        <v>-1</v>
      </c>
      <c r="T35" s="0" t="n">
        <v>-1</v>
      </c>
      <c r="U35" s="0" t="n">
        <v>-1</v>
      </c>
      <c r="V35" s="0" t="s">
        <v>231</v>
      </c>
      <c r="W35" s="0" t="s">
        <v>49</v>
      </c>
      <c r="X35" s="0" t="s">
        <v>49</v>
      </c>
      <c r="Y35" s="0" t="s">
        <v>49</v>
      </c>
      <c r="Z35" s="0" t="s">
        <v>151</v>
      </c>
      <c r="AA35" s="0" t="s">
        <v>51</v>
      </c>
      <c r="AB35" s="0" t="s">
        <v>49</v>
      </c>
      <c r="AC35" s="0" t="s">
        <v>53</v>
      </c>
      <c r="AD35" s="0" t="s">
        <v>370</v>
      </c>
      <c r="AE35" s="0" t="s">
        <v>49</v>
      </c>
      <c r="AF35" s="0" t="s">
        <v>371</v>
      </c>
      <c r="AG35" s="0" t="s">
        <v>49</v>
      </c>
      <c r="AH35" s="0" t="s">
        <v>49</v>
      </c>
      <c r="AI35" s="0" t="s">
        <v>49</v>
      </c>
      <c r="AJ35" s="0" t="s">
        <v>49</v>
      </c>
      <c r="AK35" s="0" t="s">
        <v>49</v>
      </c>
      <c r="AL35" s="0" t="s">
        <v>49</v>
      </c>
    </row>
    <row r="36" customFormat="false" ht="15" hidden="false" customHeight="false" outlineLevel="0" collapsed="false">
      <c r="B36" s="0" t="str">
        <f aca="false">HYPERLINK("https://genome.ucsc.edu/cgi-bin/hgTracks?db=hg19&amp;position=chr2%3A122135223%2D122135223", "chr2:122135223")</f>
        <v>chr2:122135223</v>
      </c>
      <c r="C36" s="0" t="s">
        <v>38</v>
      </c>
      <c r="D36" s="0" t="n">
        <v>122135223</v>
      </c>
      <c r="E36" s="0" t="n">
        <v>122135223</v>
      </c>
      <c r="F36" s="0" t="s">
        <v>61</v>
      </c>
      <c r="G36" s="0" t="s">
        <v>60</v>
      </c>
      <c r="H36" s="0" t="s">
        <v>377</v>
      </c>
      <c r="I36" s="0" t="s">
        <v>214</v>
      </c>
      <c r="J36" s="0" t="s">
        <v>378</v>
      </c>
      <c r="K36" s="0" t="s">
        <v>49</v>
      </c>
      <c r="L36" s="0" t="str">
        <f aca="false">HYPERLINK("https://www.ncbi.nlm.nih.gov/snp/rs372952192", "rs372952192")</f>
        <v>rs372952192</v>
      </c>
      <c r="M36" s="0" t="str">
        <f aca="false">HYPERLINK("https://www.genecards.org/Search/Keyword?queryString=%5Baliases%5D(%20CLASP1%20)&amp;keywords=CLASP1", "CLASP1")</f>
        <v>CLASP1</v>
      </c>
      <c r="N36" s="0" t="s">
        <v>45</v>
      </c>
      <c r="O36" s="0" t="s">
        <v>148</v>
      </c>
      <c r="P36" s="0" t="s">
        <v>379</v>
      </c>
      <c r="Q36" s="0" t="n">
        <v>0.0003</v>
      </c>
      <c r="R36" s="0" t="n">
        <v>0.0005</v>
      </c>
      <c r="S36" s="0" t="n">
        <v>0.0004</v>
      </c>
      <c r="T36" s="0" t="n">
        <v>-1</v>
      </c>
      <c r="U36" s="0" t="n">
        <v>0.0009</v>
      </c>
      <c r="V36" s="0" t="s">
        <v>380</v>
      </c>
      <c r="W36" s="0" t="s">
        <v>49</v>
      </c>
      <c r="X36" s="0" t="s">
        <v>49</v>
      </c>
      <c r="Y36" s="0" t="s">
        <v>49</v>
      </c>
      <c r="Z36" s="0" t="s">
        <v>381</v>
      </c>
      <c r="AA36" s="0" t="s">
        <v>51</v>
      </c>
      <c r="AB36" s="0" t="s">
        <v>49</v>
      </c>
      <c r="AC36" s="0" t="s">
        <v>53</v>
      </c>
      <c r="AD36" s="0" t="s">
        <v>54</v>
      </c>
      <c r="AE36" s="0" t="s">
        <v>382</v>
      </c>
      <c r="AF36" s="0" t="s">
        <v>383</v>
      </c>
      <c r="AG36" s="0" t="s">
        <v>384</v>
      </c>
      <c r="AH36" s="0" t="s">
        <v>49</v>
      </c>
      <c r="AI36" s="0" t="s">
        <v>49</v>
      </c>
      <c r="AJ36" s="0" t="s">
        <v>49</v>
      </c>
      <c r="AK36" s="0" t="s">
        <v>49</v>
      </c>
      <c r="AL36" s="0" t="s">
        <v>49</v>
      </c>
    </row>
    <row r="37" customFormat="false" ht="15" hidden="false" customHeight="false" outlineLevel="0" collapsed="false">
      <c r="B37" s="0" t="str">
        <f aca="false">HYPERLINK("https://genome.ucsc.edu/cgi-bin/hgTracks?db=hg19&amp;position=chr22%3A22989566%2D22989566", "chr22:22989566")</f>
        <v>chr22:22989566</v>
      </c>
      <c r="C37" s="0" t="s">
        <v>225</v>
      </c>
      <c r="D37" s="0" t="n">
        <v>22989566</v>
      </c>
      <c r="E37" s="0" t="n">
        <v>22989566</v>
      </c>
      <c r="F37" s="0" t="s">
        <v>61</v>
      </c>
      <c r="G37" s="0" t="s">
        <v>60</v>
      </c>
      <c r="H37" s="0" t="s">
        <v>385</v>
      </c>
      <c r="I37" s="0" t="s">
        <v>386</v>
      </c>
      <c r="J37" s="0" t="s">
        <v>387</v>
      </c>
      <c r="K37" s="0" t="s">
        <v>49</v>
      </c>
      <c r="L37" s="0" t="str">
        <f aca="false">HYPERLINK("https://www.ncbi.nlm.nih.gov/snp/rs4050110", "rs4050110")</f>
        <v>rs4050110</v>
      </c>
      <c r="M37" s="0" t="str">
        <f aca="false">HYPERLINK("https://www.genecards.org/Search/Keyword?queryString=%5Baliases%5D(%20GGTLC2%20)&amp;keywords=GGTLC2", "GGTLC2")</f>
        <v>GGTLC2</v>
      </c>
      <c r="N37" s="0" t="s">
        <v>388</v>
      </c>
      <c r="O37" s="0" t="s">
        <v>46</v>
      </c>
      <c r="P37" s="0" t="s">
        <v>389</v>
      </c>
      <c r="Q37" s="0" t="n">
        <v>0.002</v>
      </c>
      <c r="R37" s="0" t="n">
        <v>0.0016</v>
      </c>
      <c r="S37" s="0" t="n">
        <v>0.0018</v>
      </c>
      <c r="T37" s="0" t="n">
        <v>-1</v>
      </c>
      <c r="U37" s="0" t="n">
        <v>0.0019</v>
      </c>
      <c r="V37" s="0" t="s">
        <v>231</v>
      </c>
      <c r="W37" s="0" t="s">
        <v>49</v>
      </c>
      <c r="X37" s="0" t="s">
        <v>218</v>
      </c>
      <c r="Y37" s="0" t="s">
        <v>390</v>
      </c>
      <c r="Z37" s="0" t="s">
        <v>391</v>
      </c>
      <c r="AA37" s="0" t="s">
        <v>51</v>
      </c>
      <c r="AB37" s="0" t="s">
        <v>49</v>
      </c>
      <c r="AC37" s="0" t="s">
        <v>53</v>
      </c>
      <c r="AD37" s="0" t="s">
        <v>54</v>
      </c>
      <c r="AE37" s="0" t="s">
        <v>392</v>
      </c>
      <c r="AF37" s="0" t="s">
        <v>393</v>
      </c>
      <c r="AG37" s="0" t="s">
        <v>49</v>
      </c>
      <c r="AH37" s="0" t="s">
        <v>49</v>
      </c>
      <c r="AI37" s="0" t="s">
        <v>49</v>
      </c>
      <c r="AJ37" s="0" t="s">
        <v>49</v>
      </c>
      <c r="AK37" s="0" t="s">
        <v>49</v>
      </c>
      <c r="AL37" s="0" t="s">
        <v>132</v>
      </c>
    </row>
    <row r="38" customFormat="false" ht="15" hidden="false" customHeight="false" outlineLevel="0" collapsed="false">
      <c r="B38" s="0" t="str">
        <f aca="false">HYPERLINK("https://genome.ucsc.edu/cgi-bin/hgTracks?db=hg19&amp;position=chr3%3A47917275%2D47917275", "chr3:47917275")</f>
        <v>chr3:47917275</v>
      </c>
      <c r="C38" s="0" t="s">
        <v>255</v>
      </c>
      <c r="D38" s="0" t="n">
        <v>47917275</v>
      </c>
      <c r="E38" s="0" t="n">
        <v>47917275</v>
      </c>
      <c r="F38" s="0" t="s">
        <v>61</v>
      </c>
      <c r="G38" s="0" t="s">
        <v>39</v>
      </c>
      <c r="H38" s="0" t="s">
        <v>394</v>
      </c>
      <c r="I38" s="0" t="s">
        <v>395</v>
      </c>
      <c r="J38" s="0" t="s">
        <v>396</v>
      </c>
      <c r="K38" s="0" t="s">
        <v>49</v>
      </c>
      <c r="L38" s="0" t="s">
        <v>49</v>
      </c>
      <c r="M38" s="0" t="str">
        <f aca="false">HYPERLINK("https://www.genecards.org/Search/Keyword?queryString=%5Baliases%5D(%20MAP4%20)&amp;keywords=MAP4", "MAP4")</f>
        <v>MAP4</v>
      </c>
      <c r="N38" s="0" t="s">
        <v>45</v>
      </c>
      <c r="O38" s="0" t="s">
        <v>148</v>
      </c>
      <c r="P38" s="0" t="s">
        <v>397</v>
      </c>
      <c r="Q38" s="0" t="n">
        <v>-1</v>
      </c>
      <c r="R38" s="0" t="n">
        <v>-1</v>
      </c>
      <c r="S38" s="0" t="n">
        <v>-1</v>
      </c>
      <c r="T38" s="0" t="n">
        <v>-1</v>
      </c>
      <c r="U38" s="0" t="n">
        <v>-1</v>
      </c>
      <c r="V38" s="0" t="s">
        <v>161</v>
      </c>
      <c r="W38" s="0" t="s">
        <v>49</v>
      </c>
      <c r="X38" s="0" t="s">
        <v>49</v>
      </c>
      <c r="Y38" s="0" t="s">
        <v>49</v>
      </c>
      <c r="Z38" s="0" t="s">
        <v>356</v>
      </c>
      <c r="AA38" s="0" t="s">
        <v>51</v>
      </c>
      <c r="AB38" s="0" t="s">
        <v>49</v>
      </c>
      <c r="AC38" s="0" t="s">
        <v>53</v>
      </c>
      <c r="AD38" s="0" t="s">
        <v>54</v>
      </c>
      <c r="AE38" s="0" t="s">
        <v>398</v>
      </c>
      <c r="AF38" s="0" t="s">
        <v>399</v>
      </c>
      <c r="AG38" s="0" t="s">
        <v>400</v>
      </c>
      <c r="AH38" s="0" t="s">
        <v>49</v>
      </c>
      <c r="AI38" s="0" t="s">
        <v>49</v>
      </c>
      <c r="AJ38" s="0" t="s">
        <v>49</v>
      </c>
      <c r="AK38" s="0" t="s">
        <v>49</v>
      </c>
      <c r="AL38" s="0" t="s">
        <v>49</v>
      </c>
    </row>
    <row r="39" customFormat="false" ht="15" hidden="false" customHeight="false" outlineLevel="0" collapsed="false">
      <c r="B39" s="0" t="str">
        <f aca="false">HYPERLINK("https://genome.ucsc.edu/cgi-bin/hgTracks?db=hg19&amp;position=chr3%3A56601067%2D56601067", "chr3:56601067")</f>
        <v>chr3:56601067</v>
      </c>
      <c r="C39" s="0" t="s">
        <v>255</v>
      </c>
      <c r="D39" s="0" t="n">
        <v>56601067</v>
      </c>
      <c r="E39" s="0" t="n">
        <v>56601067</v>
      </c>
      <c r="F39" s="0" t="s">
        <v>60</v>
      </c>
      <c r="G39" s="0" t="s">
        <v>61</v>
      </c>
      <c r="H39" s="0" t="s">
        <v>401</v>
      </c>
      <c r="I39" s="0" t="s">
        <v>402</v>
      </c>
      <c r="J39" s="0" t="s">
        <v>403</v>
      </c>
      <c r="K39" s="0" t="s">
        <v>49</v>
      </c>
      <c r="L39" s="0" t="str">
        <f aca="false">HYPERLINK("https://www.ncbi.nlm.nih.gov/snp/rs149475199", "rs149475199")</f>
        <v>rs149475199</v>
      </c>
      <c r="M39" s="0" t="str">
        <f aca="false">HYPERLINK("https://www.genecards.org/Search/Keyword?queryString=%5Baliases%5D(%20CCDC66%20)&amp;keywords=CCDC66", "CCDC66")</f>
        <v>CCDC66</v>
      </c>
      <c r="N39" s="0" t="s">
        <v>45</v>
      </c>
      <c r="O39" s="0" t="s">
        <v>205</v>
      </c>
      <c r="P39" s="0" t="s">
        <v>404</v>
      </c>
      <c r="Q39" s="0" t="n">
        <v>0.004926</v>
      </c>
      <c r="R39" s="0" t="n">
        <v>0.0037</v>
      </c>
      <c r="S39" s="0" t="n">
        <v>0.0054</v>
      </c>
      <c r="T39" s="0" t="n">
        <v>-1</v>
      </c>
      <c r="U39" s="0" t="n">
        <v>0.0041</v>
      </c>
      <c r="V39" s="0" t="s">
        <v>207</v>
      </c>
      <c r="W39" s="0" t="s">
        <v>49</v>
      </c>
      <c r="X39" s="0" t="s">
        <v>49</v>
      </c>
      <c r="Y39" s="0" t="s">
        <v>49</v>
      </c>
      <c r="Z39" s="0" t="s">
        <v>356</v>
      </c>
      <c r="AA39" s="0" t="s">
        <v>51</v>
      </c>
      <c r="AB39" s="0" t="s">
        <v>49</v>
      </c>
      <c r="AC39" s="0" t="s">
        <v>53</v>
      </c>
      <c r="AD39" s="0" t="s">
        <v>209</v>
      </c>
      <c r="AE39" s="0" t="s">
        <v>405</v>
      </c>
      <c r="AF39" s="0" t="s">
        <v>406</v>
      </c>
      <c r="AG39" s="0" t="s">
        <v>49</v>
      </c>
      <c r="AH39" s="0" t="s">
        <v>49</v>
      </c>
      <c r="AI39" s="0" t="s">
        <v>49</v>
      </c>
      <c r="AJ39" s="0" t="s">
        <v>49</v>
      </c>
      <c r="AK39" s="0" t="s">
        <v>49</v>
      </c>
      <c r="AL39" s="0" t="s">
        <v>49</v>
      </c>
    </row>
    <row r="40" customFormat="false" ht="15" hidden="false" customHeight="false" outlineLevel="0" collapsed="false">
      <c r="B40" s="0" t="str">
        <f aca="false">HYPERLINK("https://genome.ucsc.edu/cgi-bin/hgTracks?db=hg19&amp;position=chr4%3A103826685%2D103826685", "chr4:103826685")</f>
        <v>chr4:103826685</v>
      </c>
      <c r="C40" s="0" t="s">
        <v>407</v>
      </c>
      <c r="D40" s="0" t="n">
        <v>103826685</v>
      </c>
      <c r="E40" s="0" t="n">
        <v>103826685</v>
      </c>
      <c r="F40" s="0" t="s">
        <v>40</v>
      </c>
      <c r="G40" s="0" t="s">
        <v>61</v>
      </c>
      <c r="H40" s="0" t="s">
        <v>280</v>
      </c>
      <c r="I40" s="0" t="s">
        <v>408</v>
      </c>
      <c r="J40" s="0" t="s">
        <v>409</v>
      </c>
      <c r="K40" s="0" t="s">
        <v>49</v>
      </c>
      <c r="L40" s="0" t="str">
        <f aca="false">HYPERLINK("https://www.ncbi.nlm.nih.gov/snp/rs77618489", "rs77618489")</f>
        <v>rs77618489</v>
      </c>
      <c r="M40" s="0" t="str">
        <f aca="false">HYPERLINK("https://www.genecards.org/Search/Keyword?queryString=%5Baliases%5D(%20SLC9B1%20)&amp;keywords=SLC9B1", "SLC9B1")</f>
        <v>SLC9B1</v>
      </c>
      <c r="N40" s="0" t="s">
        <v>45</v>
      </c>
      <c r="O40" s="0" t="s">
        <v>205</v>
      </c>
      <c r="P40" s="0" t="s">
        <v>410</v>
      </c>
      <c r="Q40" s="0" t="n">
        <v>0.0292</v>
      </c>
      <c r="R40" s="0" t="n">
        <v>0.0088</v>
      </c>
      <c r="S40" s="0" t="n">
        <v>0.0086</v>
      </c>
      <c r="T40" s="0" t="n">
        <v>-1</v>
      </c>
      <c r="U40" s="0" t="n">
        <v>0.0096</v>
      </c>
      <c r="V40" s="0" t="s">
        <v>207</v>
      </c>
      <c r="W40" s="0" t="s">
        <v>49</v>
      </c>
      <c r="X40" s="0" t="s">
        <v>49</v>
      </c>
      <c r="Y40" s="0" t="s">
        <v>49</v>
      </c>
      <c r="Z40" s="0" t="s">
        <v>151</v>
      </c>
      <c r="AA40" s="0" t="s">
        <v>51</v>
      </c>
      <c r="AB40" s="0" t="s">
        <v>49</v>
      </c>
      <c r="AC40" s="0" t="s">
        <v>53</v>
      </c>
      <c r="AD40" s="0" t="s">
        <v>209</v>
      </c>
      <c r="AE40" s="0" t="s">
        <v>411</v>
      </c>
      <c r="AF40" s="0" t="s">
        <v>412</v>
      </c>
      <c r="AG40" s="0" t="s">
        <v>49</v>
      </c>
      <c r="AH40" s="0" t="s">
        <v>49</v>
      </c>
      <c r="AI40" s="0" t="s">
        <v>49</v>
      </c>
      <c r="AJ40" s="0" t="s">
        <v>49</v>
      </c>
      <c r="AK40" s="0" t="s">
        <v>49</v>
      </c>
      <c r="AL40" s="0" t="s">
        <v>120</v>
      </c>
    </row>
    <row r="41" customFormat="false" ht="15" hidden="false" customHeight="false" outlineLevel="0" collapsed="false">
      <c r="B41" s="0" t="str">
        <f aca="false">HYPERLINK("https://genome.ucsc.edu/cgi-bin/hgTracks?db=hg19&amp;position=chr5%3A169021617%2D169021617", "chr5:169021617")</f>
        <v>chr5:169021617</v>
      </c>
      <c r="C41" s="0" t="s">
        <v>155</v>
      </c>
      <c r="D41" s="0" t="n">
        <v>169021617</v>
      </c>
      <c r="E41" s="0" t="n">
        <v>169021617</v>
      </c>
      <c r="F41" s="0" t="s">
        <v>61</v>
      </c>
      <c r="G41" s="0" t="s">
        <v>60</v>
      </c>
      <c r="H41" s="0" t="s">
        <v>413</v>
      </c>
      <c r="I41" s="0" t="s">
        <v>414</v>
      </c>
      <c r="J41" s="0" t="s">
        <v>415</v>
      </c>
      <c r="K41" s="0" t="s">
        <v>49</v>
      </c>
      <c r="L41" s="0" t="str">
        <f aca="false">HYPERLINK("https://www.ncbi.nlm.nih.gov/snp/rs764134856", "rs764134856")</f>
        <v>rs764134856</v>
      </c>
      <c r="M41" s="0" t="str">
        <f aca="false">HYPERLINK("https://www.genecards.org/Search/Keyword?queryString=%5Baliases%5D(%20SPDL1%20)&amp;keywords=SPDL1", "SPDL1")</f>
        <v>SPDL1</v>
      </c>
      <c r="N41" s="0" t="s">
        <v>45</v>
      </c>
      <c r="O41" s="0" t="s">
        <v>148</v>
      </c>
      <c r="P41" s="0" t="s">
        <v>416</v>
      </c>
      <c r="Q41" s="0" t="n">
        <v>0.003049</v>
      </c>
      <c r="R41" s="0" t="n">
        <v>0.0002</v>
      </c>
      <c r="S41" s="0" t="n">
        <v>0.0001</v>
      </c>
      <c r="T41" s="0" t="n">
        <v>-1</v>
      </c>
      <c r="U41" s="0" t="n">
        <v>-1</v>
      </c>
      <c r="V41" s="0" t="s">
        <v>417</v>
      </c>
      <c r="W41" s="0" t="s">
        <v>49</v>
      </c>
      <c r="X41" s="0" t="s">
        <v>49</v>
      </c>
      <c r="Y41" s="0" t="s">
        <v>49</v>
      </c>
      <c r="Z41" s="0" t="s">
        <v>78</v>
      </c>
      <c r="AA41" s="0" t="s">
        <v>51</v>
      </c>
      <c r="AB41" s="0" t="s">
        <v>49</v>
      </c>
      <c r="AC41" s="0" t="s">
        <v>53</v>
      </c>
      <c r="AD41" s="0" t="s">
        <v>54</v>
      </c>
      <c r="AE41" s="0" t="s">
        <v>418</v>
      </c>
      <c r="AF41" s="0" t="s">
        <v>419</v>
      </c>
      <c r="AG41" s="0" t="s">
        <v>420</v>
      </c>
      <c r="AH41" s="0" t="s">
        <v>49</v>
      </c>
      <c r="AI41" s="0" t="s">
        <v>49</v>
      </c>
      <c r="AJ41" s="0" t="s">
        <v>49</v>
      </c>
      <c r="AK41" s="0" t="s">
        <v>49</v>
      </c>
      <c r="AL41" s="0" t="s">
        <v>49</v>
      </c>
    </row>
    <row r="42" customFormat="false" ht="15" hidden="false" customHeight="false" outlineLevel="0" collapsed="false">
      <c r="B42" s="0" t="str">
        <f aca="false">HYPERLINK("https://genome.ucsc.edu/cgi-bin/hgTracks?db=hg19&amp;position=chr6%3A167595300%2D167595300", "chr6:167595300")</f>
        <v>chr6:167595300</v>
      </c>
      <c r="C42" s="0" t="s">
        <v>279</v>
      </c>
      <c r="D42" s="0" t="n">
        <v>167595300</v>
      </c>
      <c r="E42" s="0" t="n">
        <v>167595300</v>
      </c>
      <c r="F42" s="0" t="s">
        <v>39</v>
      </c>
      <c r="G42" s="0" t="s">
        <v>40</v>
      </c>
      <c r="H42" s="0" t="s">
        <v>372</v>
      </c>
      <c r="I42" s="0" t="s">
        <v>73</v>
      </c>
      <c r="J42" s="0" t="s">
        <v>421</v>
      </c>
      <c r="K42" s="0" t="s">
        <v>49</v>
      </c>
      <c r="L42" s="0" t="str">
        <f aca="false">HYPERLINK("https://www.ncbi.nlm.nih.gov/snp/rs146018563", "rs146018563")</f>
        <v>rs146018563</v>
      </c>
      <c r="M42" s="0" t="str">
        <f aca="false">HYPERLINK("https://www.genecards.org/Search/Keyword?queryString=%5Baliases%5D(%20TCP10L2%20)&amp;keywords=TCP10L2", "TCP10L2")</f>
        <v>TCP10L2</v>
      </c>
      <c r="N42" s="0" t="s">
        <v>45</v>
      </c>
      <c r="O42" s="0" t="s">
        <v>205</v>
      </c>
      <c r="P42" s="0" t="s">
        <v>422</v>
      </c>
      <c r="Q42" s="0" t="n">
        <v>0.02</v>
      </c>
      <c r="R42" s="0" t="n">
        <v>0.0038</v>
      </c>
      <c r="S42" s="0" t="n">
        <v>0.0034</v>
      </c>
      <c r="T42" s="0" t="n">
        <v>-1</v>
      </c>
      <c r="U42" s="0" t="n">
        <v>0.0043</v>
      </c>
      <c r="V42" s="0" t="s">
        <v>231</v>
      </c>
      <c r="W42" s="0" t="s">
        <v>49</v>
      </c>
      <c r="X42" s="0" t="s">
        <v>49</v>
      </c>
      <c r="Y42" s="0" t="s">
        <v>49</v>
      </c>
      <c r="Z42" s="0" t="s">
        <v>115</v>
      </c>
      <c r="AA42" s="0" t="s">
        <v>51</v>
      </c>
      <c r="AB42" s="0" t="s">
        <v>49</v>
      </c>
      <c r="AC42" s="0" t="s">
        <v>53</v>
      </c>
      <c r="AD42" s="0" t="s">
        <v>54</v>
      </c>
      <c r="AE42" s="0" t="s">
        <v>423</v>
      </c>
      <c r="AF42" s="0" t="s">
        <v>424</v>
      </c>
      <c r="AG42" s="0" t="s">
        <v>49</v>
      </c>
      <c r="AH42" s="0" t="s">
        <v>49</v>
      </c>
      <c r="AI42" s="0" t="s">
        <v>49</v>
      </c>
      <c r="AJ42" s="0" t="s">
        <v>49</v>
      </c>
      <c r="AK42" s="0" t="s">
        <v>49</v>
      </c>
      <c r="AL42" s="0" t="s">
        <v>120</v>
      </c>
    </row>
    <row r="43" customFormat="false" ht="15" hidden="false" customHeight="false" outlineLevel="0" collapsed="false">
      <c r="B43" s="0" t="str">
        <f aca="false">HYPERLINK("https://genome.ucsc.edu/cgi-bin/hgTracks?db=hg19&amp;position=chr6%3A167786761%2D167786761", "chr6:167786761")</f>
        <v>chr6:167786761</v>
      </c>
      <c r="C43" s="0" t="s">
        <v>279</v>
      </c>
      <c r="D43" s="0" t="n">
        <v>167786761</v>
      </c>
      <c r="E43" s="0" t="n">
        <v>167786761</v>
      </c>
      <c r="F43" s="0" t="s">
        <v>60</v>
      </c>
      <c r="G43" s="0" t="s">
        <v>61</v>
      </c>
      <c r="H43" s="0" t="s">
        <v>425</v>
      </c>
      <c r="I43" s="0" t="s">
        <v>426</v>
      </c>
      <c r="J43" s="0" t="s">
        <v>427</v>
      </c>
      <c r="K43" s="0" t="s">
        <v>49</v>
      </c>
      <c r="L43" s="0" t="str">
        <f aca="false">HYPERLINK("https://www.ncbi.nlm.nih.gov/snp/rs200948850", "rs200948850")</f>
        <v>rs200948850</v>
      </c>
      <c r="M43" s="0" t="str">
        <f aca="false">HYPERLINK("https://www.genecards.org/Search/Keyword?queryString=%5Baliases%5D(%20TCP10%20)&amp;keywords=TCP10", "TCP10")</f>
        <v>TCP10</v>
      </c>
      <c r="N43" s="0" t="s">
        <v>428</v>
      </c>
      <c r="O43" s="0" t="s">
        <v>205</v>
      </c>
      <c r="P43" s="0" t="s">
        <v>429</v>
      </c>
      <c r="Q43" s="0" t="n">
        <v>0.0071</v>
      </c>
      <c r="R43" s="0" t="n">
        <v>0.0035</v>
      </c>
      <c r="S43" s="0" t="n">
        <v>0.0053</v>
      </c>
      <c r="T43" s="0" t="n">
        <v>-1</v>
      </c>
      <c r="U43" s="0" t="n">
        <v>0.0051</v>
      </c>
      <c r="V43" s="0" t="s">
        <v>231</v>
      </c>
      <c r="W43" s="0" t="s">
        <v>49</v>
      </c>
      <c r="X43" s="0" t="s">
        <v>49</v>
      </c>
      <c r="Y43" s="0" t="s">
        <v>49</v>
      </c>
      <c r="Z43" s="0" t="s">
        <v>115</v>
      </c>
      <c r="AA43" s="0" t="s">
        <v>51</v>
      </c>
      <c r="AB43" s="0" t="s">
        <v>49</v>
      </c>
      <c r="AC43" s="0" t="s">
        <v>53</v>
      </c>
      <c r="AD43" s="0" t="s">
        <v>54</v>
      </c>
      <c r="AE43" s="0" t="s">
        <v>430</v>
      </c>
      <c r="AF43" s="0" t="s">
        <v>431</v>
      </c>
      <c r="AG43" s="0" t="s">
        <v>49</v>
      </c>
      <c r="AH43" s="0" t="s">
        <v>49</v>
      </c>
      <c r="AI43" s="0" t="s">
        <v>49</v>
      </c>
      <c r="AJ43" s="0" t="s">
        <v>432</v>
      </c>
      <c r="AK43" s="0" t="s">
        <v>49</v>
      </c>
      <c r="AL43" s="0" t="s">
        <v>120</v>
      </c>
    </row>
    <row r="44" customFormat="false" ht="15" hidden="false" customHeight="false" outlineLevel="0" collapsed="false">
      <c r="B44" s="0" t="str">
        <f aca="false">HYPERLINK("https://genome.ucsc.edu/cgi-bin/hgTracks?db=hg19&amp;position=chr8%3A22785227%2D22785227", "chr8:22785227")</f>
        <v>chr8:22785227</v>
      </c>
      <c r="C44" s="0" t="s">
        <v>433</v>
      </c>
      <c r="D44" s="0" t="n">
        <v>22785227</v>
      </c>
      <c r="E44" s="0" t="n">
        <v>22785227</v>
      </c>
      <c r="F44" s="0" t="s">
        <v>40</v>
      </c>
      <c r="G44" s="0" t="s">
        <v>39</v>
      </c>
      <c r="H44" s="0" t="s">
        <v>434</v>
      </c>
      <c r="I44" s="0" t="s">
        <v>435</v>
      </c>
      <c r="J44" s="0" t="s">
        <v>436</v>
      </c>
      <c r="K44" s="0" t="s">
        <v>49</v>
      </c>
      <c r="L44" s="0" t="str">
        <f aca="false">HYPERLINK("https://www.ncbi.nlm.nih.gov/snp/rs765119945", "rs765119945")</f>
        <v>rs765119945</v>
      </c>
      <c r="M44" s="0" t="str">
        <f aca="false">HYPERLINK("https://www.genecards.org/Search/Keyword?queryString=%5Baliases%5D(%20PEBP4%20)&amp;keywords=PEBP4", "PEBP4")</f>
        <v>PEBP4</v>
      </c>
      <c r="N44" s="0" t="s">
        <v>45</v>
      </c>
      <c r="O44" s="0" t="s">
        <v>437</v>
      </c>
      <c r="P44" s="0" t="s">
        <v>438</v>
      </c>
      <c r="Q44" s="0" t="n">
        <v>6.5E-006</v>
      </c>
      <c r="R44" s="0" t="n">
        <v>-1</v>
      </c>
      <c r="S44" s="0" t="n">
        <v>-1</v>
      </c>
      <c r="T44" s="0" t="n">
        <v>-1</v>
      </c>
      <c r="U44" s="0" t="n">
        <v>-1</v>
      </c>
      <c r="V44" s="0" t="s">
        <v>439</v>
      </c>
      <c r="W44" s="0" t="s">
        <v>49</v>
      </c>
      <c r="X44" s="0" t="s">
        <v>49</v>
      </c>
      <c r="Y44" s="0" t="s">
        <v>49</v>
      </c>
      <c r="Z44" s="0" t="s">
        <v>115</v>
      </c>
      <c r="AA44" s="0" t="s">
        <v>51</v>
      </c>
      <c r="AB44" s="0" t="s">
        <v>49</v>
      </c>
      <c r="AC44" s="0" t="s">
        <v>53</v>
      </c>
      <c r="AD44" s="0" t="s">
        <v>54</v>
      </c>
      <c r="AE44" s="0" t="s">
        <v>440</v>
      </c>
      <c r="AF44" s="0" t="s">
        <v>441</v>
      </c>
      <c r="AG44" s="0" t="s">
        <v>442</v>
      </c>
      <c r="AH44" s="0" t="s">
        <v>49</v>
      </c>
      <c r="AI44" s="0" t="s">
        <v>49</v>
      </c>
      <c r="AJ44" s="0" t="s">
        <v>49</v>
      </c>
      <c r="AK44" s="0" t="s">
        <v>49</v>
      </c>
      <c r="AL44" s="0" t="s">
        <v>49</v>
      </c>
    </row>
    <row r="45" customFormat="false" ht="15" hidden="false" customHeight="false" outlineLevel="0" collapsed="false">
      <c r="B45" s="0" t="str">
        <f aca="false">HYPERLINK("https://genome.ucsc.edu/cgi-bin/hgTracks?db=hg19&amp;position=chr8%3A120854138%2D120854138", "chr8:120854138")</f>
        <v>chr8:120854138</v>
      </c>
      <c r="C45" s="0" t="s">
        <v>433</v>
      </c>
      <c r="D45" s="0" t="n">
        <v>120854138</v>
      </c>
      <c r="E45" s="0" t="n">
        <v>120854138</v>
      </c>
      <c r="F45" s="0" t="s">
        <v>60</v>
      </c>
      <c r="G45" s="0" t="s">
        <v>61</v>
      </c>
      <c r="H45" s="0" t="s">
        <v>443</v>
      </c>
      <c r="I45" s="0" t="s">
        <v>444</v>
      </c>
      <c r="J45" s="0" t="s">
        <v>445</v>
      </c>
      <c r="K45" s="0" t="s">
        <v>49</v>
      </c>
      <c r="L45" s="0" t="str">
        <f aca="false">HYPERLINK("https://www.ncbi.nlm.nih.gov/snp/rs541414061", "rs541414061")</f>
        <v>rs541414061</v>
      </c>
      <c r="M45" s="0" t="str">
        <f aca="false">HYPERLINK("https://www.genecards.org/Search/Keyword?queryString=%5Baliases%5D(%20DSCC1%20)&amp;keywords=DSCC1", "DSCC1")</f>
        <v>DSCC1</v>
      </c>
      <c r="N45" s="0" t="s">
        <v>45</v>
      </c>
      <c r="O45" s="0" t="s">
        <v>205</v>
      </c>
      <c r="P45" s="0" t="s">
        <v>446</v>
      </c>
      <c r="Q45" s="0" t="n">
        <v>1.29E-005</v>
      </c>
      <c r="R45" s="0" t="n">
        <v>-1</v>
      </c>
      <c r="S45" s="0" t="n">
        <v>-1</v>
      </c>
      <c r="T45" s="0" t="n">
        <v>-1</v>
      </c>
      <c r="U45" s="0" t="n">
        <v>-1</v>
      </c>
      <c r="V45" s="0" t="s">
        <v>207</v>
      </c>
      <c r="W45" s="0" t="s">
        <v>49</v>
      </c>
      <c r="X45" s="0" t="s">
        <v>49</v>
      </c>
      <c r="Y45" s="0" t="s">
        <v>49</v>
      </c>
      <c r="Z45" s="0" t="s">
        <v>78</v>
      </c>
      <c r="AA45" s="0" t="s">
        <v>51</v>
      </c>
      <c r="AB45" s="0" t="s">
        <v>49</v>
      </c>
      <c r="AC45" s="0" t="s">
        <v>53</v>
      </c>
      <c r="AD45" s="0" t="s">
        <v>54</v>
      </c>
      <c r="AE45" s="0" t="s">
        <v>447</v>
      </c>
      <c r="AF45" s="0" t="s">
        <v>448</v>
      </c>
      <c r="AG45" s="0" t="s">
        <v>449</v>
      </c>
      <c r="AH45" s="0" t="s">
        <v>49</v>
      </c>
      <c r="AI45" s="0" t="s">
        <v>49</v>
      </c>
      <c r="AJ45" s="0" t="s">
        <v>49</v>
      </c>
      <c r="AK45" s="0" t="s">
        <v>49</v>
      </c>
      <c r="AL45" s="0" t="s">
        <v>49</v>
      </c>
    </row>
    <row r="46" customFormat="false" ht="15" hidden="false" customHeight="false" outlineLevel="0" collapsed="false">
      <c r="B46" s="0" t="str">
        <f aca="false">HYPERLINK("https://genome.ucsc.edu/cgi-bin/hgTracks?db=hg19&amp;position=chr9%3A35735145%2D35735145", "chr9:35735145")</f>
        <v>chr9:35735145</v>
      </c>
      <c r="C46" s="0" t="s">
        <v>450</v>
      </c>
      <c r="D46" s="0" t="n">
        <v>35735145</v>
      </c>
      <c r="E46" s="0" t="n">
        <v>35735145</v>
      </c>
      <c r="F46" s="0" t="s">
        <v>39</v>
      </c>
      <c r="G46" s="0" t="s">
        <v>40</v>
      </c>
      <c r="H46" s="0" t="s">
        <v>451</v>
      </c>
      <c r="I46" s="0" t="s">
        <v>452</v>
      </c>
      <c r="J46" s="0" t="s">
        <v>453</v>
      </c>
      <c r="K46" s="0" t="s">
        <v>49</v>
      </c>
      <c r="L46" s="0" t="str">
        <f aca="false">HYPERLINK("https://www.ncbi.nlm.nih.gov/snp/rs141288812", "rs141288812")</f>
        <v>rs141288812</v>
      </c>
      <c r="M46" s="0" t="str">
        <f aca="false">HYPERLINK("https://www.genecards.org/Search/Keyword?queryString=%5Baliases%5D(%20CREB3%20)&amp;keywords=CREB3", "CREB3")</f>
        <v>CREB3</v>
      </c>
      <c r="N46" s="0" t="s">
        <v>45</v>
      </c>
      <c r="O46" s="0" t="s">
        <v>205</v>
      </c>
      <c r="P46" s="0" t="s">
        <v>454</v>
      </c>
      <c r="Q46" s="0" t="n">
        <v>0.001</v>
      </c>
      <c r="R46" s="0" t="n">
        <v>-1</v>
      </c>
      <c r="S46" s="0" t="n">
        <v>-1</v>
      </c>
      <c r="T46" s="0" t="n">
        <v>-1</v>
      </c>
      <c r="U46" s="0" t="n">
        <v>-1</v>
      </c>
      <c r="V46" s="0" t="s">
        <v>207</v>
      </c>
      <c r="W46" s="0" t="s">
        <v>49</v>
      </c>
      <c r="X46" s="0" t="s">
        <v>49</v>
      </c>
      <c r="Y46" s="0" t="s">
        <v>49</v>
      </c>
      <c r="Z46" s="0" t="s">
        <v>50</v>
      </c>
      <c r="AA46" s="0" t="s">
        <v>51</v>
      </c>
      <c r="AB46" s="0" t="s">
        <v>49</v>
      </c>
      <c r="AC46" s="0" t="s">
        <v>53</v>
      </c>
      <c r="AD46" s="0" t="s">
        <v>54</v>
      </c>
      <c r="AE46" s="0" t="s">
        <v>455</v>
      </c>
      <c r="AF46" s="0" t="s">
        <v>456</v>
      </c>
      <c r="AG46" s="0" t="s">
        <v>457</v>
      </c>
      <c r="AH46" s="0" t="s">
        <v>49</v>
      </c>
      <c r="AI46" s="0" t="s">
        <v>49</v>
      </c>
      <c r="AJ46" s="0" t="s">
        <v>49</v>
      </c>
      <c r="AK46" s="0" t="s">
        <v>49</v>
      </c>
      <c r="AL46" s="0" t="s">
        <v>49</v>
      </c>
    </row>
    <row r="47" customFormat="false" ht="15" hidden="false" customHeight="false" outlineLevel="0" collapsed="false">
      <c r="B47" s="0" t="str">
        <f aca="false">HYPERLINK("https://genome.ucsc.edu/cgi-bin/hgTracks?db=hg19&amp;position=chr9%3A133813978%2D133813978", "chr9:133813978")</f>
        <v>chr9:133813978</v>
      </c>
      <c r="C47" s="0" t="s">
        <v>450</v>
      </c>
      <c r="D47" s="0" t="n">
        <v>133813978</v>
      </c>
      <c r="E47" s="0" t="n">
        <v>133813978</v>
      </c>
      <c r="F47" s="0" t="s">
        <v>39</v>
      </c>
      <c r="G47" s="0" t="s">
        <v>40</v>
      </c>
      <c r="H47" s="0" t="s">
        <v>458</v>
      </c>
      <c r="I47" s="0" t="s">
        <v>459</v>
      </c>
      <c r="J47" s="0" t="s">
        <v>460</v>
      </c>
      <c r="K47" s="0" t="s">
        <v>49</v>
      </c>
      <c r="L47" s="0" t="str">
        <f aca="false">HYPERLINK("https://www.ncbi.nlm.nih.gov/snp/rs200655516", "rs200655516")</f>
        <v>rs200655516</v>
      </c>
      <c r="M47" s="0" t="str">
        <f aca="false">HYPERLINK("https://www.genecards.org/Search/Keyword?queryString=%5Baliases%5D(%20FIBCD1%20)&amp;keywords=FIBCD1", "FIBCD1")</f>
        <v>FIBCD1</v>
      </c>
      <c r="N47" s="0" t="s">
        <v>45</v>
      </c>
      <c r="O47" s="0" t="s">
        <v>205</v>
      </c>
      <c r="P47" s="0" t="s">
        <v>461</v>
      </c>
      <c r="Q47" s="0" t="n">
        <v>0.004202</v>
      </c>
      <c r="R47" s="0" t="n">
        <v>0.0019</v>
      </c>
      <c r="S47" s="0" t="n">
        <v>0.0018</v>
      </c>
      <c r="T47" s="0" t="n">
        <v>-1</v>
      </c>
      <c r="U47" s="0" t="n">
        <v>0.002</v>
      </c>
      <c r="V47" s="0" t="s">
        <v>349</v>
      </c>
      <c r="W47" s="0" t="s">
        <v>49</v>
      </c>
      <c r="X47" s="0" t="s">
        <v>49</v>
      </c>
      <c r="Y47" s="0" t="s">
        <v>49</v>
      </c>
      <c r="Z47" s="0" t="s">
        <v>78</v>
      </c>
      <c r="AA47" s="0" t="s">
        <v>51</v>
      </c>
      <c r="AB47" s="0" t="s">
        <v>49</v>
      </c>
      <c r="AC47" s="0" t="s">
        <v>53</v>
      </c>
      <c r="AD47" s="0" t="s">
        <v>54</v>
      </c>
      <c r="AE47" s="0" t="s">
        <v>462</v>
      </c>
      <c r="AF47" s="0" t="s">
        <v>463</v>
      </c>
      <c r="AG47" s="0" t="s">
        <v>464</v>
      </c>
      <c r="AH47" s="0" t="s">
        <v>49</v>
      </c>
      <c r="AI47" s="0" t="s">
        <v>49</v>
      </c>
      <c r="AJ47" s="0" t="s">
        <v>49</v>
      </c>
      <c r="AK47" s="0" t="s">
        <v>49</v>
      </c>
      <c r="AL47" s="0" t="s">
        <v>49</v>
      </c>
    </row>
    <row r="48" customFormat="false" ht="15" hidden="false" customHeight="false" outlineLevel="0" collapsed="false">
      <c r="A48" s="2"/>
      <c r="B48" s="2" t="str">
        <f aca="false">HYPERLINK("https://genome.ucsc.edu/cgi-bin/hgTracks?db=hg19&amp;position=chr1%3A117142868%2D117142868", "chr1:117142868")</f>
        <v>chr1:117142868</v>
      </c>
      <c r="C48" s="2" t="s">
        <v>167</v>
      </c>
      <c r="D48" s="2" t="n">
        <v>117142868</v>
      </c>
      <c r="E48" s="2" t="n">
        <v>117142868</v>
      </c>
      <c r="F48" s="2" t="s">
        <v>39</v>
      </c>
      <c r="G48" s="2" t="s">
        <v>40</v>
      </c>
      <c r="H48" s="2" t="s">
        <v>465</v>
      </c>
      <c r="I48" s="2" t="s">
        <v>466</v>
      </c>
      <c r="J48" s="2" t="s">
        <v>467</v>
      </c>
      <c r="K48" s="2" t="s">
        <v>49</v>
      </c>
      <c r="L48" s="2" t="str">
        <f aca="false">HYPERLINK("https://www.ncbi.nlm.nih.gov/snp/rs61730489", "rs61730489")</f>
        <v>rs61730489</v>
      </c>
      <c r="M48" s="2" t="str">
        <f aca="false">HYPERLINK("https://www.genecards.org/Search/Keyword?queryString=%5Baliases%5D(%20IGSF3%20)&amp;keywords=IGSF3", "IGSF3")</f>
        <v>IGSF3</v>
      </c>
      <c r="N48" s="2" t="s">
        <v>45</v>
      </c>
      <c r="O48" s="2" t="s">
        <v>205</v>
      </c>
      <c r="P48" s="2" t="s">
        <v>468</v>
      </c>
      <c r="Q48" s="2" t="n">
        <v>0.0001</v>
      </c>
      <c r="R48" s="2" t="n">
        <v>0.0001</v>
      </c>
      <c r="S48" s="2" t="n">
        <v>0.0003</v>
      </c>
      <c r="T48" s="2" t="n">
        <v>-1</v>
      </c>
      <c r="U48" s="2" t="n">
        <v>0.0002</v>
      </c>
      <c r="V48" s="2" t="s">
        <v>207</v>
      </c>
      <c r="W48" s="2" t="s">
        <v>49</v>
      </c>
      <c r="X48" s="2" t="s">
        <v>49</v>
      </c>
      <c r="Y48" s="2" t="s">
        <v>49</v>
      </c>
      <c r="Z48" s="2" t="s">
        <v>78</v>
      </c>
      <c r="AA48" s="2" t="s">
        <v>208</v>
      </c>
      <c r="AB48" s="2" t="s">
        <v>49</v>
      </c>
      <c r="AC48" s="2" t="s">
        <v>53</v>
      </c>
      <c r="AD48" s="2" t="s">
        <v>469</v>
      </c>
      <c r="AE48" s="2" t="s">
        <v>470</v>
      </c>
      <c r="AF48" s="2" t="s">
        <v>471</v>
      </c>
      <c r="AG48" s="2" t="s">
        <v>49</v>
      </c>
      <c r="AH48" s="2" t="s">
        <v>49</v>
      </c>
      <c r="AI48" s="2" t="s">
        <v>49</v>
      </c>
      <c r="AJ48" s="2" t="s">
        <v>49</v>
      </c>
      <c r="AK48" s="2" t="s">
        <v>49</v>
      </c>
      <c r="AL48" s="2" t="s">
        <v>132</v>
      </c>
    </row>
    <row r="49" customFormat="false" ht="15" hidden="false" customHeight="false" outlineLevel="0" collapsed="false">
      <c r="A49" s="2"/>
      <c r="B49" s="2" t="str">
        <f aca="false">HYPERLINK("https://genome.ucsc.edu/cgi-bin/hgTracks?db=hg19&amp;position=chr1%3A117156585%2D117156585", "chr1:117156585")</f>
        <v>chr1:117156585</v>
      </c>
      <c r="C49" s="2" t="s">
        <v>167</v>
      </c>
      <c r="D49" s="2" t="n">
        <v>117156585</v>
      </c>
      <c r="E49" s="2" t="n">
        <v>117156585</v>
      </c>
      <c r="F49" s="2" t="s">
        <v>60</v>
      </c>
      <c r="G49" s="2" t="s">
        <v>61</v>
      </c>
      <c r="H49" s="2" t="s">
        <v>472</v>
      </c>
      <c r="I49" s="2" t="s">
        <v>473</v>
      </c>
      <c r="J49" s="2" t="s">
        <v>474</v>
      </c>
      <c r="K49" s="2" t="s">
        <v>49</v>
      </c>
      <c r="L49" s="2" t="str">
        <f aca="false">HYPERLINK("https://www.ncbi.nlm.nih.gov/snp/rs139013364", "rs139013364")</f>
        <v>rs139013364</v>
      </c>
      <c r="M49" s="2" t="str">
        <f aca="false">HYPERLINK("https://www.genecards.org/Search/Keyword?queryString=%5Baliases%5D(%20IGSF3%20)&amp;keywords=IGSF3", "IGSF3")</f>
        <v>IGSF3</v>
      </c>
      <c r="N49" s="2" t="s">
        <v>45</v>
      </c>
      <c r="O49" s="2" t="s">
        <v>205</v>
      </c>
      <c r="P49" s="2" t="s">
        <v>475</v>
      </c>
      <c r="Q49" s="2" t="n">
        <v>0.0011513</v>
      </c>
      <c r="R49" s="2" t="n">
        <v>-1</v>
      </c>
      <c r="S49" s="2" t="n">
        <v>-1</v>
      </c>
      <c r="T49" s="2" t="n">
        <v>-1</v>
      </c>
      <c r="U49" s="2" t="n">
        <v>-1</v>
      </c>
      <c r="V49" s="2" t="s">
        <v>207</v>
      </c>
      <c r="W49" s="2" t="s">
        <v>49</v>
      </c>
      <c r="X49" s="2" t="s">
        <v>49</v>
      </c>
      <c r="Y49" s="2" t="s">
        <v>49</v>
      </c>
      <c r="Z49" s="2" t="s">
        <v>174</v>
      </c>
      <c r="AA49" s="2" t="s">
        <v>208</v>
      </c>
      <c r="AB49" s="2" t="s">
        <v>49</v>
      </c>
      <c r="AC49" s="2" t="s">
        <v>53</v>
      </c>
      <c r="AD49" s="2" t="s">
        <v>469</v>
      </c>
      <c r="AE49" s="2" t="s">
        <v>470</v>
      </c>
      <c r="AF49" s="2" t="s">
        <v>471</v>
      </c>
      <c r="AG49" s="2" t="s">
        <v>49</v>
      </c>
      <c r="AH49" s="2" t="s">
        <v>49</v>
      </c>
      <c r="AI49" s="2" t="s">
        <v>49</v>
      </c>
      <c r="AJ49" s="2" t="s">
        <v>49</v>
      </c>
      <c r="AK49" s="2" t="s">
        <v>49</v>
      </c>
      <c r="AL49" s="2" t="s">
        <v>120</v>
      </c>
    </row>
    <row r="50" customFormat="false" ht="15" hidden="false" customHeight="false" outlineLevel="0" collapsed="false">
      <c r="B50" s="0" t="str">
        <f aca="false">HYPERLINK("https://genome.ucsc.edu/cgi-bin/hgTracks?db=hg19&amp;position=chr1%3A117158898%2D117158898", "chr1:117158898")</f>
        <v>chr1:117158898</v>
      </c>
      <c r="C50" s="0" t="s">
        <v>167</v>
      </c>
      <c r="D50" s="0" t="n">
        <v>117158898</v>
      </c>
      <c r="E50" s="0" t="n">
        <v>117158898</v>
      </c>
      <c r="F50" s="0" t="s">
        <v>39</v>
      </c>
      <c r="G50" s="0" t="s">
        <v>40</v>
      </c>
      <c r="H50" s="0" t="s">
        <v>476</v>
      </c>
      <c r="I50" s="0" t="s">
        <v>477</v>
      </c>
      <c r="J50" s="0" t="s">
        <v>478</v>
      </c>
      <c r="K50" s="0" t="s">
        <v>49</v>
      </c>
      <c r="L50" s="0" t="str">
        <f aca="false">HYPERLINK("https://www.ncbi.nlm.nih.gov/snp/rs186152746", "rs186152746")</f>
        <v>rs186152746</v>
      </c>
      <c r="M50" s="0" t="str">
        <f aca="false">HYPERLINK("https://www.genecards.org/Search/Keyword?queryString=%5Baliases%5D(%20IGSF3%20)&amp;keywords=IGSF3", "IGSF3")</f>
        <v>IGSF3</v>
      </c>
      <c r="N50" s="0" t="s">
        <v>45</v>
      </c>
      <c r="O50" s="0" t="s">
        <v>148</v>
      </c>
      <c r="P50" s="0" t="s">
        <v>479</v>
      </c>
      <c r="Q50" s="0" t="n">
        <v>6.5E-006</v>
      </c>
      <c r="R50" s="0" t="n">
        <v>-1</v>
      </c>
      <c r="S50" s="0" t="n">
        <v>-1</v>
      </c>
      <c r="T50" s="0" t="n">
        <v>-1</v>
      </c>
      <c r="U50" s="0" t="n">
        <v>-1</v>
      </c>
      <c r="V50" s="0" t="s">
        <v>480</v>
      </c>
      <c r="W50" s="0" t="s">
        <v>49</v>
      </c>
      <c r="X50" s="0" t="s">
        <v>49</v>
      </c>
      <c r="Y50" s="0" t="s">
        <v>49</v>
      </c>
      <c r="Z50" s="0" t="s">
        <v>115</v>
      </c>
      <c r="AA50" s="0" t="s">
        <v>79</v>
      </c>
      <c r="AB50" s="0" t="s">
        <v>49</v>
      </c>
      <c r="AC50" s="0" t="s">
        <v>53</v>
      </c>
      <c r="AD50" s="0" t="s">
        <v>469</v>
      </c>
      <c r="AE50" s="0" t="s">
        <v>470</v>
      </c>
      <c r="AF50" s="0" t="s">
        <v>471</v>
      </c>
      <c r="AG50" s="0" t="s">
        <v>49</v>
      </c>
      <c r="AH50" s="0" t="s">
        <v>49</v>
      </c>
      <c r="AI50" s="0" t="s">
        <v>49</v>
      </c>
      <c r="AJ50" s="0" t="s">
        <v>49</v>
      </c>
      <c r="AK50" s="0" t="s">
        <v>49</v>
      </c>
      <c r="AL50" s="0" t="s">
        <v>132</v>
      </c>
    </row>
    <row r="51" customFormat="false" ht="15" hidden="false" customHeight="false" outlineLevel="0" collapsed="false">
      <c r="B51" s="0" t="str">
        <f aca="false">HYPERLINK("https://genome.ucsc.edu/cgi-bin/hgTracks?db=hg19&amp;position=chr12%3A4657293%2D4657293", "chr12:4657293")</f>
        <v>chr12:4657293</v>
      </c>
      <c r="C51" s="0" t="s">
        <v>98</v>
      </c>
      <c r="D51" s="0" t="n">
        <v>4657293</v>
      </c>
      <c r="E51" s="0" t="n">
        <v>4657293</v>
      </c>
      <c r="F51" s="0" t="s">
        <v>61</v>
      </c>
      <c r="G51" s="0" t="s">
        <v>60</v>
      </c>
      <c r="H51" s="0" t="s">
        <v>481</v>
      </c>
      <c r="I51" s="0" t="s">
        <v>435</v>
      </c>
      <c r="J51" s="0" t="s">
        <v>482</v>
      </c>
      <c r="K51" s="0" t="s">
        <v>49</v>
      </c>
      <c r="L51" s="0" t="str">
        <f aca="false">HYPERLINK("https://www.ncbi.nlm.nih.gov/snp/rs61731949", "rs61731949")</f>
        <v>rs61731949</v>
      </c>
      <c r="M51" s="0" t="str">
        <f aca="false">HYPERLINK("https://www.genecards.org/Search/Keyword?queryString=%5Baliases%5D(%20RAD51AP1%20)&amp;keywords=RAD51AP1", "RAD51AP1")</f>
        <v>RAD51AP1</v>
      </c>
      <c r="N51" s="0" t="s">
        <v>45</v>
      </c>
      <c r="O51" s="0" t="s">
        <v>148</v>
      </c>
      <c r="P51" s="0" t="s">
        <v>483</v>
      </c>
      <c r="Q51" s="0" t="n">
        <v>0.020408</v>
      </c>
      <c r="R51" s="0" t="n">
        <v>0.0055</v>
      </c>
      <c r="S51" s="0" t="n">
        <v>0.0054</v>
      </c>
      <c r="T51" s="0" t="n">
        <v>-1</v>
      </c>
      <c r="U51" s="0" t="n">
        <v>0.0082</v>
      </c>
      <c r="V51" s="0" t="s">
        <v>484</v>
      </c>
      <c r="W51" s="0" t="s">
        <v>49</v>
      </c>
      <c r="X51" s="0" t="s">
        <v>49</v>
      </c>
      <c r="Y51" s="0" t="s">
        <v>49</v>
      </c>
      <c r="Z51" s="0" t="s">
        <v>151</v>
      </c>
      <c r="AA51" s="0" t="s">
        <v>79</v>
      </c>
      <c r="AB51" s="0" t="s">
        <v>49</v>
      </c>
      <c r="AC51" s="0" t="s">
        <v>53</v>
      </c>
      <c r="AD51" s="0" t="s">
        <v>54</v>
      </c>
      <c r="AE51" s="0" t="s">
        <v>485</v>
      </c>
      <c r="AF51" s="0" t="s">
        <v>486</v>
      </c>
      <c r="AG51" s="0" t="s">
        <v>487</v>
      </c>
      <c r="AH51" s="0" t="s">
        <v>49</v>
      </c>
      <c r="AI51" s="0" t="s">
        <v>49</v>
      </c>
      <c r="AJ51" s="0" t="s">
        <v>49</v>
      </c>
      <c r="AK51" s="0" t="s">
        <v>49</v>
      </c>
      <c r="AL51" s="0" t="s">
        <v>49</v>
      </c>
    </row>
    <row r="52" customFormat="false" ht="15" hidden="false" customHeight="false" outlineLevel="0" collapsed="false">
      <c r="B52" s="0" t="str">
        <f aca="false">HYPERLINK("https://genome.ucsc.edu/cgi-bin/hgTracks?db=hg19&amp;position=chr19%3A3198841%2D3198841", "chr19:3198841")</f>
        <v>chr19:3198841</v>
      </c>
      <c r="C52" s="0" t="s">
        <v>143</v>
      </c>
      <c r="D52" s="0" t="n">
        <v>3198841</v>
      </c>
      <c r="E52" s="0" t="n">
        <v>3198841</v>
      </c>
      <c r="F52" s="0" t="s">
        <v>60</v>
      </c>
      <c r="G52" s="0" t="s">
        <v>39</v>
      </c>
      <c r="H52" s="0" t="s">
        <v>488</v>
      </c>
      <c r="I52" s="0" t="s">
        <v>489</v>
      </c>
      <c r="J52" s="0" t="s">
        <v>490</v>
      </c>
      <c r="K52" s="0" t="s">
        <v>49</v>
      </c>
      <c r="L52" s="0" t="str">
        <f aca="false">HYPERLINK("https://www.ncbi.nlm.nih.gov/snp/rs11671067", "rs11671067")</f>
        <v>rs11671067</v>
      </c>
      <c r="M52" s="0" t="str">
        <f aca="false">HYPERLINK("https://www.genecards.org/Search/Keyword?queryString=%5Baliases%5D(%20NCLN%20)&amp;keywords=NCLN", "NCLN")</f>
        <v>NCLN</v>
      </c>
      <c r="N52" s="0" t="s">
        <v>45</v>
      </c>
      <c r="O52" s="0" t="s">
        <v>148</v>
      </c>
      <c r="P52" s="0" t="s">
        <v>491</v>
      </c>
      <c r="Q52" s="0" t="n">
        <v>0.0215</v>
      </c>
      <c r="R52" s="0" t="n">
        <v>0.0199</v>
      </c>
      <c r="S52" s="0" t="n">
        <v>0.0207</v>
      </c>
      <c r="T52" s="0" t="n">
        <v>-1</v>
      </c>
      <c r="U52" s="0" t="n">
        <v>0.0163</v>
      </c>
      <c r="V52" s="0" t="s">
        <v>332</v>
      </c>
      <c r="W52" s="0" t="s">
        <v>49</v>
      </c>
      <c r="X52" s="0" t="s">
        <v>49</v>
      </c>
      <c r="Y52" s="0" t="s">
        <v>49</v>
      </c>
      <c r="Z52" s="0" t="s">
        <v>115</v>
      </c>
      <c r="AA52" s="0" t="s">
        <v>79</v>
      </c>
      <c r="AB52" s="0" t="s">
        <v>49</v>
      </c>
      <c r="AC52" s="0" t="s">
        <v>53</v>
      </c>
      <c r="AD52" s="0" t="s">
        <v>54</v>
      </c>
      <c r="AE52" s="0" t="s">
        <v>492</v>
      </c>
      <c r="AF52" s="0" t="s">
        <v>493</v>
      </c>
      <c r="AG52" s="0" t="s">
        <v>494</v>
      </c>
      <c r="AH52" s="0" t="s">
        <v>49</v>
      </c>
      <c r="AI52" s="0" t="s">
        <v>49</v>
      </c>
      <c r="AJ52" s="0" t="s">
        <v>49</v>
      </c>
      <c r="AK52" s="0" t="s">
        <v>49</v>
      </c>
      <c r="AL52" s="0" t="s">
        <v>49</v>
      </c>
    </row>
    <row r="53" customFormat="false" ht="15" hidden="false" customHeight="false" outlineLevel="0" collapsed="false">
      <c r="B53" s="0" t="str">
        <f aca="false">HYPERLINK("https://genome.ucsc.edu/cgi-bin/hgTracks?db=hg19&amp;position=chrX%3A54957176%2D54957176", "chrX:54957176")</f>
        <v>chrX:54957176</v>
      </c>
      <c r="C53" s="0" t="s">
        <v>495</v>
      </c>
      <c r="D53" s="0" t="n">
        <v>54957176</v>
      </c>
      <c r="E53" s="0" t="n">
        <v>54957176</v>
      </c>
      <c r="F53" s="0" t="s">
        <v>60</v>
      </c>
      <c r="G53" s="0" t="s">
        <v>61</v>
      </c>
      <c r="H53" s="0" t="s">
        <v>496</v>
      </c>
      <c r="I53" s="0" t="s">
        <v>497</v>
      </c>
      <c r="J53" s="0" t="s">
        <v>498</v>
      </c>
      <c r="K53" s="0" t="s">
        <v>49</v>
      </c>
      <c r="L53" s="0" t="str">
        <f aca="false">HYPERLINK("https://www.ncbi.nlm.nih.gov/snp/rs45438793", "rs45438793")</f>
        <v>rs45438793</v>
      </c>
      <c r="M53" s="0" t="str">
        <f aca="false">HYPERLINK("https://www.genecards.org/Search/Keyword?queryString=%5Baliases%5D(%20TRO%20)&amp;keywords=TRO", "TRO")</f>
        <v>TRO</v>
      </c>
      <c r="N53" s="0" t="s">
        <v>45</v>
      </c>
      <c r="O53" s="0" t="s">
        <v>499</v>
      </c>
      <c r="P53" s="0" t="s">
        <v>500</v>
      </c>
      <c r="Q53" s="0" t="n">
        <v>0.015789</v>
      </c>
      <c r="R53" s="0" t="n">
        <v>0.0055</v>
      </c>
      <c r="S53" s="0" t="n">
        <v>0.006</v>
      </c>
      <c r="T53" s="0" t="n">
        <v>-1</v>
      </c>
      <c r="U53" s="0" t="n">
        <v>0.0055</v>
      </c>
      <c r="V53" s="0" t="s">
        <v>501</v>
      </c>
      <c r="W53" s="0" t="s">
        <v>49</v>
      </c>
      <c r="X53" s="0" t="s">
        <v>49</v>
      </c>
      <c r="Y53" s="0" t="s">
        <v>49</v>
      </c>
      <c r="Z53" s="0" t="s">
        <v>502</v>
      </c>
      <c r="AA53" s="0" t="s">
        <v>79</v>
      </c>
      <c r="AB53" s="0" t="s">
        <v>49</v>
      </c>
      <c r="AC53" s="0" t="s">
        <v>503</v>
      </c>
      <c r="AD53" s="0" t="s">
        <v>54</v>
      </c>
      <c r="AE53" s="0" t="s">
        <v>504</v>
      </c>
      <c r="AF53" s="0" t="s">
        <v>505</v>
      </c>
      <c r="AG53" s="0" t="s">
        <v>506</v>
      </c>
      <c r="AH53" s="0" t="s">
        <v>49</v>
      </c>
      <c r="AI53" s="0" t="s">
        <v>49</v>
      </c>
      <c r="AJ53" s="0" t="s">
        <v>49</v>
      </c>
      <c r="AK53" s="0" t="s">
        <v>49</v>
      </c>
      <c r="AL53" s="0" t="s">
        <v>49</v>
      </c>
    </row>
    <row r="54" customFormat="false" ht="15" hidden="false" customHeight="false" outlineLevel="0" collapsed="false">
      <c r="B54" s="0" t="str">
        <f aca="false">HYPERLINK("https://genome.ucsc.edu/cgi-bin/hgTracks?db=hg19&amp;position=chr1%3A2449945%2D2449945", "chr1:2449945")</f>
        <v>chr1:2449945</v>
      </c>
      <c r="C54" s="0" t="s">
        <v>167</v>
      </c>
      <c r="D54" s="0" t="n">
        <v>2449945</v>
      </c>
      <c r="E54" s="0" t="n">
        <v>2449945</v>
      </c>
      <c r="F54" s="0" t="s">
        <v>39</v>
      </c>
      <c r="G54" s="0" t="s">
        <v>40</v>
      </c>
      <c r="H54" s="0" t="s">
        <v>507</v>
      </c>
      <c r="I54" s="0" t="s">
        <v>508</v>
      </c>
      <c r="J54" s="0" t="s">
        <v>509</v>
      </c>
      <c r="K54" s="0" t="s">
        <v>49</v>
      </c>
      <c r="L54" s="0" t="str">
        <f aca="false">HYPERLINK("https://www.ncbi.nlm.nih.gov/snp/rs377322433", "rs377322433")</f>
        <v>rs377322433</v>
      </c>
      <c r="M54" s="0" t="str">
        <f aca="false">HYPERLINK("https://www.genecards.org/Search/Keyword?queryString=%5Baliases%5D(%20PANK4%20)&amp;keywords=PANK4", "PANK4")</f>
        <v>PANK4</v>
      </c>
      <c r="N54" s="0" t="s">
        <v>510</v>
      </c>
      <c r="O54" s="0" t="s">
        <v>49</v>
      </c>
      <c r="P54" s="0" t="s">
        <v>49</v>
      </c>
      <c r="Q54" s="0" t="n">
        <v>0.0037</v>
      </c>
      <c r="R54" s="0" t="n">
        <v>0.0026</v>
      </c>
      <c r="S54" s="0" t="n">
        <v>0.0021</v>
      </c>
      <c r="T54" s="0" t="n">
        <v>-1</v>
      </c>
      <c r="U54" s="0" t="n">
        <v>0.004</v>
      </c>
      <c r="V54" s="0" t="s">
        <v>49</v>
      </c>
      <c r="W54" s="0" t="s">
        <v>49</v>
      </c>
      <c r="X54" s="0" t="s">
        <v>333</v>
      </c>
      <c r="Y54" s="0" t="s">
        <v>219</v>
      </c>
      <c r="Z54" s="0" t="s">
        <v>49</v>
      </c>
      <c r="AA54" s="0" t="s">
        <v>49</v>
      </c>
      <c r="AB54" s="0" t="s">
        <v>49</v>
      </c>
      <c r="AC54" s="0" t="s">
        <v>53</v>
      </c>
      <c r="AD54" s="0" t="s">
        <v>54</v>
      </c>
      <c r="AE54" s="0" t="s">
        <v>511</v>
      </c>
      <c r="AF54" s="0" t="s">
        <v>512</v>
      </c>
      <c r="AG54" s="0" t="s">
        <v>513</v>
      </c>
      <c r="AH54" s="0" t="s">
        <v>49</v>
      </c>
      <c r="AI54" s="0" t="s">
        <v>49</v>
      </c>
      <c r="AJ54" s="0" t="s">
        <v>49</v>
      </c>
      <c r="AK54" s="0" t="s">
        <v>49</v>
      </c>
      <c r="AL54" s="0" t="s">
        <v>49</v>
      </c>
    </row>
    <row r="55" customFormat="false" ht="15" hidden="false" customHeight="false" outlineLevel="0" collapsed="false">
      <c r="B55" s="0" t="str">
        <f aca="false">HYPERLINK("https://genome.ucsc.edu/cgi-bin/hgTracks?db=hg19&amp;position=chr1%3A12853852%2D12853852", "chr1:12853852")</f>
        <v>chr1:12853852</v>
      </c>
      <c r="C55" s="0" t="s">
        <v>167</v>
      </c>
      <c r="D55" s="0" t="n">
        <v>12853852</v>
      </c>
      <c r="E55" s="0" t="n">
        <v>12853852</v>
      </c>
      <c r="F55" s="0" t="s">
        <v>60</v>
      </c>
      <c r="G55" s="0" t="s">
        <v>61</v>
      </c>
      <c r="H55" s="0" t="s">
        <v>514</v>
      </c>
      <c r="I55" s="0" t="s">
        <v>515</v>
      </c>
      <c r="J55" s="0" t="s">
        <v>516</v>
      </c>
      <c r="K55" s="0" t="s">
        <v>49</v>
      </c>
      <c r="L55" s="0" t="str">
        <f aca="false">HYPERLINK("https://www.ncbi.nlm.nih.gov/snp/rs759047041", "rs759047041")</f>
        <v>rs759047041</v>
      </c>
      <c r="M55" s="0" t="str">
        <f aca="false">HYPERLINK("https://www.genecards.org/Search/Keyword?queryString=%5Baliases%5D(%20PRAMEF1%20)&amp;keywords=PRAMEF1", "PRAMEF1")</f>
        <v>PRAMEF1</v>
      </c>
      <c r="N55" s="0" t="s">
        <v>510</v>
      </c>
      <c r="O55" s="0" t="s">
        <v>49</v>
      </c>
      <c r="P55" s="0" t="s">
        <v>49</v>
      </c>
      <c r="Q55" s="0" t="n">
        <v>0.0172</v>
      </c>
      <c r="R55" s="0" t="n">
        <v>0.0049</v>
      </c>
      <c r="S55" s="0" t="n">
        <v>0.0057</v>
      </c>
      <c r="T55" s="0" t="n">
        <v>-1</v>
      </c>
      <c r="U55" s="0" t="n">
        <v>0.0062</v>
      </c>
      <c r="V55" s="0" t="s">
        <v>49</v>
      </c>
      <c r="W55" s="0" t="s">
        <v>49</v>
      </c>
      <c r="X55" s="0" t="s">
        <v>517</v>
      </c>
      <c r="Y55" s="0" t="s">
        <v>219</v>
      </c>
      <c r="Z55" s="0" t="s">
        <v>49</v>
      </c>
      <c r="AA55" s="0" t="s">
        <v>49</v>
      </c>
      <c r="AB55" s="0" t="s">
        <v>49</v>
      </c>
      <c r="AC55" s="0" t="s">
        <v>53</v>
      </c>
      <c r="AD55" s="0" t="s">
        <v>54</v>
      </c>
      <c r="AE55" s="0" t="s">
        <v>518</v>
      </c>
      <c r="AF55" s="0" t="s">
        <v>519</v>
      </c>
      <c r="AG55" s="0" t="s">
        <v>49</v>
      </c>
      <c r="AH55" s="0" t="s">
        <v>49</v>
      </c>
      <c r="AI55" s="0" t="s">
        <v>49</v>
      </c>
      <c r="AJ55" s="0" t="s">
        <v>49</v>
      </c>
      <c r="AK55" s="0" t="s">
        <v>49</v>
      </c>
      <c r="AL55" s="0" t="s">
        <v>49</v>
      </c>
    </row>
    <row r="56" customFormat="false" ht="15" hidden="false" customHeight="false" outlineLevel="0" collapsed="false">
      <c r="B56" s="0" t="str">
        <f aca="false">HYPERLINK("https://genome.ucsc.edu/cgi-bin/hgTracks?db=hg19&amp;position=chr1%3A12888665%2D12888665", "chr1:12888665")</f>
        <v>chr1:12888665</v>
      </c>
      <c r="C56" s="0" t="s">
        <v>167</v>
      </c>
      <c r="D56" s="0" t="n">
        <v>12888665</v>
      </c>
      <c r="E56" s="0" t="n">
        <v>12888665</v>
      </c>
      <c r="F56" s="0" t="s">
        <v>39</v>
      </c>
      <c r="G56" s="0" t="s">
        <v>60</v>
      </c>
      <c r="H56" s="0" t="s">
        <v>520</v>
      </c>
      <c r="I56" s="0" t="s">
        <v>521</v>
      </c>
      <c r="J56" s="0" t="s">
        <v>522</v>
      </c>
      <c r="K56" s="0" t="s">
        <v>49</v>
      </c>
      <c r="L56" s="0" t="str">
        <f aca="false">HYPERLINK("https://www.ncbi.nlm.nih.gov/snp/rs559041676", "rs559041676")</f>
        <v>rs559041676</v>
      </c>
      <c r="M56" s="0" t="str">
        <f aca="false">HYPERLINK("https://www.genecards.org/Search/Keyword?queryString=%5Baliases%5D(%20PRAMEF11%20)&amp;keywords=PRAMEF11", "PRAMEF11")</f>
        <v>PRAMEF11</v>
      </c>
      <c r="N56" s="0" t="s">
        <v>196</v>
      </c>
      <c r="O56" s="0" t="s">
        <v>49</v>
      </c>
      <c r="P56" s="0" t="s">
        <v>523</v>
      </c>
      <c r="Q56" s="0" t="n">
        <v>0.0092</v>
      </c>
      <c r="R56" s="0" t="n">
        <v>0.0049</v>
      </c>
      <c r="S56" s="0" t="n">
        <v>0.0048</v>
      </c>
      <c r="T56" s="0" t="n">
        <v>-1</v>
      </c>
      <c r="U56" s="0" t="n">
        <v>0.0081</v>
      </c>
      <c r="V56" s="0" t="s">
        <v>49</v>
      </c>
      <c r="W56" s="0" t="s">
        <v>333</v>
      </c>
      <c r="X56" s="0" t="s">
        <v>218</v>
      </c>
      <c r="Y56" s="0" t="s">
        <v>390</v>
      </c>
      <c r="Z56" s="0" t="s">
        <v>49</v>
      </c>
      <c r="AA56" s="0" t="s">
        <v>49</v>
      </c>
      <c r="AB56" s="0" t="s">
        <v>49</v>
      </c>
      <c r="AC56" s="0" t="s">
        <v>53</v>
      </c>
      <c r="AD56" s="0" t="s">
        <v>209</v>
      </c>
      <c r="AE56" s="0" t="s">
        <v>524</v>
      </c>
      <c r="AF56" s="0" t="s">
        <v>525</v>
      </c>
      <c r="AG56" s="0" t="s">
        <v>49</v>
      </c>
      <c r="AH56" s="0" t="s">
        <v>49</v>
      </c>
      <c r="AI56" s="0" t="s">
        <v>49</v>
      </c>
      <c r="AJ56" s="0" t="s">
        <v>49</v>
      </c>
      <c r="AK56" s="0" t="s">
        <v>49</v>
      </c>
      <c r="AL56" s="0" t="s">
        <v>49</v>
      </c>
    </row>
    <row r="57" customFormat="false" ht="15" hidden="false" customHeight="false" outlineLevel="0" collapsed="false">
      <c r="B57" s="0" t="str">
        <f aca="false">HYPERLINK("https://genome.ucsc.edu/cgi-bin/hgTracks?db=hg19&amp;position=chr1%3A12888883%2D12888883", "chr1:12888883")</f>
        <v>chr1:12888883</v>
      </c>
      <c r="C57" s="0" t="s">
        <v>167</v>
      </c>
      <c r="D57" s="0" t="n">
        <v>12888883</v>
      </c>
      <c r="E57" s="0" t="n">
        <v>12888883</v>
      </c>
      <c r="F57" s="0" t="s">
        <v>60</v>
      </c>
      <c r="G57" s="0" t="s">
        <v>61</v>
      </c>
      <c r="H57" s="0" t="s">
        <v>526</v>
      </c>
      <c r="I57" s="0" t="s">
        <v>527</v>
      </c>
      <c r="J57" s="0" t="s">
        <v>528</v>
      </c>
      <c r="K57" s="0" t="s">
        <v>49</v>
      </c>
      <c r="L57" s="0" t="s">
        <v>49</v>
      </c>
      <c r="M57" s="0" t="str">
        <f aca="false">HYPERLINK("https://www.genecards.org/Search/Keyword?queryString=%5Baliases%5D(%20PRAMEF11%20)&amp;keywords=PRAMEF11", "PRAMEF11")</f>
        <v>PRAMEF11</v>
      </c>
      <c r="N57" s="0" t="s">
        <v>510</v>
      </c>
      <c r="O57" s="0" t="s">
        <v>49</v>
      </c>
      <c r="P57" s="0" t="s">
        <v>49</v>
      </c>
      <c r="Q57" s="0" t="n">
        <v>0.0167</v>
      </c>
      <c r="R57" s="0" t="n">
        <v>0.007</v>
      </c>
      <c r="S57" s="0" t="n">
        <v>0.0076</v>
      </c>
      <c r="T57" s="0" t="n">
        <v>-1</v>
      </c>
      <c r="U57" s="0" t="n">
        <v>0.008</v>
      </c>
      <c r="V57" s="0" t="s">
        <v>49</v>
      </c>
      <c r="W57" s="0" t="s">
        <v>49</v>
      </c>
      <c r="X57" s="0" t="s">
        <v>517</v>
      </c>
      <c r="Y57" s="0" t="s">
        <v>219</v>
      </c>
      <c r="Z57" s="0" t="s">
        <v>49</v>
      </c>
      <c r="AA57" s="0" t="s">
        <v>49</v>
      </c>
      <c r="AB57" s="0" t="s">
        <v>49</v>
      </c>
      <c r="AC57" s="0" t="s">
        <v>53</v>
      </c>
      <c r="AD57" s="0" t="s">
        <v>209</v>
      </c>
      <c r="AE57" s="0" t="s">
        <v>524</v>
      </c>
      <c r="AF57" s="0" t="s">
        <v>525</v>
      </c>
      <c r="AG57" s="0" t="s">
        <v>49</v>
      </c>
      <c r="AH57" s="0" t="s">
        <v>49</v>
      </c>
      <c r="AI57" s="0" t="s">
        <v>49</v>
      </c>
      <c r="AJ57" s="0" t="s">
        <v>49</v>
      </c>
      <c r="AK57" s="0" t="s">
        <v>49</v>
      </c>
      <c r="AL57" s="0" t="s">
        <v>49</v>
      </c>
    </row>
    <row r="58" customFormat="false" ht="15" hidden="false" customHeight="false" outlineLevel="0" collapsed="false">
      <c r="B58" s="0" t="str">
        <f aca="false">HYPERLINK("https://genome.ucsc.edu/cgi-bin/hgTracks?db=hg19&amp;position=chr1%3A21902108%2D21902108", "chr1:21902108")</f>
        <v>chr1:21902108</v>
      </c>
      <c r="C58" s="0" t="s">
        <v>167</v>
      </c>
      <c r="D58" s="0" t="n">
        <v>21902108</v>
      </c>
      <c r="E58" s="0" t="n">
        <v>21902108</v>
      </c>
      <c r="F58" s="0" t="s">
        <v>39</v>
      </c>
      <c r="G58" s="0" t="s">
        <v>40</v>
      </c>
      <c r="H58" s="0" t="s">
        <v>529</v>
      </c>
      <c r="I58" s="0" t="s">
        <v>100</v>
      </c>
      <c r="J58" s="0" t="s">
        <v>530</v>
      </c>
      <c r="K58" s="0" t="s">
        <v>49</v>
      </c>
      <c r="L58" s="0" t="str">
        <f aca="false">HYPERLINK("https://www.ncbi.nlm.nih.gov/snp/rs116835106", "rs116835106")</f>
        <v>rs116835106</v>
      </c>
      <c r="M58" s="0" t="str">
        <f aca="false">HYPERLINK("https://www.genecards.org/Search/Keyword?queryString=%5Baliases%5D(%20ALPL%20)&amp;keywords=ALPL", "ALPL")</f>
        <v>ALPL</v>
      </c>
      <c r="N58" s="0" t="s">
        <v>510</v>
      </c>
      <c r="O58" s="0" t="s">
        <v>49</v>
      </c>
      <c r="P58" s="0" t="s">
        <v>49</v>
      </c>
      <c r="Q58" s="0" t="n">
        <v>0.0266</v>
      </c>
      <c r="R58" s="0" t="n">
        <v>0.0106</v>
      </c>
      <c r="S58" s="0" t="n">
        <v>0.0122</v>
      </c>
      <c r="T58" s="0" t="n">
        <v>-1</v>
      </c>
      <c r="U58" s="0" t="n">
        <v>0.0087</v>
      </c>
      <c r="V58" s="0" t="s">
        <v>49</v>
      </c>
      <c r="W58" s="0" t="s">
        <v>49</v>
      </c>
      <c r="X58" s="0" t="s">
        <v>517</v>
      </c>
      <c r="Y58" s="0" t="s">
        <v>219</v>
      </c>
      <c r="Z58" s="0" t="s">
        <v>49</v>
      </c>
      <c r="AA58" s="0" t="s">
        <v>49</v>
      </c>
      <c r="AB58" s="0" t="s">
        <v>49</v>
      </c>
      <c r="AC58" s="0" t="s">
        <v>53</v>
      </c>
      <c r="AD58" s="0" t="s">
        <v>54</v>
      </c>
      <c r="AE58" s="0" t="s">
        <v>531</v>
      </c>
      <c r="AF58" s="0" t="s">
        <v>532</v>
      </c>
      <c r="AG58" s="0" t="s">
        <v>533</v>
      </c>
      <c r="AH58" s="0" t="s">
        <v>534</v>
      </c>
      <c r="AI58" s="0" t="s">
        <v>49</v>
      </c>
      <c r="AJ58" s="0" t="s">
        <v>49</v>
      </c>
      <c r="AK58" s="0" t="s">
        <v>49</v>
      </c>
      <c r="AL58" s="0" t="s">
        <v>49</v>
      </c>
    </row>
    <row r="59" customFormat="false" ht="15" hidden="false" customHeight="false" outlineLevel="0" collapsed="false">
      <c r="B59" s="0" t="str">
        <f aca="false">HYPERLINK("https://genome.ucsc.edu/cgi-bin/hgTracks?db=hg19&amp;position=chr1%3A43002200%2D43002201", "chr1:43002200")</f>
        <v>chr1:43002200</v>
      </c>
      <c r="C59" s="0" t="s">
        <v>167</v>
      </c>
      <c r="D59" s="0" t="n">
        <v>43002200</v>
      </c>
      <c r="E59" s="0" t="n">
        <v>43002201</v>
      </c>
      <c r="F59" s="0" t="s">
        <v>535</v>
      </c>
      <c r="G59" s="0" t="s">
        <v>190</v>
      </c>
      <c r="H59" s="0" t="s">
        <v>536</v>
      </c>
      <c r="I59" s="0" t="s">
        <v>537</v>
      </c>
      <c r="J59" s="0" t="s">
        <v>538</v>
      </c>
      <c r="K59" s="0" t="s">
        <v>49</v>
      </c>
      <c r="L59" s="0" t="str">
        <f aca="false">HYPERLINK("https://www.ncbi.nlm.nih.gov/snp/rs372826618", "rs372826618")</f>
        <v>rs372826618</v>
      </c>
      <c r="M59" s="0" t="str">
        <f aca="false">HYPERLINK("https://www.genecards.org/Search/Keyword?queryString=%5Baliases%5D(%20CCDC30%20)&amp;keywords=CCDC30", "CCDC30")</f>
        <v>CCDC30</v>
      </c>
      <c r="N59" s="0" t="s">
        <v>45</v>
      </c>
      <c r="O59" s="0" t="s">
        <v>539</v>
      </c>
      <c r="P59" s="0" t="s">
        <v>540</v>
      </c>
      <c r="Q59" s="0" t="n">
        <v>0.0098</v>
      </c>
      <c r="R59" s="0" t="n">
        <v>0.0015</v>
      </c>
      <c r="S59" s="0" t="n">
        <v>0.0002</v>
      </c>
      <c r="T59" s="0" t="n">
        <v>-1</v>
      </c>
      <c r="U59" s="0" t="n">
        <v>0.0006</v>
      </c>
      <c r="V59" s="0" t="s">
        <v>49</v>
      </c>
      <c r="W59" s="0" t="s">
        <v>49</v>
      </c>
      <c r="X59" s="0" t="s">
        <v>49</v>
      </c>
      <c r="Y59" s="0" t="s">
        <v>49</v>
      </c>
      <c r="Z59" s="0" t="s">
        <v>49</v>
      </c>
      <c r="AA59" s="0" t="s">
        <v>49</v>
      </c>
      <c r="AB59" s="0" t="s">
        <v>49</v>
      </c>
      <c r="AC59" s="0" t="s">
        <v>53</v>
      </c>
      <c r="AD59" s="0" t="s">
        <v>54</v>
      </c>
      <c r="AE59" s="0" t="s">
        <v>541</v>
      </c>
      <c r="AF59" s="0" t="s">
        <v>542</v>
      </c>
      <c r="AG59" s="0" t="s">
        <v>49</v>
      </c>
      <c r="AH59" s="0" t="s">
        <v>49</v>
      </c>
      <c r="AI59" s="0" t="s">
        <v>49</v>
      </c>
      <c r="AJ59" s="0" t="s">
        <v>49</v>
      </c>
      <c r="AK59" s="0" t="s">
        <v>49</v>
      </c>
      <c r="AL59" s="0" t="s">
        <v>49</v>
      </c>
    </row>
    <row r="60" customFormat="false" ht="15" hidden="false" customHeight="false" outlineLevel="0" collapsed="false">
      <c r="B60" s="0" t="str">
        <f aca="false">HYPERLINK("https://genome.ucsc.edu/cgi-bin/hgTracks?db=hg19&amp;position=chr1%3A62236994%2D62236994", "chr1:62236994")</f>
        <v>chr1:62236994</v>
      </c>
      <c r="C60" s="0" t="s">
        <v>167</v>
      </c>
      <c r="D60" s="0" t="n">
        <v>62236994</v>
      </c>
      <c r="E60" s="0" t="n">
        <v>62236994</v>
      </c>
      <c r="F60" s="0" t="s">
        <v>61</v>
      </c>
      <c r="G60" s="0" t="s">
        <v>60</v>
      </c>
      <c r="H60" s="0" t="s">
        <v>543</v>
      </c>
      <c r="I60" s="0" t="s">
        <v>100</v>
      </c>
      <c r="J60" s="0" t="s">
        <v>530</v>
      </c>
      <c r="K60" s="0" t="s">
        <v>49</v>
      </c>
      <c r="L60" s="0" t="str">
        <f aca="false">HYPERLINK("https://www.ncbi.nlm.nih.gov/snp/rs112826168", "rs112826168")</f>
        <v>rs112826168</v>
      </c>
      <c r="M60" s="0" t="str">
        <f aca="false">HYPERLINK("https://www.genecards.org/Search/Keyword?queryString=%5Baliases%5D(%20INADL%20)%20OR%20%5Baliases%5D(%20PATJ%20)&amp;keywords=INADL,PATJ", "INADL;PATJ")</f>
        <v>INADL;PATJ</v>
      </c>
      <c r="N60" s="0" t="s">
        <v>510</v>
      </c>
      <c r="O60" s="0" t="s">
        <v>49</v>
      </c>
      <c r="P60" s="0" t="s">
        <v>49</v>
      </c>
      <c r="Q60" s="0" t="n">
        <v>0.0229</v>
      </c>
      <c r="R60" s="0" t="n">
        <v>0.0257</v>
      </c>
      <c r="S60" s="0" t="n">
        <v>0.0227</v>
      </c>
      <c r="T60" s="0" t="n">
        <v>-1</v>
      </c>
      <c r="U60" s="0" t="n">
        <v>0.0331</v>
      </c>
      <c r="V60" s="0" t="s">
        <v>49</v>
      </c>
      <c r="W60" s="0" t="s">
        <v>49</v>
      </c>
      <c r="X60" s="0" t="s">
        <v>333</v>
      </c>
      <c r="Y60" s="0" t="s">
        <v>219</v>
      </c>
      <c r="Z60" s="0" t="s">
        <v>49</v>
      </c>
      <c r="AA60" s="0" t="s">
        <v>49</v>
      </c>
      <c r="AB60" s="0" t="s">
        <v>49</v>
      </c>
      <c r="AC60" s="0" t="s">
        <v>53</v>
      </c>
      <c r="AD60" s="0" t="s">
        <v>220</v>
      </c>
      <c r="AE60" s="0" t="s">
        <v>49</v>
      </c>
      <c r="AF60" s="0" t="s">
        <v>544</v>
      </c>
      <c r="AG60" s="0" t="s">
        <v>545</v>
      </c>
      <c r="AH60" s="0" t="s">
        <v>49</v>
      </c>
      <c r="AI60" s="0" t="s">
        <v>49</v>
      </c>
      <c r="AJ60" s="0" t="s">
        <v>49</v>
      </c>
      <c r="AK60" s="0" t="s">
        <v>49</v>
      </c>
      <c r="AL60" s="0" t="s">
        <v>49</v>
      </c>
    </row>
    <row r="61" s="2" customFormat="true" ht="15" hidden="false" customHeight="false" outlineLevel="0" collapsed="false">
      <c r="B61" s="2" t="str">
        <f aca="false">HYPERLINK("https://genome.ucsc.edu/cgi-bin/hgTracks?db=hg19&amp;position=chr1%3A74941173%2D74941173", "chr1:74941173")</f>
        <v>chr1:74941173</v>
      </c>
      <c r="C61" s="2" t="s">
        <v>167</v>
      </c>
      <c r="D61" s="2" t="n">
        <v>74941173</v>
      </c>
      <c r="E61" s="2" t="n">
        <v>74941173</v>
      </c>
      <c r="F61" s="2" t="s">
        <v>190</v>
      </c>
      <c r="G61" s="2" t="s">
        <v>39</v>
      </c>
      <c r="H61" s="2" t="s">
        <v>546</v>
      </c>
      <c r="I61" s="2" t="s">
        <v>547</v>
      </c>
      <c r="J61" s="2" t="s">
        <v>548</v>
      </c>
      <c r="K61" s="2" t="s">
        <v>49</v>
      </c>
      <c r="L61" s="2" t="str">
        <f aca="false">HYPERLINK("https://www.ncbi.nlm.nih.gov/snp/rs776625841", "rs776625841")</f>
        <v>rs776625841</v>
      </c>
      <c r="M61" s="2" t="str">
        <f aca="false">HYPERLINK("https://www.genecards.org/Search/Keyword?queryString=%5Baliases%5D(%20FPGT-TNNI3K%20)%20OR%20%5Baliases%5D(%20LRRC53%20)%20OR%20%5Baliases%5D(%20TNNI3K%20)&amp;keywords=FPGT-TNNI3K,LRRC53,TNNI3K", "FPGT-TNNI3K;LRRC53;TNNI3K")</f>
        <v>FPGT-TNNI3K;LRRC53;TNNI3K</v>
      </c>
      <c r="N61" s="2" t="s">
        <v>549</v>
      </c>
      <c r="O61" s="2" t="s">
        <v>259</v>
      </c>
      <c r="P61" s="2" t="s">
        <v>550</v>
      </c>
      <c r="Q61" s="2" t="n">
        <v>6.47E-005</v>
      </c>
      <c r="R61" s="2" t="n">
        <v>-1</v>
      </c>
      <c r="S61" s="2" t="n">
        <v>-1</v>
      </c>
      <c r="T61" s="2" t="n">
        <v>-1</v>
      </c>
      <c r="U61" s="2" t="n">
        <v>-1</v>
      </c>
      <c r="V61" s="2" t="s">
        <v>49</v>
      </c>
      <c r="W61" s="2" t="s">
        <v>49</v>
      </c>
      <c r="X61" s="2" t="s">
        <v>49</v>
      </c>
      <c r="Y61" s="2" t="s">
        <v>49</v>
      </c>
      <c r="Z61" s="2" t="s">
        <v>49</v>
      </c>
      <c r="AA61" s="2" t="s">
        <v>49</v>
      </c>
      <c r="AB61" s="2" t="s">
        <v>49</v>
      </c>
      <c r="AC61" s="2" t="s">
        <v>53</v>
      </c>
      <c r="AD61" s="2" t="s">
        <v>293</v>
      </c>
      <c r="AE61" s="2" t="s">
        <v>551</v>
      </c>
      <c r="AF61" s="2" t="s">
        <v>552</v>
      </c>
      <c r="AG61" s="2" t="s">
        <v>553</v>
      </c>
      <c r="AH61" s="2" t="s">
        <v>554</v>
      </c>
      <c r="AI61" s="2" t="s">
        <v>49</v>
      </c>
      <c r="AJ61" s="2" t="s">
        <v>49</v>
      </c>
      <c r="AK61" s="2" t="s">
        <v>49</v>
      </c>
      <c r="AL61" s="2" t="s">
        <v>49</v>
      </c>
    </row>
    <row r="62" customFormat="false" ht="15" hidden="false" customHeight="false" outlineLevel="0" collapsed="false">
      <c r="B62" s="0" t="str">
        <f aca="false">HYPERLINK("https://genome.ucsc.edu/cgi-bin/hgTracks?db=hg19&amp;position=chr1%3A115469133%2D115469133", "chr1:115469133")</f>
        <v>chr1:115469133</v>
      </c>
      <c r="C62" s="0" t="s">
        <v>167</v>
      </c>
      <c r="D62" s="0" t="n">
        <v>115469133</v>
      </c>
      <c r="E62" s="0" t="n">
        <v>115469133</v>
      </c>
      <c r="F62" s="0" t="s">
        <v>190</v>
      </c>
      <c r="G62" s="0" t="s">
        <v>61</v>
      </c>
      <c r="H62" s="0" t="s">
        <v>555</v>
      </c>
      <c r="I62" s="0" t="s">
        <v>556</v>
      </c>
      <c r="J62" s="0" t="s">
        <v>557</v>
      </c>
      <c r="K62" s="0" t="s">
        <v>49</v>
      </c>
      <c r="L62" s="0" t="str">
        <f aca="false">HYPERLINK("https://www.ncbi.nlm.nih.gov/snp/rs762984894", "rs762984894")</f>
        <v>rs762984894</v>
      </c>
      <c r="M62" s="0" t="str">
        <f aca="false">HYPERLINK("https://www.genecards.org/Search/Keyword?queryString=%5Baliases%5D(%20SYCP1%20)&amp;keywords=SYCP1", "SYCP1")</f>
        <v>SYCP1</v>
      </c>
      <c r="N62" s="0" t="s">
        <v>45</v>
      </c>
      <c r="O62" s="0" t="s">
        <v>259</v>
      </c>
      <c r="P62" s="0" t="s">
        <v>558</v>
      </c>
      <c r="Q62" s="0" t="n">
        <v>5.82E-005</v>
      </c>
      <c r="R62" s="0" t="n">
        <v>-1</v>
      </c>
      <c r="S62" s="0" t="n">
        <v>-1</v>
      </c>
      <c r="T62" s="0" t="n">
        <v>-1</v>
      </c>
      <c r="U62" s="0" t="n">
        <v>-1</v>
      </c>
      <c r="V62" s="0" t="s">
        <v>49</v>
      </c>
      <c r="W62" s="0" t="s">
        <v>49</v>
      </c>
      <c r="X62" s="0" t="s">
        <v>49</v>
      </c>
      <c r="Y62" s="0" t="s">
        <v>49</v>
      </c>
      <c r="Z62" s="0" t="s">
        <v>49</v>
      </c>
      <c r="AA62" s="0" t="s">
        <v>49</v>
      </c>
      <c r="AB62" s="0" t="s">
        <v>49</v>
      </c>
      <c r="AC62" s="0" t="s">
        <v>53</v>
      </c>
      <c r="AD62" s="0" t="s">
        <v>54</v>
      </c>
      <c r="AE62" s="0" t="s">
        <v>559</v>
      </c>
      <c r="AF62" s="0" t="s">
        <v>560</v>
      </c>
      <c r="AG62" s="0" t="s">
        <v>561</v>
      </c>
      <c r="AH62" s="0" t="s">
        <v>49</v>
      </c>
      <c r="AI62" s="0" t="s">
        <v>49</v>
      </c>
      <c r="AJ62" s="0" t="s">
        <v>49</v>
      </c>
      <c r="AK62" s="0" t="s">
        <v>49</v>
      </c>
      <c r="AL62" s="0" t="s">
        <v>49</v>
      </c>
    </row>
    <row r="63" customFormat="false" ht="15" hidden="false" customHeight="false" outlineLevel="0" collapsed="false">
      <c r="B63" s="0" t="str">
        <f aca="false">HYPERLINK("https://genome.ucsc.edu/cgi-bin/hgTracks?db=hg19&amp;position=chr1%3A117156326%2D117156326", "chr1:117156326")</f>
        <v>chr1:117156326</v>
      </c>
      <c r="C63" s="0" t="s">
        <v>167</v>
      </c>
      <c r="D63" s="0" t="n">
        <v>117156326</v>
      </c>
      <c r="E63" s="0" t="n">
        <v>117156326</v>
      </c>
      <c r="F63" s="0" t="s">
        <v>39</v>
      </c>
      <c r="G63" s="0" t="s">
        <v>40</v>
      </c>
      <c r="H63" s="0" t="s">
        <v>562</v>
      </c>
      <c r="I63" s="0" t="s">
        <v>563</v>
      </c>
      <c r="J63" s="0" t="s">
        <v>564</v>
      </c>
      <c r="K63" s="0" t="s">
        <v>49</v>
      </c>
      <c r="L63" s="0" t="str">
        <f aca="false">HYPERLINK("https://www.ncbi.nlm.nih.gov/snp/rs201074598", "rs201074598")</f>
        <v>rs201074598</v>
      </c>
      <c r="M63" s="0" t="str">
        <f aca="false">HYPERLINK("https://www.genecards.org/Search/Keyword?queryString=%5Baliases%5D(%20IGSF3%20)&amp;keywords=IGSF3", "IGSF3")</f>
        <v>IGSF3</v>
      </c>
      <c r="N63" s="0" t="s">
        <v>510</v>
      </c>
      <c r="O63" s="0" t="s">
        <v>49</v>
      </c>
      <c r="P63" s="0" t="s">
        <v>49</v>
      </c>
      <c r="Q63" s="0" t="n">
        <v>3.84E-005</v>
      </c>
      <c r="R63" s="0" t="n">
        <v>-1</v>
      </c>
      <c r="S63" s="0" t="n">
        <v>-1</v>
      </c>
      <c r="T63" s="0" t="n">
        <v>-1</v>
      </c>
      <c r="U63" s="0" t="n">
        <v>-1</v>
      </c>
      <c r="V63" s="0" t="s">
        <v>49</v>
      </c>
      <c r="W63" s="0" t="s">
        <v>49</v>
      </c>
      <c r="X63" s="0" t="s">
        <v>333</v>
      </c>
      <c r="Y63" s="0" t="s">
        <v>219</v>
      </c>
      <c r="Z63" s="0" t="s">
        <v>49</v>
      </c>
      <c r="AA63" s="0" t="s">
        <v>49</v>
      </c>
      <c r="AB63" s="0" t="s">
        <v>49</v>
      </c>
      <c r="AC63" s="0" t="s">
        <v>53</v>
      </c>
      <c r="AD63" s="0" t="s">
        <v>469</v>
      </c>
      <c r="AE63" s="0" t="s">
        <v>470</v>
      </c>
      <c r="AF63" s="0" t="s">
        <v>471</v>
      </c>
      <c r="AG63" s="0" t="s">
        <v>49</v>
      </c>
      <c r="AH63" s="0" t="s">
        <v>49</v>
      </c>
      <c r="AI63" s="0" t="s">
        <v>49</v>
      </c>
      <c r="AJ63" s="0" t="s">
        <v>49</v>
      </c>
      <c r="AK63" s="0" t="s">
        <v>49</v>
      </c>
      <c r="AL63" s="0" t="s">
        <v>120</v>
      </c>
    </row>
    <row r="64" customFormat="false" ht="15" hidden="false" customHeight="false" outlineLevel="0" collapsed="false">
      <c r="B64" s="0" t="str">
        <f aca="false">HYPERLINK("https://genome.ucsc.edu/cgi-bin/hgTracks?db=hg19&amp;position=chr1%3A118499820%2D118499820", "chr1:118499820")</f>
        <v>chr1:118499820</v>
      </c>
      <c r="C64" s="0" t="s">
        <v>167</v>
      </c>
      <c r="D64" s="0" t="n">
        <v>118499820</v>
      </c>
      <c r="E64" s="0" t="n">
        <v>118499820</v>
      </c>
      <c r="F64" s="0" t="s">
        <v>60</v>
      </c>
      <c r="G64" s="0" t="s">
        <v>61</v>
      </c>
      <c r="H64" s="0" t="s">
        <v>565</v>
      </c>
      <c r="I64" s="0" t="s">
        <v>566</v>
      </c>
      <c r="J64" s="0" t="s">
        <v>567</v>
      </c>
      <c r="K64" s="0" t="s">
        <v>49</v>
      </c>
      <c r="L64" s="0" t="str">
        <f aca="false">HYPERLINK("https://www.ncbi.nlm.nih.gov/snp/rs200383662", "rs200383662")</f>
        <v>rs200383662</v>
      </c>
      <c r="M64" s="0" t="str">
        <f aca="false">HYPERLINK("https://www.genecards.org/Search/Keyword?queryString=%5Baliases%5D(%20WDR3%20)&amp;keywords=WDR3", "WDR3")</f>
        <v>WDR3</v>
      </c>
      <c r="N64" s="0" t="s">
        <v>196</v>
      </c>
      <c r="O64" s="0" t="s">
        <v>49</v>
      </c>
      <c r="P64" s="0" t="s">
        <v>568</v>
      </c>
      <c r="Q64" s="0" t="n">
        <v>0.0034</v>
      </c>
      <c r="R64" s="0" t="n">
        <v>0.0004</v>
      </c>
      <c r="S64" s="0" t="n">
        <v>0.0003</v>
      </c>
      <c r="T64" s="0" t="n">
        <v>-1</v>
      </c>
      <c r="U64" s="0" t="n">
        <v>0.0002</v>
      </c>
      <c r="V64" s="0" t="s">
        <v>364</v>
      </c>
      <c r="W64" s="0" t="s">
        <v>333</v>
      </c>
      <c r="X64" s="0" t="s">
        <v>333</v>
      </c>
      <c r="Y64" s="0" t="s">
        <v>390</v>
      </c>
      <c r="Z64" s="0" t="s">
        <v>356</v>
      </c>
      <c r="AA64" s="0" t="s">
        <v>49</v>
      </c>
      <c r="AB64" s="0" t="s">
        <v>49</v>
      </c>
      <c r="AC64" s="0" t="s">
        <v>53</v>
      </c>
      <c r="AD64" s="0" t="s">
        <v>54</v>
      </c>
      <c r="AE64" s="0" t="s">
        <v>569</v>
      </c>
      <c r="AF64" s="0" t="s">
        <v>570</v>
      </c>
      <c r="AG64" s="0" t="s">
        <v>49</v>
      </c>
      <c r="AH64" s="0" t="s">
        <v>49</v>
      </c>
      <c r="AI64" s="0" t="s">
        <v>49</v>
      </c>
      <c r="AJ64" s="0" t="s">
        <v>49</v>
      </c>
      <c r="AK64" s="0" t="s">
        <v>49</v>
      </c>
      <c r="AL64" s="0" t="s">
        <v>49</v>
      </c>
    </row>
    <row r="65" customFormat="false" ht="15" hidden="false" customHeight="false" outlineLevel="0" collapsed="false">
      <c r="B65" s="0" t="str">
        <f aca="false">HYPERLINK("https://genome.ucsc.edu/cgi-bin/hgTracks?db=hg19&amp;position=chr1%3A121306567%2D121306567", "chr1:121306567")</f>
        <v>chr1:121306567</v>
      </c>
      <c r="C65" s="0" t="s">
        <v>167</v>
      </c>
      <c r="D65" s="0" t="n">
        <v>121306567</v>
      </c>
      <c r="E65" s="0" t="n">
        <v>121306567</v>
      </c>
      <c r="F65" s="0" t="s">
        <v>60</v>
      </c>
      <c r="G65" s="0" t="s">
        <v>40</v>
      </c>
      <c r="H65" s="0" t="s">
        <v>571</v>
      </c>
      <c r="I65" s="0" t="s">
        <v>572</v>
      </c>
      <c r="J65" s="0" t="s">
        <v>573</v>
      </c>
      <c r="K65" s="0" t="s">
        <v>49</v>
      </c>
      <c r="L65" s="0" t="str">
        <f aca="false">HYPERLINK("https://www.ncbi.nlm.nih.gov/snp/rs115966809", "rs115966809")</f>
        <v>rs115966809</v>
      </c>
      <c r="M65" s="0" t="str">
        <f aca="false">HYPERLINK("https://www.genecards.org/Search/Keyword?queryString=%5Baliases%5D(%20EMBP1%20)&amp;keywords=EMBP1", "EMBP1")</f>
        <v>EMBP1</v>
      </c>
      <c r="N65" s="0" t="s">
        <v>428</v>
      </c>
      <c r="O65" s="0" t="s">
        <v>205</v>
      </c>
      <c r="P65" s="0" t="s">
        <v>574</v>
      </c>
      <c r="Q65" s="0" t="n">
        <v>0.0175</v>
      </c>
      <c r="R65" s="0" t="n">
        <v>0.0118</v>
      </c>
      <c r="S65" s="0" t="n">
        <v>0.0126</v>
      </c>
      <c r="T65" s="0" t="n">
        <v>-1</v>
      </c>
      <c r="U65" s="0" t="n">
        <v>0.0094</v>
      </c>
      <c r="V65" s="0" t="s">
        <v>49</v>
      </c>
      <c r="W65" s="0" t="s">
        <v>49</v>
      </c>
      <c r="X65" s="0" t="s">
        <v>49</v>
      </c>
      <c r="Y65" s="0" t="s">
        <v>49</v>
      </c>
      <c r="Z65" s="0" t="s">
        <v>49</v>
      </c>
      <c r="AA65" s="0" t="s">
        <v>49</v>
      </c>
      <c r="AB65" s="0" t="s">
        <v>49</v>
      </c>
      <c r="AC65" s="0" t="s">
        <v>53</v>
      </c>
      <c r="AD65" s="0" t="s">
        <v>54</v>
      </c>
      <c r="AE65" s="0" t="s">
        <v>49</v>
      </c>
      <c r="AF65" s="0" t="s">
        <v>575</v>
      </c>
      <c r="AG65" s="0" t="s">
        <v>49</v>
      </c>
      <c r="AH65" s="0" t="s">
        <v>49</v>
      </c>
      <c r="AI65" s="0" t="s">
        <v>49</v>
      </c>
      <c r="AJ65" s="0" t="s">
        <v>49</v>
      </c>
      <c r="AK65" s="0" t="s">
        <v>49</v>
      </c>
      <c r="AL65" s="0" t="s">
        <v>49</v>
      </c>
    </row>
    <row r="66" customFormat="false" ht="15" hidden="false" customHeight="false" outlineLevel="0" collapsed="false">
      <c r="B66" s="0" t="str">
        <f aca="false">HYPERLINK("https://genome.ucsc.edu/cgi-bin/hgTracks?db=hg19&amp;position=chr1%3A151015333%2D151015333", "chr1:151015333")</f>
        <v>chr1:151015333</v>
      </c>
      <c r="C66" s="0" t="s">
        <v>167</v>
      </c>
      <c r="D66" s="0" t="n">
        <v>151015333</v>
      </c>
      <c r="E66" s="0" t="n">
        <v>151015333</v>
      </c>
      <c r="F66" s="0" t="s">
        <v>61</v>
      </c>
      <c r="G66" s="0" t="s">
        <v>60</v>
      </c>
      <c r="H66" s="0" t="s">
        <v>576</v>
      </c>
      <c r="I66" s="0" t="s">
        <v>577</v>
      </c>
      <c r="J66" s="0" t="s">
        <v>578</v>
      </c>
      <c r="K66" s="0" t="s">
        <v>49</v>
      </c>
      <c r="L66" s="0" t="str">
        <f aca="false">HYPERLINK("https://www.ncbi.nlm.nih.gov/snp/rs985749713", "rs985749713")</f>
        <v>rs985749713</v>
      </c>
      <c r="M66" s="0" t="str">
        <f aca="false">HYPERLINK("https://www.genecards.org/Search/Keyword?queryString=%5Baliases%5D(%20BNIPL%20)&amp;keywords=BNIPL", "BNIPL")</f>
        <v>BNIPL</v>
      </c>
      <c r="N66" s="0" t="s">
        <v>510</v>
      </c>
      <c r="O66" s="0" t="s">
        <v>49</v>
      </c>
      <c r="P66" s="0" t="s">
        <v>49</v>
      </c>
      <c r="Q66" s="0" t="n">
        <v>0.0003</v>
      </c>
      <c r="R66" s="0" t="n">
        <v>0.0004</v>
      </c>
      <c r="S66" s="0" t="n">
        <v>0.0003</v>
      </c>
      <c r="T66" s="0" t="n">
        <v>-1</v>
      </c>
      <c r="U66" s="0" t="n">
        <v>0.0002</v>
      </c>
      <c r="V66" s="0" t="s">
        <v>49</v>
      </c>
      <c r="W66" s="0" t="s">
        <v>49</v>
      </c>
      <c r="X66" s="0" t="s">
        <v>517</v>
      </c>
      <c r="Y66" s="0" t="s">
        <v>219</v>
      </c>
      <c r="Z66" s="0" t="s">
        <v>49</v>
      </c>
      <c r="AA66" s="0" t="s">
        <v>49</v>
      </c>
      <c r="AB66" s="0" t="s">
        <v>49</v>
      </c>
      <c r="AC66" s="0" t="s">
        <v>53</v>
      </c>
      <c r="AD66" s="0" t="s">
        <v>54</v>
      </c>
      <c r="AE66" s="0" t="s">
        <v>579</v>
      </c>
      <c r="AF66" s="0" t="s">
        <v>580</v>
      </c>
      <c r="AG66" s="0" t="s">
        <v>581</v>
      </c>
      <c r="AH66" s="0" t="s">
        <v>49</v>
      </c>
      <c r="AI66" s="0" t="s">
        <v>49</v>
      </c>
      <c r="AJ66" s="0" t="s">
        <v>49</v>
      </c>
      <c r="AK66" s="0" t="s">
        <v>49</v>
      </c>
      <c r="AL66" s="0" t="s">
        <v>49</v>
      </c>
    </row>
    <row r="67" customFormat="false" ht="15" hidden="false" customHeight="false" outlineLevel="0" collapsed="false">
      <c r="B67" s="0" t="str">
        <f aca="false">HYPERLINK("https://genome.ucsc.edu/cgi-bin/hgTracks?db=hg19&amp;position=chr1%3A153742343%2D153742343", "chr1:153742343")</f>
        <v>chr1:153742343</v>
      </c>
      <c r="C67" s="0" t="s">
        <v>167</v>
      </c>
      <c r="D67" s="0" t="n">
        <v>153742343</v>
      </c>
      <c r="E67" s="0" t="n">
        <v>153742343</v>
      </c>
      <c r="F67" s="0" t="s">
        <v>60</v>
      </c>
      <c r="G67" s="0" t="s">
        <v>61</v>
      </c>
      <c r="H67" s="0" t="s">
        <v>582</v>
      </c>
      <c r="I67" s="0" t="s">
        <v>227</v>
      </c>
      <c r="J67" s="0" t="s">
        <v>583</v>
      </c>
      <c r="K67" s="0" t="s">
        <v>49</v>
      </c>
      <c r="L67" s="0" t="str">
        <f aca="false">HYPERLINK("https://www.ncbi.nlm.nih.gov/snp/rs139957354", "rs139957354")</f>
        <v>rs139957354</v>
      </c>
      <c r="M67" s="0" t="str">
        <f aca="false">HYPERLINK("https://www.genecards.org/Search/Keyword?queryString=%5Baliases%5D(%20INTS3%20)&amp;keywords=INTS3", "INTS3")</f>
        <v>INTS3</v>
      </c>
      <c r="N67" s="0" t="s">
        <v>510</v>
      </c>
      <c r="O67" s="0" t="s">
        <v>49</v>
      </c>
      <c r="P67" s="0" t="s">
        <v>49</v>
      </c>
      <c r="Q67" s="0" t="n">
        <v>0.0086</v>
      </c>
      <c r="R67" s="0" t="n">
        <v>0.0047</v>
      </c>
      <c r="S67" s="0" t="n">
        <v>0.0054</v>
      </c>
      <c r="T67" s="0" t="n">
        <v>-1</v>
      </c>
      <c r="U67" s="0" t="n">
        <v>0.0081</v>
      </c>
      <c r="V67" s="0" t="s">
        <v>49</v>
      </c>
      <c r="W67" s="0" t="s">
        <v>49</v>
      </c>
      <c r="X67" s="0" t="s">
        <v>517</v>
      </c>
      <c r="Y67" s="0" t="s">
        <v>219</v>
      </c>
      <c r="Z67" s="0" t="s">
        <v>49</v>
      </c>
      <c r="AA67" s="0" t="s">
        <v>49</v>
      </c>
      <c r="AB67" s="0" t="s">
        <v>49</v>
      </c>
      <c r="AC67" s="0" t="s">
        <v>53</v>
      </c>
      <c r="AD67" s="0" t="s">
        <v>54</v>
      </c>
      <c r="AE67" s="0" t="s">
        <v>584</v>
      </c>
      <c r="AF67" s="0" t="s">
        <v>585</v>
      </c>
      <c r="AG67" s="0" t="s">
        <v>586</v>
      </c>
      <c r="AH67" s="0" t="s">
        <v>49</v>
      </c>
      <c r="AI67" s="0" t="s">
        <v>49</v>
      </c>
      <c r="AJ67" s="0" t="s">
        <v>49</v>
      </c>
      <c r="AK67" s="0" t="s">
        <v>49</v>
      </c>
      <c r="AL67" s="0" t="s">
        <v>49</v>
      </c>
    </row>
    <row r="68" customFormat="false" ht="15" hidden="false" customHeight="false" outlineLevel="0" collapsed="false">
      <c r="B68" s="0" t="str">
        <f aca="false">HYPERLINK("https://genome.ucsc.edu/cgi-bin/hgTracks?db=hg19&amp;position=chr1%3A156450591%2D156450591", "chr1:156450591")</f>
        <v>chr1:156450591</v>
      </c>
      <c r="C68" s="0" t="s">
        <v>167</v>
      </c>
      <c r="D68" s="0" t="n">
        <v>156450591</v>
      </c>
      <c r="E68" s="0" t="n">
        <v>156450591</v>
      </c>
      <c r="F68" s="0" t="s">
        <v>60</v>
      </c>
      <c r="G68" s="0" t="s">
        <v>40</v>
      </c>
      <c r="H68" s="0" t="s">
        <v>587</v>
      </c>
      <c r="I68" s="0" t="s">
        <v>527</v>
      </c>
      <c r="J68" s="0" t="s">
        <v>588</v>
      </c>
      <c r="K68" s="0" t="s">
        <v>49</v>
      </c>
      <c r="L68" s="0" t="str">
        <f aca="false">HYPERLINK("https://www.ncbi.nlm.nih.gov/snp/rs200395694", "rs200395694")</f>
        <v>rs200395694</v>
      </c>
      <c r="M68" s="0" t="str">
        <f aca="false">HYPERLINK("https://www.genecards.org/Search/Keyword?queryString=%5Baliases%5D(%20MEF2D%20)&amp;keywords=MEF2D", "MEF2D")</f>
        <v>MEF2D</v>
      </c>
      <c r="N68" s="0" t="s">
        <v>510</v>
      </c>
      <c r="O68" s="0" t="s">
        <v>49</v>
      </c>
      <c r="P68" s="0" t="s">
        <v>49</v>
      </c>
      <c r="Q68" s="0" t="n">
        <v>0.005</v>
      </c>
      <c r="R68" s="0" t="n">
        <v>0.0026</v>
      </c>
      <c r="S68" s="0" t="n">
        <v>0.003</v>
      </c>
      <c r="T68" s="0" t="n">
        <v>-1</v>
      </c>
      <c r="U68" s="0" t="n">
        <v>0.0033</v>
      </c>
      <c r="V68" s="0" t="s">
        <v>49</v>
      </c>
      <c r="W68" s="0" t="s">
        <v>49</v>
      </c>
      <c r="X68" s="0" t="s">
        <v>333</v>
      </c>
      <c r="Y68" s="0" t="s">
        <v>219</v>
      </c>
      <c r="Z68" s="0" t="s">
        <v>49</v>
      </c>
      <c r="AA68" s="0" t="s">
        <v>49</v>
      </c>
      <c r="AB68" s="0" t="s">
        <v>49</v>
      </c>
      <c r="AC68" s="0" t="s">
        <v>53</v>
      </c>
      <c r="AD68" s="0" t="s">
        <v>54</v>
      </c>
      <c r="AE68" s="0" t="s">
        <v>589</v>
      </c>
      <c r="AF68" s="0" t="s">
        <v>590</v>
      </c>
      <c r="AG68" s="0" t="s">
        <v>591</v>
      </c>
      <c r="AH68" s="0" t="s">
        <v>49</v>
      </c>
      <c r="AI68" s="0" t="s">
        <v>49</v>
      </c>
      <c r="AJ68" s="0" t="s">
        <v>49</v>
      </c>
      <c r="AK68" s="0" t="s">
        <v>49</v>
      </c>
      <c r="AL68" s="0" t="s">
        <v>49</v>
      </c>
    </row>
    <row r="69" customFormat="false" ht="15" hidden="false" customHeight="false" outlineLevel="0" collapsed="false">
      <c r="B69" s="0" t="str">
        <f aca="false">HYPERLINK("https://genome.ucsc.edu/cgi-bin/hgTracks?db=hg19&amp;position=chr1%3A176915035%2D176915035", "chr1:176915035")</f>
        <v>chr1:176915035</v>
      </c>
      <c r="C69" s="0" t="s">
        <v>167</v>
      </c>
      <c r="D69" s="0" t="n">
        <v>176915035</v>
      </c>
      <c r="E69" s="0" t="n">
        <v>176915035</v>
      </c>
      <c r="F69" s="0" t="s">
        <v>61</v>
      </c>
      <c r="G69" s="0" t="s">
        <v>40</v>
      </c>
      <c r="H69" s="0" t="s">
        <v>592</v>
      </c>
      <c r="I69" s="0" t="s">
        <v>497</v>
      </c>
      <c r="J69" s="0" t="s">
        <v>593</v>
      </c>
      <c r="K69" s="0" t="s">
        <v>49</v>
      </c>
      <c r="L69" s="0" t="str">
        <f aca="false">HYPERLINK("https://www.ncbi.nlm.nih.gov/snp/rs192890350", "rs192890350")</f>
        <v>rs192890350</v>
      </c>
      <c r="M69" s="0" t="str">
        <f aca="false">HYPERLINK("https://www.genecards.org/Search/Keyword?queryString=%5Baliases%5D(%20ASTN1%20)&amp;keywords=ASTN1", "ASTN1")</f>
        <v>ASTN1</v>
      </c>
      <c r="N69" s="0" t="s">
        <v>510</v>
      </c>
      <c r="O69" s="0" t="s">
        <v>49</v>
      </c>
      <c r="P69" s="0" t="s">
        <v>49</v>
      </c>
      <c r="Q69" s="0" t="n">
        <v>0.0078685</v>
      </c>
      <c r="R69" s="0" t="n">
        <v>0.0052</v>
      </c>
      <c r="S69" s="0" t="n">
        <v>0.0056</v>
      </c>
      <c r="T69" s="0" t="n">
        <v>-1</v>
      </c>
      <c r="U69" s="0" t="n">
        <v>0.0042</v>
      </c>
      <c r="V69" s="0" t="s">
        <v>49</v>
      </c>
      <c r="W69" s="0" t="s">
        <v>49</v>
      </c>
      <c r="X69" s="0" t="s">
        <v>333</v>
      </c>
      <c r="Y69" s="0" t="s">
        <v>219</v>
      </c>
      <c r="Z69" s="0" t="s">
        <v>49</v>
      </c>
      <c r="AA69" s="0" t="s">
        <v>49</v>
      </c>
      <c r="AB69" s="0" t="s">
        <v>49</v>
      </c>
      <c r="AC69" s="0" t="s">
        <v>53</v>
      </c>
      <c r="AD69" s="0" t="s">
        <v>54</v>
      </c>
      <c r="AE69" s="0" t="s">
        <v>594</v>
      </c>
      <c r="AF69" s="0" t="s">
        <v>595</v>
      </c>
      <c r="AG69" s="0" t="s">
        <v>596</v>
      </c>
      <c r="AH69" s="0" t="s">
        <v>49</v>
      </c>
      <c r="AI69" s="0" t="s">
        <v>49</v>
      </c>
      <c r="AJ69" s="0" t="s">
        <v>49</v>
      </c>
      <c r="AK69" s="0" t="s">
        <v>49</v>
      </c>
      <c r="AL69" s="0" t="s">
        <v>49</v>
      </c>
    </row>
    <row r="70" customFormat="false" ht="15" hidden="false" customHeight="false" outlineLevel="0" collapsed="false">
      <c r="B70" s="0" t="str">
        <f aca="false">HYPERLINK("https://genome.ucsc.edu/cgi-bin/hgTracks?db=hg19&amp;position=chr1%3A179086419%2D179086419", "chr1:179086419")</f>
        <v>chr1:179086419</v>
      </c>
      <c r="C70" s="0" t="s">
        <v>167</v>
      </c>
      <c r="D70" s="0" t="n">
        <v>179086419</v>
      </c>
      <c r="E70" s="0" t="n">
        <v>179086419</v>
      </c>
      <c r="F70" s="0" t="s">
        <v>190</v>
      </c>
      <c r="G70" s="0" t="s">
        <v>597</v>
      </c>
      <c r="H70" s="0" t="s">
        <v>598</v>
      </c>
      <c r="I70" s="0" t="s">
        <v>599</v>
      </c>
      <c r="J70" s="0" t="s">
        <v>600</v>
      </c>
      <c r="K70" s="0" t="s">
        <v>49</v>
      </c>
      <c r="L70" s="0" t="s">
        <v>49</v>
      </c>
      <c r="M70" s="0" t="str">
        <f aca="false">HYPERLINK("https://www.genecards.org/Search/Keyword?queryString=%5Baliases%5D(%20ABL2%20)&amp;keywords=ABL2", "ABL2")</f>
        <v>ABL2</v>
      </c>
      <c r="N70" s="0" t="s">
        <v>549</v>
      </c>
      <c r="O70" s="0" t="s">
        <v>259</v>
      </c>
      <c r="P70" s="0" t="s">
        <v>601</v>
      </c>
      <c r="Q70" s="0" t="n">
        <v>0.000207</v>
      </c>
      <c r="R70" s="0" t="n">
        <v>0.0001</v>
      </c>
      <c r="S70" s="0" t="n">
        <v>8.186E-005</v>
      </c>
      <c r="T70" s="0" t="n">
        <v>-1</v>
      </c>
      <c r="U70" s="0" t="n">
        <v>-1</v>
      </c>
      <c r="V70" s="0" t="s">
        <v>49</v>
      </c>
      <c r="W70" s="0" t="s">
        <v>49</v>
      </c>
      <c r="X70" s="0" t="s">
        <v>49</v>
      </c>
      <c r="Y70" s="0" t="s">
        <v>49</v>
      </c>
      <c r="Z70" s="0" t="s">
        <v>49</v>
      </c>
      <c r="AA70" s="0" t="s">
        <v>49</v>
      </c>
      <c r="AB70" s="0" t="s">
        <v>49</v>
      </c>
      <c r="AC70" s="0" t="s">
        <v>53</v>
      </c>
      <c r="AD70" s="0" t="s">
        <v>54</v>
      </c>
      <c r="AE70" s="0" t="s">
        <v>602</v>
      </c>
      <c r="AF70" s="0" t="s">
        <v>603</v>
      </c>
      <c r="AG70" s="0" t="s">
        <v>604</v>
      </c>
      <c r="AH70" s="0" t="s">
        <v>49</v>
      </c>
      <c r="AI70" s="0" t="s">
        <v>49</v>
      </c>
      <c r="AJ70" s="0" t="s">
        <v>49</v>
      </c>
      <c r="AK70" s="0" t="s">
        <v>49</v>
      </c>
      <c r="AL70" s="0" t="s">
        <v>49</v>
      </c>
    </row>
    <row r="71" customFormat="false" ht="15" hidden="false" customHeight="false" outlineLevel="0" collapsed="false">
      <c r="B71" s="0" t="str">
        <f aca="false">HYPERLINK("https://genome.ucsc.edu/cgi-bin/hgTracks?db=hg19&amp;position=chr1%3A183109427%2D183109427", "chr1:183109427")</f>
        <v>chr1:183109427</v>
      </c>
      <c r="C71" s="0" t="s">
        <v>167</v>
      </c>
      <c r="D71" s="0" t="n">
        <v>183109427</v>
      </c>
      <c r="E71" s="0" t="n">
        <v>183109427</v>
      </c>
      <c r="F71" s="0" t="s">
        <v>40</v>
      </c>
      <c r="G71" s="0" t="s">
        <v>60</v>
      </c>
      <c r="H71" s="0" t="s">
        <v>605</v>
      </c>
      <c r="I71" s="0" t="s">
        <v>606</v>
      </c>
      <c r="J71" s="0" t="s">
        <v>607</v>
      </c>
      <c r="K71" s="0" t="s">
        <v>49</v>
      </c>
      <c r="L71" s="0" t="str">
        <f aca="false">HYPERLINK("https://www.ncbi.nlm.nih.gov/snp/rs145536489", "rs145536489")</f>
        <v>rs145536489</v>
      </c>
      <c r="M71" s="0" t="str">
        <f aca="false">HYPERLINK("https://www.genecards.org/Search/Keyword?queryString=%5Baliases%5D(%20LAMC1%20)%20OR%20%5Baliases%5D(%20LAMC1-AS1%20)&amp;keywords=LAMC1,LAMC1-AS1", "LAMC1;LAMC1-AS1")</f>
        <v>LAMC1;LAMC1-AS1</v>
      </c>
      <c r="N71" s="0" t="s">
        <v>283</v>
      </c>
      <c r="O71" s="0" t="s">
        <v>49</v>
      </c>
      <c r="P71" s="0" t="s">
        <v>49</v>
      </c>
      <c r="Q71" s="0" t="n">
        <v>0.0297</v>
      </c>
      <c r="R71" s="0" t="n">
        <v>0.0221</v>
      </c>
      <c r="S71" s="0" t="n">
        <v>0.0185</v>
      </c>
      <c r="T71" s="0" t="n">
        <v>-1</v>
      </c>
      <c r="U71" s="0" t="n">
        <v>0.0307</v>
      </c>
      <c r="V71" s="0" t="s">
        <v>49</v>
      </c>
      <c r="W71" s="0" t="s">
        <v>49</v>
      </c>
      <c r="X71" s="0" t="s">
        <v>333</v>
      </c>
      <c r="Y71" s="0" t="s">
        <v>219</v>
      </c>
      <c r="Z71" s="0" t="s">
        <v>49</v>
      </c>
      <c r="AA71" s="0" t="s">
        <v>49</v>
      </c>
      <c r="AB71" s="0" t="s">
        <v>49</v>
      </c>
      <c r="AC71" s="0" t="s">
        <v>53</v>
      </c>
      <c r="AD71" s="0" t="s">
        <v>220</v>
      </c>
      <c r="AE71" s="0" t="s">
        <v>608</v>
      </c>
      <c r="AF71" s="0" t="s">
        <v>609</v>
      </c>
      <c r="AG71" s="0" t="s">
        <v>610</v>
      </c>
      <c r="AH71" s="0" t="s">
        <v>49</v>
      </c>
      <c r="AI71" s="0" t="s">
        <v>49</v>
      </c>
      <c r="AJ71" s="0" t="s">
        <v>49</v>
      </c>
      <c r="AK71" s="0" t="s">
        <v>49</v>
      </c>
      <c r="AL71" s="0" t="s">
        <v>49</v>
      </c>
    </row>
    <row r="72" customFormat="false" ht="15" hidden="false" customHeight="false" outlineLevel="0" collapsed="false">
      <c r="B72" s="0" t="str">
        <f aca="false">HYPERLINK("https://genome.ucsc.edu/cgi-bin/hgTracks?db=hg19&amp;position=chr1%3A201174987%2D201174987", "chr1:201174987")</f>
        <v>chr1:201174987</v>
      </c>
      <c r="C72" s="0" t="s">
        <v>167</v>
      </c>
      <c r="D72" s="0" t="n">
        <v>201174987</v>
      </c>
      <c r="E72" s="0" t="n">
        <v>201174987</v>
      </c>
      <c r="F72" s="0" t="s">
        <v>60</v>
      </c>
      <c r="G72" s="0" t="s">
        <v>61</v>
      </c>
      <c r="H72" s="0" t="s">
        <v>611</v>
      </c>
      <c r="I72" s="0" t="s">
        <v>100</v>
      </c>
      <c r="J72" s="0" t="s">
        <v>612</v>
      </c>
      <c r="K72" s="0" t="s">
        <v>49</v>
      </c>
      <c r="L72" s="0" t="str">
        <f aca="false">HYPERLINK("https://www.ncbi.nlm.nih.gov/snp/rs74497484", "rs74497484")</f>
        <v>rs74497484</v>
      </c>
      <c r="M72" s="0" t="str">
        <f aca="false">HYPERLINK("https://www.genecards.org/Search/Keyword?queryString=%5Baliases%5D(%20IGFN1%20)&amp;keywords=IGFN1", "IGFN1")</f>
        <v>IGFN1</v>
      </c>
      <c r="N72" s="0" t="s">
        <v>510</v>
      </c>
      <c r="O72" s="0" t="s">
        <v>49</v>
      </c>
      <c r="P72" s="0" t="s">
        <v>49</v>
      </c>
      <c r="Q72" s="0" t="n">
        <v>0.0179</v>
      </c>
      <c r="R72" s="0" t="n">
        <v>0.0171</v>
      </c>
      <c r="S72" s="0" t="n">
        <v>0.017</v>
      </c>
      <c r="T72" s="0" t="n">
        <v>-1</v>
      </c>
      <c r="U72" s="0" t="n">
        <v>0.0114</v>
      </c>
      <c r="V72" s="0" t="s">
        <v>49</v>
      </c>
      <c r="W72" s="0" t="s">
        <v>49</v>
      </c>
      <c r="X72" s="0" t="s">
        <v>333</v>
      </c>
      <c r="Y72" s="0" t="s">
        <v>219</v>
      </c>
      <c r="Z72" s="0" t="s">
        <v>49</v>
      </c>
      <c r="AA72" s="0" t="s">
        <v>49</v>
      </c>
      <c r="AB72" s="0" t="s">
        <v>49</v>
      </c>
      <c r="AC72" s="0" t="s">
        <v>53</v>
      </c>
      <c r="AD72" s="0" t="s">
        <v>54</v>
      </c>
      <c r="AE72" s="0" t="s">
        <v>613</v>
      </c>
      <c r="AF72" s="0" t="s">
        <v>614</v>
      </c>
      <c r="AG72" s="0" t="s">
        <v>49</v>
      </c>
      <c r="AH72" s="0" t="s">
        <v>49</v>
      </c>
      <c r="AI72" s="0" t="s">
        <v>49</v>
      </c>
      <c r="AJ72" s="0" t="s">
        <v>49</v>
      </c>
      <c r="AK72" s="0" t="s">
        <v>49</v>
      </c>
      <c r="AL72" s="0" t="s">
        <v>49</v>
      </c>
    </row>
    <row r="73" customFormat="false" ht="15" hidden="false" customHeight="false" outlineLevel="0" collapsed="false">
      <c r="B73" s="0" t="str">
        <f aca="false">HYPERLINK("https://genome.ucsc.edu/cgi-bin/hgTracks?db=hg19&amp;position=chr1%3A206137527%2D206137527", "chr1:206137527")</f>
        <v>chr1:206137527</v>
      </c>
      <c r="C73" s="0" t="s">
        <v>167</v>
      </c>
      <c r="D73" s="0" t="n">
        <v>206137527</v>
      </c>
      <c r="E73" s="0" t="n">
        <v>206137527</v>
      </c>
      <c r="F73" s="0" t="s">
        <v>60</v>
      </c>
      <c r="G73" s="0" t="s">
        <v>61</v>
      </c>
      <c r="H73" s="0" t="s">
        <v>615</v>
      </c>
      <c r="I73" s="0" t="s">
        <v>616</v>
      </c>
      <c r="J73" s="0" t="s">
        <v>617</v>
      </c>
      <c r="K73" s="0" t="s">
        <v>49</v>
      </c>
      <c r="L73" s="0" t="str">
        <f aca="false">HYPERLINK("https://www.ncbi.nlm.nih.gov/snp/rs782314702", "rs782314702")</f>
        <v>rs782314702</v>
      </c>
      <c r="M73" s="0" t="str">
        <f aca="false">HYPERLINK("https://www.genecards.org/Search/Keyword?queryString=%5Baliases%5D(%20FAM72A%20)&amp;keywords=FAM72A", "FAM72A")</f>
        <v>FAM72A</v>
      </c>
      <c r="N73" s="0" t="s">
        <v>618</v>
      </c>
      <c r="O73" s="0" t="s">
        <v>49</v>
      </c>
      <c r="P73" s="0" t="s">
        <v>619</v>
      </c>
      <c r="Q73" s="0" t="n">
        <v>0.0059896</v>
      </c>
      <c r="R73" s="0" t="n">
        <v>0.0004</v>
      </c>
      <c r="S73" s="0" t="n">
        <v>0.0007</v>
      </c>
      <c r="T73" s="0" t="n">
        <v>-1</v>
      </c>
      <c r="U73" s="0" t="n">
        <v>0.0004</v>
      </c>
      <c r="V73" s="0" t="s">
        <v>49</v>
      </c>
      <c r="W73" s="0" t="s">
        <v>49</v>
      </c>
      <c r="X73" s="0" t="s">
        <v>333</v>
      </c>
      <c r="Y73" s="0" t="s">
        <v>219</v>
      </c>
      <c r="Z73" s="0" t="s">
        <v>49</v>
      </c>
      <c r="AA73" s="0" t="s">
        <v>49</v>
      </c>
      <c r="AB73" s="0" t="s">
        <v>49</v>
      </c>
      <c r="AC73" s="0" t="s">
        <v>53</v>
      </c>
      <c r="AD73" s="0" t="s">
        <v>54</v>
      </c>
      <c r="AE73" s="0" t="s">
        <v>49</v>
      </c>
      <c r="AF73" s="0" t="s">
        <v>620</v>
      </c>
      <c r="AG73" s="0" t="s">
        <v>621</v>
      </c>
      <c r="AH73" s="0" t="s">
        <v>49</v>
      </c>
      <c r="AI73" s="0" t="s">
        <v>49</v>
      </c>
      <c r="AJ73" s="0" t="s">
        <v>49</v>
      </c>
      <c r="AK73" s="0" t="s">
        <v>49</v>
      </c>
      <c r="AL73" s="0" t="s">
        <v>49</v>
      </c>
    </row>
    <row r="74" customFormat="false" ht="15" hidden="false" customHeight="false" outlineLevel="0" collapsed="false">
      <c r="B74" s="0" t="str">
        <f aca="false">HYPERLINK("https://genome.ucsc.edu/cgi-bin/hgTracks?db=hg19&amp;position=chr1%3A213180442%2D213180442", "chr1:213180442")</f>
        <v>chr1:213180442</v>
      </c>
      <c r="C74" s="0" t="s">
        <v>167</v>
      </c>
      <c r="D74" s="0" t="n">
        <v>213180442</v>
      </c>
      <c r="E74" s="0" t="n">
        <v>213180442</v>
      </c>
      <c r="F74" s="0" t="s">
        <v>190</v>
      </c>
      <c r="G74" s="0" t="s">
        <v>61</v>
      </c>
      <c r="H74" s="0" t="s">
        <v>622</v>
      </c>
      <c r="I74" s="0" t="s">
        <v>623</v>
      </c>
      <c r="J74" s="0" t="s">
        <v>624</v>
      </c>
      <c r="K74" s="0" t="s">
        <v>49</v>
      </c>
      <c r="L74" s="0" t="s">
        <v>49</v>
      </c>
      <c r="M74" s="0" t="str">
        <f aca="false">HYPERLINK("https://www.genecards.org/Search/Keyword?queryString=%5Baliases%5D(%20ANGEL2%20)&amp;keywords=ANGEL2", "ANGEL2")</f>
        <v>ANGEL2</v>
      </c>
      <c r="N74" s="0" t="s">
        <v>549</v>
      </c>
      <c r="O74" s="0" t="s">
        <v>259</v>
      </c>
      <c r="P74" s="0" t="s">
        <v>625</v>
      </c>
      <c r="Q74" s="0" t="n">
        <v>-1</v>
      </c>
      <c r="R74" s="0" t="n">
        <v>-1</v>
      </c>
      <c r="S74" s="0" t="n">
        <v>-1</v>
      </c>
      <c r="T74" s="0" t="n">
        <v>-1</v>
      </c>
      <c r="U74" s="0" t="n">
        <v>-1</v>
      </c>
      <c r="V74" s="0" t="s">
        <v>49</v>
      </c>
      <c r="W74" s="0" t="s">
        <v>49</v>
      </c>
      <c r="X74" s="0" t="s">
        <v>49</v>
      </c>
      <c r="Y74" s="0" t="s">
        <v>49</v>
      </c>
      <c r="Z74" s="0" t="s">
        <v>49</v>
      </c>
      <c r="AA74" s="0" t="s">
        <v>49</v>
      </c>
      <c r="AB74" s="0" t="s">
        <v>49</v>
      </c>
      <c r="AC74" s="0" t="s">
        <v>231</v>
      </c>
      <c r="AD74" s="0" t="s">
        <v>54</v>
      </c>
      <c r="AE74" s="0" t="s">
        <v>626</v>
      </c>
      <c r="AF74" s="0" t="s">
        <v>627</v>
      </c>
      <c r="AG74" s="0" t="s">
        <v>49</v>
      </c>
      <c r="AH74" s="0" t="s">
        <v>49</v>
      </c>
      <c r="AI74" s="0" t="s">
        <v>49</v>
      </c>
      <c r="AJ74" s="0" t="s">
        <v>49</v>
      </c>
      <c r="AK74" s="0" t="s">
        <v>49</v>
      </c>
      <c r="AL74" s="0" t="s">
        <v>49</v>
      </c>
    </row>
    <row r="75" customFormat="false" ht="15" hidden="false" customHeight="false" outlineLevel="0" collapsed="false">
      <c r="B75" s="0" t="str">
        <f aca="false">HYPERLINK("https://genome.ucsc.edu/cgi-bin/hgTracks?db=hg19&amp;position=chr1%3A218615492%2D218615492", "chr1:218615492")</f>
        <v>chr1:218615492</v>
      </c>
      <c r="C75" s="0" t="s">
        <v>167</v>
      </c>
      <c r="D75" s="0" t="n">
        <v>218615492</v>
      </c>
      <c r="E75" s="0" t="n">
        <v>218615492</v>
      </c>
      <c r="F75" s="0" t="s">
        <v>190</v>
      </c>
      <c r="G75" s="0" t="s">
        <v>40</v>
      </c>
      <c r="H75" s="0" t="s">
        <v>628</v>
      </c>
      <c r="I75" s="0" t="s">
        <v>629</v>
      </c>
      <c r="J75" s="0" t="s">
        <v>630</v>
      </c>
      <c r="K75" s="0" t="s">
        <v>49</v>
      </c>
      <c r="L75" s="0" t="s">
        <v>49</v>
      </c>
      <c r="M75" s="0" t="str">
        <f aca="false">HYPERLINK("https://www.genecards.org/Search/Keyword?queryString=%5Baliases%5D(%20MIR548F3%20)%20OR%20%5Baliases%5D(%20TGFB2%20)&amp;keywords=MIR548F3,TGFB2", "MIR548F3;TGFB2")</f>
        <v>MIR548F3;TGFB2</v>
      </c>
      <c r="N75" s="0" t="s">
        <v>229</v>
      </c>
      <c r="O75" s="0" t="s">
        <v>49</v>
      </c>
      <c r="P75" s="0" t="s">
        <v>631</v>
      </c>
      <c r="Q75" s="0" t="n">
        <v>0.0151</v>
      </c>
      <c r="R75" s="0" t="n">
        <v>0.0033</v>
      </c>
      <c r="S75" s="0" t="n">
        <v>0.0011</v>
      </c>
      <c r="T75" s="0" t="n">
        <v>-1</v>
      </c>
      <c r="U75" s="0" t="n">
        <v>0.0024</v>
      </c>
      <c r="V75" s="0" t="s">
        <v>49</v>
      </c>
      <c r="W75" s="0" t="s">
        <v>49</v>
      </c>
      <c r="X75" s="0" t="s">
        <v>49</v>
      </c>
      <c r="Y75" s="0" t="s">
        <v>49</v>
      </c>
      <c r="Z75" s="0" t="s">
        <v>49</v>
      </c>
      <c r="AA75" s="0" t="s">
        <v>49</v>
      </c>
      <c r="AB75" s="0" t="s">
        <v>49</v>
      </c>
      <c r="AC75" s="0" t="s">
        <v>53</v>
      </c>
      <c r="AD75" s="0" t="s">
        <v>220</v>
      </c>
      <c r="AE75" s="0" t="s">
        <v>632</v>
      </c>
      <c r="AF75" s="0" t="s">
        <v>633</v>
      </c>
      <c r="AG75" s="0" t="s">
        <v>634</v>
      </c>
      <c r="AH75" s="0" t="s">
        <v>635</v>
      </c>
      <c r="AI75" s="0" t="s">
        <v>49</v>
      </c>
      <c r="AJ75" s="0" t="s">
        <v>49</v>
      </c>
      <c r="AK75" s="0" t="s">
        <v>49</v>
      </c>
      <c r="AL75" s="0" t="s">
        <v>49</v>
      </c>
    </row>
    <row r="76" customFormat="false" ht="15" hidden="false" customHeight="false" outlineLevel="0" collapsed="false">
      <c r="B76" s="0" t="str">
        <f aca="false">HYPERLINK("https://genome.ucsc.edu/cgi-bin/hgTracks?db=hg19&amp;position=chr1%3A229790151%2D229790151", "chr1:229790151")</f>
        <v>chr1:229790151</v>
      </c>
      <c r="C76" s="0" t="s">
        <v>167</v>
      </c>
      <c r="D76" s="0" t="n">
        <v>229790151</v>
      </c>
      <c r="E76" s="0" t="n">
        <v>229790151</v>
      </c>
      <c r="F76" s="0" t="s">
        <v>61</v>
      </c>
      <c r="G76" s="0" t="s">
        <v>60</v>
      </c>
      <c r="H76" s="0" t="s">
        <v>636</v>
      </c>
      <c r="I76" s="0" t="s">
        <v>637</v>
      </c>
      <c r="J76" s="0" t="s">
        <v>638</v>
      </c>
      <c r="K76" s="0" t="s">
        <v>49</v>
      </c>
      <c r="L76" s="0" t="str">
        <f aca="false">HYPERLINK("https://www.ncbi.nlm.nih.gov/snp/rs199621407", "rs199621407")</f>
        <v>rs199621407</v>
      </c>
      <c r="M76" s="0" t="str">
        <f aca="false">HYPERLINK("https://www.genecards.org/Search/Keyword?queryString=%5Baliases%5D(%20URB2%20)&amp;keywords=URB2", "URB2")</f>
        <v>URB2</v>
      </c>
      <c r="N76" s="0" t="s">
        <v>510</v>
      </c>
      <c r="O76" s="0" t="s">
        <v>49</v>
      </c>
      <c r="P76" s="0" t="s">
        <v>49</v>
      </c>
      <c r="Q76" s="0" t="n">
        <v>0.0055</v>
      </c>
      <c r="R76" s="0" t="n">
        <v>0.0036</v>
      </c>
      <c r="S76" s="0" t="n">
        <v>0.0029</v>
      </c>
      <c r="T76" s="0" t="n">
        <v>-1</v>
      </c>
      <c r="U76" s="0" t="n">
        <v>0.0049</v>
      </c>
      <c r="V76" s="0" t="s">
        <v>49</v>
      </c>
      <c r="W76" s="0" t="s">
        <v>49</v>
      </c>
      <c r="X76" s="0" t="s">
        <v>517</v>
      </c>
      <c r="Y76" s="0" t="s">
        <v>219</v>
      </c>
      <c r="Z76" s="0" t="s">
        <v>49</v>
      </c>
      <c r="AA76" s="0" t="s">
        <v>49</v>
      </c>
      <c r="AB76" s="0" t="s">
        <v>49</v>
      </c>
      <c r="AC76" s="0" t="s">
        <v>53</v>
      </c>
      <c r="AD76" s="0" t="s">
        <v>54</v>
      </c>
      <c r="AE76" s="0" t="s">
        <v>639</v>
      </c>
      <c r="AF76" s="0" t="s">
        <v>640</v>
      </c>
      <c r="AG76" s="0" t="s">
        <v>49</v>
      </c>
      <c r="AH76" s="0" t="s">
        <v>49</v>
      </c>
      <c r="AI76" s="0" t="s">
        <v>49</v>
      </c>
      <c r="AJ76" s="0" t="s">
        <v>49</v>
      </c>
      <c r="AK76" s="0" t="s">
        <v>49</v>
      </c>
      <c r="AL76" s="0" t="s">
        <v>49</v>
      </c>
    </row>
    <row r="77" customFormat="false" ht="15" hidden="false" customHeight="false" outlineLevel="0" collapsed="false">
      <c r="B77" s="0" t="str">
        <f aca="false">HYPERLINK("https://genome.ucsc.edu/cgi-bin/hgTracks?db=hg19&amp;position=chr1%3A231762819%2D231762819", "chr1:231762819")</f>
        <v>chr1:231762819</v>
      </c>
      <c r="C77" s="0" t="s">
        <v>167</v>
      </c>
      <c r="D77" s="0" t="n">
        <v>231762819</v>
      </c>
      <c r="E77" s="0" t="n">
        <v>231762819</v>
      </c>
      <c r="F77" s="0" t="s">
        <v>60</v>
      </c>
      <c r="G77" s="0" t="s">
        <v>40</v>
      </c>
      <c r="H77" s="0" t="s">
        <v>641</v>
      </c>
      <c r="I77" s="0" t="s">
        <v>265</v>
      </c>
      <c r="J77" s="0" t="s">
        <v>642</v>
      </c>
      <c r="K77" s="0" t="s">
        <v>49</v>
      </c>
      <c r="L77" s="0" t="str">
        <f aca="false">HYPERLINK("https://www.ncbi.nlm.nih.gov/snp/rs138310755", "rs138310755")</f>
        <v>rs138310755</v>
      </c>
      <c r="M77" s="0" t="str">
        <f aca="false">HYPERLINK("https://www.genecards.org/Search/Keyword?queryString=%5Baliases%5D(%20DISC1%20)%20OR%20%5Baliases%5D(%20TSNAX-DISC1%20)&amp;keywords=DISC1,TSNAX-DISC1", "DISC1;TSNAX-DISC1")</f>
        <v>DISC1;TSNAX-DISC1</v>
      </c>
      <c r="N77" s="0" t="s">
        <v>283</v>
      </c>
      <c r="O77" s="0" t="s">
        <v>49</v>
      </c>
      <c r="P77" s="0" t="s">
        <v>49</v>
      </c>
      <c r="Q77" s="0" t="n">
        <v>0.029307</v>
      </c>
      <c r="R77" s="0" t="n">
        <v>0.0224</v>
      </c>
      <c r="S77" s="0" t="n">
        <v>0.0225</v>
      </c>
      <c r="T77" s="0" t="n">
        <v>-1</v>
      </c>
      <c r="U77" s="0" t="n">
        <v>0.0244</v>
      </c>
      <c r="V77" s="0" t="s">
        <v>49</v>
      </c>
      <c r="W77" s="0" t="s">
        <v>49</v>
      </c>
      <c r="X77" s="0" t="s">
        <v>49</v>
      </c>
      <c r="Y77" s="0" t="s">
        <v>49</v>
      </c>
      <c r="Z77" s="0" t="s">
        <v>49</v>
      </c>
      <c r="AA77" s="0" t="s">
        <v>49</v>
      </c>
      <c r="AB77" s="0" t="s">
        <v>49</v>
      </c>
      <c r="AC77" s="0" t="s">
        <v>53</v>
      </c>
      <c r="AD77" s="0" t="s">
        <v>242</v>
      </c>
      <c r="AE77" s="0" t="s">
        <v>643</v>
      </c>
      <c r="AF77" s="0" t="s">
        <v>644</v>
      </c>
      <c r="AG77" s="0" t="s">
        <v>645</v>
      </c>
      <c r="AH77" s="0" t="s">
        <v>646</v>
      </c>
      <c r="AI77" s="0" t="s">
        <v>49</v>
      </c>
      <c r="AJ77" s="0" t="s">
        <v>49</v>
      </c>
      <c r="AK77" s="0" t="s">
        <v>49</v>
      </c>
      <c r="AL77" s="0" t="s">
        <v>49</v>
      </c>
    </row>
    <row r="78" customFormat="false" ht="15" hidden="false" customHeight="false" outlineLevel="0" collapsed="false">
      <c r="B78" s="0" t="str">
        <f aca="false">HYPERLINK("https://genome.ucsc.edu/cgi-bin/hgTracks?db=hg19&amp;position=chr1%3A231923123%2D231923124", "chr1:231923123")</f>
        <v>chr1:231923123</v>
      </c>
      <c r="C78" s="0" t="s">
        <v>167</v>
      </c>
      <c r="D78" s="0" t="n">
        <v>231923123</v>
      </c>
      <c r="E78" s="0" t="n">
        <v>231923124</v>
      </c>
      <c r="F78" s="0" t="s">
        <v>535</v>
      </c>
      <c r="G78" s="0" t="s">
        <v>190</v>
      </c>
      <c r="H78" s="0" t="s">
        <v>647</v>
      </c>
      <c r="I78" s="0" t="s">
        <v>370</v>
      </c>
      <c r="J78" s="0" t="s">
        <v>648</v>
      </c>
      <c r="K78" s="0" t="s">
        <v>49</v>
      </c>
      <c r="L78" s="0" t="str">
        <f aca="false">HYPERLINK("https://www.ncbi.nlm.nih.gov/snp/rs141021977", "rs141021977")</f>
        <v>rs141021977</v>
      </c>
      <c r="M78" s="0" t="str">
        <f aca="false">HYPERLINK("https://www.genecards.org/Search/Keyword?queryString=%5Baliases%5D(%20DISC1%20)%20OR%20%5Baliases%5D(%20TSNAX-DISC1%20)&amp;keywords=DISC1,TSNAX-DISC1", "DISC1;TSNAX-DISC1")</f>
        <v>DISC1;TSNAX-DISC1</v>
      </c>
      <c r="N78" s="0" t="s">
        <v>283</v>
      </c>
      <c r="O78" s="0" t="s">
        <v>49</v>
      </c>
      <c r="P78" s="0" t="s">
        <v>49</v>
      </c>
      <c r="Q78" s="0" t="n">
        <v>0.0035</v>
      </c>
      <c r="R78" s="0" t="n">
        <v>0.0002</v>
      </c>
      <c r="S78" s="0" t="n">
        <v>0.0003</v>
      </c>
      <c r="T78" s="0" t="n">
        <v>-1</v>
      </c>
      <c r="U78" s="0" t="n">
        <v>0.0004</v>
      </c>
      <c r="V78" s="0" t="s">
        <v>49</v>
      </c>
      <c r="W78" s="0" t="s">
        <v>49</v>
      </c>
      <c r="X78" s="0" t="s">
        <v>49</v>
      </c>
      <c r="Y78" s="0" t="s">
        <v>49</v>
      </c>
      <c r="Z78" s="0" t="s">
        <v>49</v>
      </c>
      <c r="AA78" s="0" t="s">
        <v>49</v>
      </c>
      <c r="AB78" s="0" t="s">
        <v>49</v>
      </c>
      <c r="AC78" s="0" t="s">
        <v>53</v>
      </c>
      <c r="AD78" s="0" t="s">
        <v>242</v>
      </c>
      <c r="AE78" s="0" t="s">
        <v>643</v>
      </c>
      <c r="AF78" s="0" t="s">
        <v>644</v>
      </c>
      <c r="AG78" s="0" t="s">
        <v>645</v>
      </c>
      <c r="AH78" s="0" t="s">
        <v>646</v>
      </c>
      <c r="AI78" s="0" t="s">
        <v>49</v>
      </c>
      <c r="AJ78" s="0" t="s">
        <v>49</v>
      </c>
      <c r="AK78" s="0" t="s">
        <v>49</v>
      </c>
      <c r="AL78" s="0" t="s">
        <v>49</v>
      </c>
    </row>
    <row r="79" customFormat="false" ht="15" hidden="false" customHeight="false" outlineLevel="0" collapsed="false">
      <c r="B79" s="0" t="str">
        <f aca="false">HYPERLINK("https://genome.ucsc.edu/cgi-bin/hgTracks?db=hg19&amp;position=chr1%3A238050369%2D238050369", "chr1:238050369")</f>
        <v>chr1:238050369</v>
      </c>
      <c r="C79" s="0" t="s">
        <v>167</v>
      </c>
      <c r="D79" s="0" t="n">
        <v>238050369</v>
      </c>
      <c r="E79" s="0" t="n">
        <v>238050369</v>
      </c>
      <c r="F79" s="0" t="s">
        <v>40</v>
      </c>
      <c r="G79" s="0" t="s">
        <v>39</v>
      </c>
      <c r="H79" s="0" t="s">
        <v>649</v>
      </c>
      <c r="I79" s="0" t="s">
        <v>289</v>
      </c>
      <c r="J79" s="0" t="s">
        <v>290</v>
      </c>
      <c r="K79" s="0" t="s">
        <v>49</v>
      </c>
      <c r="L79" s="0" t="str">
        <f aca="false">HYPERLINK("https://www.ncbi.nlm.nih.gov/snp/rs538867240", "rs538867240")</f>
        <v>rs538867240</v>
      </c>
      <c r="M79" s="0" t="str">
        <f aca="false">HYPERLINK("https://www.genecards.org/Search/Keyword?queryString=%5Baliases%5D(%20LOC100130331%20)&amp;keywords=LOC100130331", "LOC100130331")</f>
        <v>LOC100130331</v>
      </c>
      <c r="N79" s="0" t="s">
        <v>650</v>
      </c>
      <c r="O79" s="0" t="s">
        <v>49</v>
      </c>
      <c r="P79" s="0" t="s">
        <v>49</v>
      </c>
      <c r="Q79" s="0" t="n">
        <v>0.0073</v>
      </c>
      <c r="R79" s="0" t="n">
        <v>0.0095</v>
      </c>
      <c r="S79" s="0" t="n">
        <v>0.0071</v>
      </c>
      <c r="T79" s="0" t="n">
        <v>-1</v>
      </c>
      <c r="U79" s="0" t="n">
        <v>0.0154</v>
      </c>
      <c r="V79" s="0" t="s">
        <v>49</v>
      </c>
      <c r="W79" s="0" t="s">
        <v>49</v>
      </c>
      <c r="X79" s="0" t="s">
        <v>517</v>
      </c>
      <c r="Y79" s="0" t="s">
        <v>219</v>
      </c>
      <c r="Z79" s="0" t="s">
        <v>49</v>
      </c>
      <c r="AA79" s="0" t="s">
        <v>49</v>
      </c>
      <c r="AB79" s="0" t="s">
        <v>49</v>
      </c>
      <c r="AC79" s="0" t="s">
        <v>53</v>
      </c>
      <c r="AD79" s="0" t="s">
        <v>54</v>
      </c>
      <c r="AE79" s="0" t="s">
        <v>49</v>
      </c>
      <c r="AF79" s="0" t="s">
        <v>49</v>
      </c>
      <c r="AG79" s="0" t="s">
        <v>49</v>
      </c>
      <c r="AH79" s="0" t="s">
        <v>49</v>
      </c>
      <c r="AI79" s="0" t="s">
        <v>49</v>
      </c>
      <c r="AJ79" s="0" t="s">
        <v>49</v>
      </c>
      <c r="AK79" s="0" t="s">
        <v>49</v>
      </c>
      <c r="AL79" s="0" t="s">
        <v>49</v>
      </c>
    </row>
    <row r="80" customFormat="false" ht="15" hidden="false" customHeight="false" outlineLevel="0" collapsed="false">
      <c r="B80" s="0" t="str">
        <f aca="false">HYPERLINK("https://genome.ucsc.edu/cgi-bin/hgTracks?db=hg19&amp;position=chr1%3A242045374%2D242045374", "chr1:242045374")</f>
        <v>chr1:242045374</v>
      </c>
      <c r="C80" s="0" t="s">
        <v>167</v>
      </c>
      <c r="D80" s="0" t="n">
        <v>242045374</v>
      </c>
      <c r="E80" s="0" t="n">
        <v>242045374</v>
      </c>
      <c r="F80" s="0" t="s">
        <v>39</v>
      </c>
      <c r="G80" s="0" t="s">
        <v>60</v>
      </c>
      <c r="H80" s="0" t="s">
        <v>651</v>
      </c>
      <c r="I80" s="0" t="s">
        <v>652</v>
      </c>
      <c r="J80" s="0" t="s">
        <v>653</v>
      </c>
      <c r="K80" s="0" t="s">
        <v>49</v>
      </c>
      <c r="L80" s="0" t="str">
        <f aca="false">HYPERLINK("https://www.ncbi.nlm.nih.gov/snp/rs146476580", "rs146476580")</f>
        <v>rs146476580</v>
      </c>
      <c r="M80" s="0" t="str">
        <f aca="false">HYPERLINK("https://www.genecards.org/Search/Keyword?queryString=%5Baliases%5D(%20EXO1%20)&amp;keywords=EXO1", "EXO1")</f>
        <v>EXO1</v>
      </c>
      <c r="N80" s="0" t="s">
        <v>510</v>
      </c>
      <c r="O80" s="0" t="s">
        <v>49</v>
      </c>
      <c r="P80" s="0" t="s">
        <v>49</v>
      </c>
      <c r="Q80" s="0" t="n">
        <v>0.0086</v>
      </c>
      <c r="R80" s="0" t="n">
        <v>0.0088</v>
      </c>
      <c r="S80" s="0" t="n">
        <v>0.0077</v>
      </c>
      <c r="T80" s="0" t="n">
        <v>-1</v>
      </c>
      <c r="U80" s="0" t="n">
        <v>0.0078</v>
      </c>
      <c r="V80" s="0" t="s">
        <v>49</v>
      </c>
      <c r="W80" s="0" t="s">
        <v>49</v>
      </c>
      <c r="X80" s="0" t="s">
        <v>517</v>
      </c>
      <c r="Y80" s="0" t="s">
        <v>219</v>
      </c>
      <c r="Z80" s="0" t="s">
        <v>49</v>
      </c>
      <c r="AA80" s="0" t="s">
        <v>49</v>
      </c>
      <c r="AB80" s="0" t="s">
        <v>49</v>
      </c>
      <c r="AC80" s="0" t="s">
        <v>53</v>
      </c>
      <c r="AD80" s="0" t="s">
        <v>54</v>
      </c>
      <c r="AE80" s="0" t="s">
        <v>654</v>
      </c>
      <c r="AF80" s="0" t="s">
        <v>655</v>
      </c>
      <c r="AG80" s="0" t="s">
        <v>656</v>
      </c>
      <c r="AH80" s="0" t="s">
        <v>49</v>
      </c>
      <c r="AI80" s="0" t="s">
        <v>49</v>
      </c>
      <c r="AJ80" s="0" t="s">
        <v>49</v>
      </c>
      <c r="AK80" s="0" t="s">
        <v>49</v>
      </c>
      <c r="AL80" s="0" t="s">
        <v>49</v>
      </c>
    </row>
    <row r="81" customFormat="false" ht="15" hidden="false" customHeight="false" outlineLevel="0" collapsed="false">
      <c r="B81" s="0" t="str">
        <f aca="false">HYPERLINK("https://genome.ucsc.edu/cgi-bin/hgTracks?db=hg19&amp;position=chr1%3A243336206%2D243336206", "chr1:243336206")</f>
        <v>chr1:243336206</v>
      </c>
      <c r="C81" s="0" t="s">
        <v>167</v>
      </c>
      <c r="D81" s="0" t="n">
        <v>243336206</v>
      </c>
      <c r="E81" s="0" t="n">
        <v>243336206</v>
      </c>
      <c r="F81" s="0" t="s">
        <v>40</v>
      </c>
      <c r="G81" s="0" t="s">
        <v>39</v>
      </c>
      <c r="H81" s="0" t="s">
        <v>657</v>
      </c>
      <c r="I81" s="0" t="s">
        <v>527</v>
      </c>
      <c r="J81" s="0" t="s">
        <v>658</v>
      </c>
      <c r="K81" s="0" t="s">
        <v>49</v>
      </c>
      <c r="L81" s="0" t="str">
        <f aca="false">HYPERLINK("https://www.ncbi.nlm.nih.gov/snp/rs34240578", "rs34240578")</f>
        <v>rs34240578</v>
      </c>
      <c r="M81" s="0" t="str">
        <f aca="false">HYPERLINK("https://www.genecards.org/Search/Keyword?queryString=%5Baliases%5D(%20CEP170%20)&amp;keywords=CEP170", "CEP170")</f>
        <v>CEP170</v>
      </c>
      <c r="N81" s="0" t="s">
        <v>510</v>
      </c>
      <c r="O81" s="0" t="s">
        <v>49</v>
      </c>
      <c r="P81" s="0" t="s">
        <v>49</v>
      </c>
      <c r="Q81" s="0" t="n">
        <v>3.84E-005</v>
      </c>
      <c r="R81" s="0" t="n">
        <v>-1</v>
      </c>
      <c r="S81" s="0" t="n">
        <v>-1</v>
      </c>
      <c r="T81" s="0" t="n">
        <v>-1</v>
      </c>
      <c r="U81" s="0" t="n">
        <v>-1</v>
      </c>
      <c r="V81" s="0" t="s">
        <v>49</v>
      </c>
      <c r="W81" s="0" t="s">
        <v>49</v>
      </c>
      <c r="X81" s="0" t="s">
        <v>517</v>
      </c>
      <c r="Y81" s="0" t="s">
        <v>219</v>
      </c>
      <c r="Z81" s="0" t="s">
        <v>49</v>
      </c>
      <c r="AA81" s="0" t="s">
        <v>49</v>
      </c>
      <c r="AB81" s="0" t="s">
        <v>49</v>
      </c>
      <c r="AC81" s="0" t="s">
        <v>53</v>
      </c>
      <c r="AD81" s="0" t="s">
        <v>54</v>
      </c>
      <c r="AE81" s="0" t="s">
        <v>49</v>
      </c>
      <c r="AF81" s="0" t="s">
        <v>659</v>
      </c>
      <c r="AG81" s="0" t="s">
        <v>660</v>
      </c>
      <c r="AH81" s="0" t="s">
        <v>49</v>
      </c>
      <c r="AI81" s="0" t="s">
        <v>49</v>
      </c>
      <c r="AJ81" s="0" t="s">
        <v>49</v>
      </c>
      <c r="AK81" s="0" t="s">
        <v>49</v>
      </c>
      <c r="AL81" s="0" t="s">
        <v>120</v>
      </c>
    </row>
    <row r="82" customFormat="false" ht="15" hidden="false" customHeight="false" outlineLevel="0" collapsed="false">
      <c r="B82" s="0" t="str">
        <f aca="false">HYPERLINK("https://genome.ucsc.edu/cgi-bin/hgTracks?db=hg19&amp;position=chr1%3A247016298%2D247016298", "chr1:247016298")</f>
        <v>chr1:247016298</v>
      </c>
      <c r="C82" s="0" t="s">
        <v>167</v>
      </c>
      <c r="D82" s="0" t="n">
        <v>247016298</v>
      </c>
      <c r="E82" s="0" t="n">
        <v>247016298</v>
      </c>
      <c r="F82" s="0" t="s">
        <v>61</v>
      </c>
      <c r="G82" s="0" t="s">
        <v>39</v>
      </c>
      <c r="H82" s="0" t="s">
        <v>661</v>
      </c>
      <c r="I82" s="0" t="s">
        <v>227</v>
      </c>
      <c r="J82" s="0" t="s">
        <v>662</v>
      </c>
      <c r="K82" s="0" t="s">
        <v>49</v>
      </c>
      <c r="L82" s="0" t="str">
        <f aca="false">HYPERLINK("https://www.ncbi.nlm.nih.gov/snp/rs145616559", "rs145616559")</f>
        <v>rs145616559</v>
      </c>
      <c r="M82" s="0" t="str">
        <f aca="false">HYPERLINK("https://www.genecards.org/Search/Keyword?queryString=%5Baliases%5D(%20AHCTF1%20)&amp;keywords=AHCTF1", "AHCTF1")</f>
        <v>AHCTF1</v>
      </c>
      <c r="N82" s="0" t="s">
        <v>510</v>
      </c>
      <c r="O82" s="0" t="s">
        <v>49</v>
      </c>
      <c r="P82" s="0" t="s">
        <v>49</v>
      </c>
      <c r="Q82" s="0" t="n">
        <v>0.0083</v>
      </c>
      <c r="R82" s="0" t="n">
        <v>0.0079</v>
      </c>
      <c r="S82" s="0" t="n">
        <v>0.0085</v>
      </c>
      <c r="T82" s="0" t="n">
        <v>-1</v>
      </c>
      <c r="U82" s="0" t="n">
        <v>0.0078</v>
      </c>
      <c r="V82" s="0" t="s">
        <v>49</v>
      </c>
      <c r="W82" s="0" t="s">
        <v>49</v>
      </c>
      <c r="X82" s="0" t="s">
        <v>333</v>
      </c>
      <c r="Y82" s="0" t="s">
        <v>219</v>
      </c>
      <c r="Z82" s="0" t="s">
        <v>49</v>
      </c>
      <c r="AA82" s="0" t="s">
        <v>49</v>
      </c>
      <c r="AB82" s="0" t="s">
        <v>49</v>
      </c>
      <c r="AC82" s="0" t="s">
        <v>53</v>
      </c>
      <c r="AD82" s="0" t="s">
        <v>54</v>
      </c>
      <c r="AE82" s="0" t="s">
        <v>663</v>
      </c>
      <c r="AF82" s="0" t="s">
        <v>664</v>
      </c>
      <c r="AG82" s="0" t="s">
        <v>665</v>
      </c>
      <c r="AH82" s="0" t="s">
        <v>49</v>
      </c>
      <c r="AI82" s="0" t="s">
        <v>49</v>
      </c>
      <c r="AJ82" s="0" t="s">
        <v>49</v>
      </c>
      <c r="AK82" s="0" t="s">
        <v>49</v>
      </c>
      <c r="AL82" s="0" t="s">
        <v>49</v>
      </c>
    </row>
    <row r="83" s="2" customFormat="true" ht="15" hidden="false" customHeight="false" outlineLevel="0" collapsed="false">
      <c r="B83" s="2" t="str">
        <f aca="false">HYPERLINK("https://genome.ucsc.edu/cgi-bin/hgTracks?db=hg19&amp;position=chr1%3A247597334%2D247597334", "chr1:247597334")</f>
        <v>chr1:247597334</v>
      </c>
      <c r="C83" s="2" t="s">
        <v>167</v>
      </c>
      <c r="D83" s="2" t="n">
        <v>247597334</v>
      </c>
      <c r="E83" s="2" t="n">
        <v>247597334</v>
      </c>
      <c r="F83" s="2" t="s">
        <v>40</v>
      </c>
      <c r="G83" s="2" t="s">
        <v>60</v>
      </c>
      <c r="H83" s="2" t="s">
        <v>666</v>
      </c>
      <c r="I83" s="2" t="s">
        <v>314</v>
      </c>
      <c r="J83" s="2" t="s">
        <v>667</v>
      </c>
      <c r="K83" s="2" t="s">
        <v>49</v>
      </c>
      <c r="L83" s="2" t="str">
        <f aca="false">HYPERLINK("https://www.ncbi.nlm.nih.gov/snp/rs75201011", "rs75201011")</f>
        <v>rs75201011</v>
      </c>
      <c r="M83" s="2" t="str">
        <f aca="false">HYPERLINK("https://www.genecards.org/Search/Keyword?queryString=%5Baliases%5D(%20NLRP3%20)&amp;keywords=NLRP3", "NLRP3")</f>
        <v>NLRP3</v>
      </c>
      <c r="N83" s="2" t="s">
        <v>510</v>
      </c>
      <c r="O83" s="2" t="s">
        <v>49</v>
      </c>
      <c r="P83" s="2" t="s">
        <v>49</v>
      </c>
      <c r="Q83" s="2" t="n">
        <v>0.0258</v>
      </c>
      <c r="R83" s="2" t="n">
        <v>0.0266</v>
      </c>
      <c r="S83" s="2" t="n">
        <v>0.0258</v>
      </c>
      <c r="T83" s="2" t="n">
        <v>-1</v>
      </c>
      <c r="U83" s="2" t="n">
        <v>0.0271</v>
      </c>
      <c r="V83" s="2" t="s">
        <v>49</v>
      </c>
      <c r="W83" s="2" t="s">
        <v>49</v>
      </c>
      <c r="X83" s="2" t="s">
        <v>517</v>
      </c>
      <c r="Y83" s="2" t="s">
        <v>219</v>
      </c>
      <c r="Z83" s="2" t="s">
        <v>49</v>
      </c>
      <c r="AA83" s="2" t="s">
        <v>49</v>
      </c>
      <c r="AB83" s="2" t="s">
        <v>49</v>
      </c>
      <c r="AC83" s="2" t="s">
        <v>53</v>
      </c>
      <c r="AD83" s="2" t="s">
        <v>54</v>
      </c>
      <c r="AE83" s="2" t="s">
        <v>668</v>
      </c>
      <c r="AF83" s="2" t="s">
        <v>669</v>
      </c>
      <c r="AG83" s="2" t="s">
        <v>670</v>
      </c>
      <c r="AH83" s="2" t="s">
        <v>671</v>
      </c>
      <c r="AI83" s="2" t="s">
        <v>49</v>
      </c>
      <c r="AJ83" s="2" t="s">
        <v>49</v>
      </c>
      <c r="AK83" s="2" t="s">
        <v>49</v>
      </c>
      <c r="AL83" s="2" t="s">
        <v>49</v>
      </c>
    </row>
    <row r="84" customFormat="false" ht="15" hidden="false" customHeight="false" outlineLevel="0" collapsed="false">
      <c r="B84" s="0" t="str">
        <f aca="false">HYPERLINK("https://genome.ucsc.edu/cgi-bin/hgTracks?db=hg19&amp;position=chr10%3A3155776%2D3155776", "chr10:3155776")</f>
        <v>chr10:3155776</v>
      </c>
      <c r="C84" s="0" t="s">
        <v>189</v>
      </c>
      <c r="D84" s="0" t="n">
        <v>3155776</v>
      </c>
      <c r="E84" s="0" t="n">
        <v>3155776</v>
      </c>
      <c r="F84" s="0" t="s">
        <v>60</v>
      </c>
      <c r="G84" s="0" t="s">
        <v>61</v>
      </c>
      <c r="H84" s="0" t="s">
        <v>672</v>
      </c>
      <c r="I84" s="0" t="s">
        <v>673</v>
      </c>
      <c r="J84" s="0" t="s">
        <v>674</v>
      </c>
      <c r="K84" s="0" t="s">
        <v>49</v>
      </c>
      <c r="L84" s="0" t="str">
        <f aca="false">HYPERLINK("https://www.ncbi.nlm.nih.gov/snp/rs188124319", "rs188124319")</f>
        <v>rs188124319</v>
      </c>
      <c r="M84" s="0" t="str">
        <f aca="false">HYPERLINK("https://www.genecards.org/Search/Keyword?queryString=%5Baliases%5D(%20PFKP%20)&amp;keywords=PFKP", "PFKP")</f>
        <v>PFKP</v>
      </c>
      <c r="N84" s="0" t="s">
        <v>510</v>
      </c>
      <c r="O84" s="0" t="s">
        <v>49</v>
      </c>
      <c r="P84" s="0" t="s">
        <v>49</v>
      </c>
      <c r="Q84" s="0" t="n">
        <v>0.0292</v>
      </c>
      <c r="R84" s="0" t="n">
        <v>0.0302</v>
      </c>
      <c r="S84" s="0" t="n">
        <v>0.0299</v>
      </c>
      <c r="T84" s="0" t="n">
        <v>-1</v>
      </c>
      <c r="U84" s="0" t="n">
        <v>0.0367</v>
      </c>
      <c r="V84" s="0" t="s">
        <v>49</v>
      </c>
      <c r="W84" s="0" t="s">
        <v>49</v>
      </c>
      <c r="X84" s="0" t="s">
        <v>333</v>
      </c>
      <c r="Y84" s="0" t="s">
        <v>219</v>
      </c>
      <c r="Z84" s="0" t="s">
        <v>49</v>
      </c>
      <c r="AA84" s="0" t="s">
        <v>49</v>
      </c>
      <c r="AB84" s="0" t="s">
        <v>49</v>
      </c>
      <c r="AC84" s="0" t="s">
        <v>53</v>
      </c>
      <c r="AD84" s="0" t="s">
        <v>54</v>
      </c>
      <c r="AE84" s="0" t="s">
        <v>675</v>
      </c>
      <c r="AF84" s="0" t="s">
        <v>676</v>
      </c>
      <c r="AG84" s="0" t="s">
        <v>677</v>
      </c>
      <c r="AH84" s="0" t="s">
        <v>49</v>
      </c>
      <c r="AI84" s="0" t="s">
        <v>49</v>
      </c>
      <c r="AJ84" s="0" t="s">
        <v>49</v>
      </c>
      <c r="AK84" s="0" t="s">
        <v>49</v>
      </c>
      <c r="AL84" s="0" t="s">
        <v>49</v>
      </c>
    </row>
    <row r="85" customFormat="false" ht="15" hidden="false" customHeight="false" outlineLevel="0" collapsed="false">
      <c r="B85" s="0" t="str">
        <f aca="false">HYPERLINK("https://genome.ucsc.edu/cgi-bin/hgTracks?db=hg19&amp;position=chr10%3A11797608%2D11797608", "chr10:11797608")</f>
        <v>chr10:11797608</v>
      </c>
      <c r="C85" s="0" t="s">
        <v>189</v>
      </c>
      <c r="D85" s="0" t="n">
        <v>11797608</v>
      </c>
      <c r="E85" s="0" t="n">
        <v>11797608</v>
      </c>
      <c r="F85" s="0" t="s">
        <v>60</v>
      </c>
      <c r="G85" s="0" t="s">
        <v>61</v>
      </c>
      <c r="H85" s="0" t="s">
        <v>678</v>
      </c>
      <c r="I85" s="0" t="s">
        <v>248</v>
      </c>
      <c r="J85" s="0" t="s">
        <v>679</v>
      </c>
      <c r="K85" s="0" t="s">
        <v>49</v>
      </c>
      <c r="L85" s="0" t="str">
        <f aca="false">HYPERLINK("https://www.ncbi.nlm.nih.gov/snp/rs200347426", "rs200347426")</f>
        <v>rs200347426</v>
      </c>
      <c r="M85" s="0" t="str">
        <f aca="false">HYPERLINK("https://www.genecards.org/Search/Keyword?queryString=%5Baliases%5D(%20ECHDC3%20)&amp;keywords=ECHDC3", "ECHDC3")</f>
        <v>ECHDC3</v>
      </c>
      <c r="N85" s="0" t="s">
        <v>196</v>
      </c>
      <c r="O85" s="0" t="s">
        <v>49</v>
      </c>
      <c r="P85" s="0" t="s">
        <v>680</v>
      </c>
      <c r="Q85" s="0" t="n">
        <v>0.0031</v>
      </c>
      <c r="R85" s="0" t="n">
        <v>9.02E-005</v>
      </c>
      <c r="S85" s="0" t="n">
        <v>-1</v>
      </c>
      <c r="T85" s="0" t="n">
        <v>-1</v>
      </c>
      <c r="U85" s="0" t="n">
        <v>-1</v>
      </c>
      <c r="V85" s="0" t="s">
        <v>364</v>
      </c>
      <c r="W85" s="0" t="s">
        <v>333</v>
      </c>
      <c r="X85" s="0" t="s">
        <v>333</v>
      </c>
      <c r="Y85" s="0" t="s">
        <v>390</v>
      </c>
      <c r="Z85" s="0" t="s">
        <v>78</v>
      </c>
      <c r="AA85" s="0" t="s">
        <v>49</v>
      </c>
      <c r="AB85" s="0" t="s">
        <v>49</v>
      </c>
      <c r="AC85" s="0" t="s">
        <v>53</v>
      </c>
      <c r="AD85" s="0" t="s">
        <v>54</v>
      </c>
      <c r="AE85" s="0" t="s">
        <v>681</v>
      </c>
      <c r="AF85" s="0" t="s">
        <v>682</v>
      </c>
      <c r="AG85" s="0" t="s">
        <v>49</v>
      </c>
      <c r="AH85" s="0" t="s">
        <v>49</v>
      </c>
      <c r="AI85" s="0" t="s">
        <v>49</v>
      </c>
      <c r="AJ85" s="0" t="s">
        <v>49</v>
      </c>
      <c r="AK85" s="0" t="s">
        <v>49</v>
      </c>
      <c r="AL85" s="0" t="s">
        <v>49</v>
      </c>
    </row>
    <row r="86" customFormat="false" ht="15" hidden="false" customHeight="false" outlineLevel="0" collapsed="false">
      <c r="B86" s="0" t="str">
        <f aca="false">HYPERLINK("https://genome.ucsc.edu/cgi-bin/hgTracks?db=hg19&amp;position=chr10%3A15041595%2D15041595", "chr10:15041595")</f>
        <v>chr10:15041595</v>
      </c>
      <c r="C86" s="0" t="s">
        <v>189</v>
      </c>
      <c r="D86" s="0" t="n">
        <v>15041595</v>
      </c>
      <c r="E86" s="0" t="n">
        <v>15041595</v>
      </c>
      <c r="F86" s="0" t="s">
        <v>190</v>
      </c>
      <c r="G86" s="0" t="s">
        <v>597</v>
      </c>
      <c r="H86" s="0" t="s">
        <v>683</v>
      </c>
      <c r="I86" s="0" t="s">
        <v>314</v>
      </c>
      <c r="J86" s="0" t="s">
        <v>684</v>
      </c>
      <c r="K86" s="0" t="s">
        <v>49</v>
      </c>
      <c r="L86" s="0" t="s">
        <v>49</v>
      </c>
      <c r="M86" s="0" t="str">
        <f aca="false">HYPERLINK("https://www.genecards.org/Search/Keyword?queryString=%5Baliases%5D(%20DCLRE1C%20)&amp;keywords=DCLRE1C", "DCLRE1C")</f>
        <v>DCLRE1C</v>
      </c>
      <c r="N86" s="0" t="s">
        <v>685</v>
      </c>
      <c r="O86" s="0" t="s">
        <v>49</v>
      </c>
      <c r="P86" s="0" t="s">
        <v>686</v>
      </c>
      <c r="Q86" s="0" t="n">
        <v>0.0137</v>
      </c>
      <c r="R86" s="0" t="n">
        <v>0.0137</v>
      </c>
      <c r="S86" s="0" t="n">
        <v>0.0105</v>
      </c>
      <c r="T86" s="0" t="n">
        <v>-1</v>
      </c>
      <c r="U86" s="0" t="n">
        <v>0.0103</v>
      </c>
      <c r="V86" s="0" t="s">
        <v>49</v>
      </c>
      <c r="W86" s="0" t="s">
        <v>49</v>
      </c>
      <c r="X86" s="0" t="s">
        <v>49</v>
      </c>
      <c r="Y86" s="0" t="s">
        <v>49</v>
      </c>
      <c r="Z86" s="0" t="s">
        <v>49</v>
      </c>
      <c r="AA86" s="0" t="s">
        <v>49</v>
      </c>
      <c r="AB86" s="0" t="s">
        <v>49</v>
      </c>
      <c r="AC86" s="0" t="s">
        <v>231</v>
      </c>
      <c r="AD86" s="0" t="s">
        <v>469</v>
      </c>
      <c r="AE86" s="0" t="s">
        <v>687</v>
      </c>
      <c r="AF86" s="0" t="s">
        <v>688</v>
      </c>
      <c r="AG86" s="0" t="s">
        <v>689</v>
      </c>
      <c r="AH86" s="0" t="s">
        <v>690</v>
      </c>
      <c r="AI86" s="0" t="s">
        <v>49</v>
      </c>
      <c r="AJ86" s="0" t="s">
        <v>49</v>
      </c>
      <c r="AK86" s="0" t="s">
        <v>49</v>
      </c>
      <c r="AL86" s="0" t="s">
        <v>49</v>
      </c>
    </row>
    <row r="87" customFormat="false" ht="15" hidden="false" customHeight="false" outlineLevel="0" collapsed="false">
      <c r="B87" s="0" t="str">
        <f aca="false">HYPERLINK("https://genome.ucsc.edu/cgi-bin/hgTracks?db=hg19&amp;position=chr10%3A15058863%2D15058865", "chr10:15058863")</f>
        <v>chr10:15058863</v>
      </c>
      <c r="C87" s="0" t="s">
        <v>189</v>
      </c>
      <c r="D87" s="0" t="n">
        <v>15058863</v>
      </c>
      <c r="E87" s="0" t="n">
        <v>15058865</v>
      </c>
      <c r="F87" s="0" t="s">
        <v>691</v>
      </c>
      <c r="G87" s="0" t="s">
        <v>190</v>
      </c>
      <c r="H87" s="0" t="s">
        <v>692</v>
      </c>
      <c r="I87" s="0" t="s">
        <v>693</v>
      </c>
      <c r="J87" s="0" t="s">
        <v>694</v>
      </c>
      <c r="K87" s="0" t="s">
        <v>49</v>
      </c>
      <c r="L87" s="0" t="str">
        <f aca="false">HYPERLINK("https://www.ncbi.nlm.nih.gov/snp/rs752084087", "rs752084087")</f>
        <v>rs752084087</v>
      </c>
      <c r="M87" s="0" t="str">
        <f aca="false">HYPERLINK("https://www.genecards.org/Search/Keyword?queryString=%5Baliases%5D(%20ACBD7%20)%20OR%20%5Baliases%5D(%20ACBD7-DCLRE1CP1%20)%20OR%20%5Baliases%5D(%20DCLRE1C%20)%20OR%20%5Baliases%5D(%20DCLRE1CP1%20)&amp;keywords=ACBD7,ACBD7-DCLRE1CP1,DCLRE1C,DCLRE1CP1", "ACBD7;ACBD7-DCLRE1CP1;DCLRE1C;DCLRE1CP1")</f>
        <v>ACBD7;ACBD7-DCLRE1CP1;DCLRE1C;DCLRE1CP1</v>
      </c>
      <c r="N87" s="0" t="s">
        <v>283</v>
      </c>
      <c r="O87" s="0" t="s">
        <v>49</v>
      </c>
      <c r="P87" s="0" t="s">
        <v>49</v>
      </c>
      <c r="Q87" s="0" t="n">
        <v>0.0131111</v>
      </c>
      <c r="R87" s="0" t="n">
        <v>-1</v>
      </c>
      <c r="S87" s="0" t="n">
        <v>-1</v>
      </c>
      <c r="T87" s="0" t="n">
        <v>-1</v>
      </c>
      <c r="U87" s="0" t="n">
        <v>-1</v>
      </c>
      <c r="V87" s="0" t="s">
        <v>49</v>
      </c>
      <c r="W87" s="0" t="s">
        <v>49</v>
      </c>
      <c r="X87" s="0" t="s">
        <v>49</v>
      </c>
      <c r="Y87" s="0" t="s">
        <v>49</v>
      </c>
      <c r="Z87" s="0" t="s">
        <v>49</v>
      </c>
      <c r="AA87" s="0" t="s">
        <v>49</v>
      </c>
      <c r="AB87" s="0" t="s">
        <v>49</v>
      </c>
      <c r="AC87" s="0" t="s">
        <v>231</v>
      </c>
      <c r="AD87" s="0" t="s">
        <v>695</v>
      </c>
      <c r="AE87" s="0" t="s">
        <v>696</v>
      </c>
      <c r="AF87" s="0" t="s">
        <v>697</v>
      </c>
      <c r="AG87" s="0" t="s">
        <v>698</v>
      </c>
      <c r="AH87" s="0" t="s">
        <v>690</v>
      </c>
      <c r="AI87" s="0" t="s">
        <v>49</v>
      </c>
      <c r="AJ87" s="0" t="s">
        <v>49</v>
      </c>
      <c r="AK87" s="0" t="s">
        <v>49</v>
      </c>
      <c r="AL87" s="0" t="s">
        <v>49</v>
      </c>
    </row>
    <row r="88" customFormat="false" ht="15" hidden="false" customHeight="false" outlineLevel="0" collapsed="false">
      <c r="B88" s="0" t="str">
        <f aca="false">HYPERLINK("https://genome.ucsc.edu/cgi-bin/hgTracks?db=hg19&amp;position=chr10%3A15058864%2D15058865", "chr10:15058864")</f>
        <v>chr10:15058864</v>
      </c>
      <c r="C88" s="0" t="s">
        <v>189</v>
      </c>
      <c r="D88" s="0" t="n">
        <v>15058864</v>
      </c>
      <c r="E88" s="0" t="n">
        <v>15058865</v>
      </c>
      <c r="F88" s="0" t="s">
        <v>597</v>
      </c>
      <c r="G88" s="0" t="s">
        <v>190</v>
      </c>
      <c r="H88" s="0" t="s">
        <v>692</v>
      </c>
      <c r="I88" s="0" t="s">
        <v>693</v>
      </c>
      <c r="J88" s="0" t="s">
        <v>694</v>
      </c>
      <c r="K88" s="0" t="s">
        <v>49</v>
      </c>
      <c r="L88" s="0" t="s">
        <v>49</v>
      </c>
      <c r="M88" s="0" t="str">
        <f aca="false">HYPERLINK("https://www.genecards.org/Search/Keyword?queryString=%5Baliases%5D(%20ACBD7%20)%20OR%20%5Baliases%5D(%20ACBD7-DCLRE1CP1%20)%20OR%20%5Baliases%5D(%20DCLRE1C%20)%20OR%20%5Baliases%5D(%20DCLRE1CP1%20)&amp;keywords=ACBD7,ACBD7-DCLRE1CP1,DCLRE1C,DCLRE1CP1", "ACBD7;ACBD7-DCLRE1CP1;DCLRE1C;DCLRE1CP1")</f>
        <v>ACBD7;ACBD7-DCLRE1CP1;DCLRE1C;DCLRE1CP1</v>
      </c>
      <c r="N88" s="0" t="s">
        <v>283</v>
      </c>
      <c r="O88" s="0" t="s">
        <v>49</v>
      </c>
      <c r="P88" s="0" t="s">
        <v>49</v>
      </c>
      <c r="Q88" s="0" t="n">
        <v>-1</v>
      </c>
      <c r="R88" s="0" t="n">
        <v>-1</v>
      </c>
      <c r="S88" s="0" t="n">
        <v>-1</v>
      </c>
      <c r="T88" s="0" t="n">
        <v>-1</v>
      </c>
      <c r="U88" s="0" t="n">
        <v>-1</v>
      </c>
      <c r="V88" s="0" t="s">
        <v>49</v>
      </c>
      <c r="W88" s="0" t="s">
        <v>49</v>
      </c>
      <c r="X88" s="0" t="s">
        <v>49</v>
      </c>
      <c r="Y88" s="0" t="s">
        <v>49</v>
      </c>
      <c r="Z88" s="0" t="s">
        <v>49</v>
      </c>
      <c r="AA88" s="0" t="s">
        <v>49</v>
      </c>
      <c r="AB88" s="0" t="s">
        <v>49</v>
      </c>
      <c r="AC88" s="0" t="s">
        <v>231</v>
      </c>
      <c r="AD88" s="0" t="s">
        <v>695</v>
      </c>
      <c r="AE88" s="0" t="s">
        <v>696</v>
      </c>
      <c r="AF88" s="0" t="s">
        <v>697</v>
      </c>
      <c r="AG88" s="0" t="s">
        <v>698</v>
      </c>
      <c r="AH88" s="0" t="s">
        <v>690</v>
      </c>
      <c r="AI88" s="0" t="s">
        <v>49</v>
      </c>
      <c r="AJ88" s="0" t="s">
        <v>49</v>
      </c>
      <c r="AK88" s="0" t="s">
        <v>49</v>
      </c>
      <c r="AL88" s="0" t="s">
        <v>49</v>
      </c>
    </row>
    <row r="89" customFormat="false" ht="15" hidden="false" customHeight="false" outlineLevel="0" collapsed="false">
      <c r="B89" s="0" t="str">
        <f aca="false">HYPERLINK("https://genome.ucsc.edu/cgi-bin/hgTracks?db=hg19&amp;position=chr10%3A15059981%2D15059993", "chr10:15059981")</f>
        <v>chr10:15059981</v>
      </c>
      <c r="C89" s="0" t="s">
        <v>189</v>
      </c>
      <c r="D89" s="0" t="n">
        <v>15059981</v>
      </c>
      <c r="E89" s="0" t="n">
        <v>15059993</v>
      </c>
      <c r="F89" s="0" t="s">
        <v>699</v>
      </c>
      <c r="G89" s="0" t="s">
        <v>190</v>
      </c>
      <c r="H89" s="0" t="s">
        <v>700</v>
      </c>
      <c r="I89" s="0" t="s">
        <v>701</v>
      </c>
      <c r="J89" s="0" t="s">
        <v>702</v>
      </c>
      <c r="K89" s="0" t="s">
        <v>49</v>
      </c>
      <c r="L89" s="0" t="s">
        <v>49</v>
      </c>
      <c r="M89" s="0" t="str">
        <f aca="false">HYPERLINK("https://www.genecards.org/Search/Keyword?queryString=%5Baliases%5D(%20ACBD7%20)%20OR%20%5Baliases%5D(%20ACBD7-DCLRE1CP1%20)%20OR%20%5Baliases%5D(%20DCLRE1C%20)%20OR%20%5Baliases%5D(%20DCLRE1CP1%20)&amp;keywords=ACBD7,ACBD7-DCLRE1CP1,DCLRE1C,DCLRE1CP1", "ACBD7;ACBD7-DCLRE1CP1;DCLRE1C;DCLRE1CP1")</f>
        <v>ACBD7;ACBD7-DCLRE1CP1;DCLRE1C;DCLRE1CP1</v>
      </c>
      <c r="N89" s="0" t="s">
        <v>283</v>
      </c>
      <c r="O89" s="0" t="s">
        <v>49</v>
      </c>
      <c r="P89" s="0" t="s">
        <v>49</v>
      </c>
      <c r="Q89" s="0" t="n">
        <v>0.0018</v>
      </c>
      <c r="R89" s="0" t="n">
        <v>0.0019</v>
      </c>
      <c r="S89" s="0" t="n">
        <v>0.0016</v>
      </c>
      <c r="T89" s="0" t="n">
        <v>-1</v>
      </c>
      <c r="U89" s="0" t="n">
        <v>0.0027</v>
      </c>
      <c r="V89" s="0" t="s">
        <v>49</v>
      </c>
      <c r="W89" s="0" t="s">
        <v>49</v>
      </c>
      <c r="X89" s="0" t="s">
        <v>49</v>
      </c>
      <c r="Y89" s="0" t="s">
        <v>49</v>
      </c>
      <c r="Z89" s="0" t="s">
        <v>49</v>
      </c>
      <c r="AA89" s="0" t="s">
        <v>49</v>
      </c>
      <c r="AB89" s="0" t="s">
        <v>49</v>
      </c>
      <c r="AC89" s="0" t="s">
        <v>53</v>
      </c>
      <c r="AD89" s="0" t="s">
        <v>695</v>
      </c>
      <c r="AE89" s="0" t="s">
        <v>696</v>
      </c>
      <c r="AF89" s="0" t="s">
        <v>697</v>
      </c>
      <c r="AG89" s="0" t="s">
        <v>698</v>
      </c>
      <c r="AH89" s="0" t="s">
        <v>690</v>
      </c>
      <c r="AI89" s="0" t="s">
        <v>49</v>
      </c>
      <c r="AJ89" s="0" t="s">
        <v>49</v>
      </c>
      <c r="AK89" s="0" t="s">
        <v>49</v>
      </c>
      <c r="AL89" s="0" t="s">
        <v>49</v>
      </c>
    </row>
    <row r="90" customFormat="false" ht="15" hidden="false" customHeight="false" outlineLevel="0" collapsed="false">
      <c r="B90" s="0" t="str">
        <f aca="false">HYPERLINK("https://genome.ucsc.edu/cgi-bin/hgTracks?db=hg19&amp;position=chr10%3A18803852%2D18803852", "chr10:18803852")</f>
        <v>chr10:18803852</v>
      </c>
      <c r="C90" s="0" t="s">
        <v>189</v>
      </c>
      <c r="D90" s="0" t="n">
        <v>18803852</v>
      </c>
      <c r="E90" s="0" t="n">
        <v>18803852</v>
      </c>
      <c r="F90" s="0" t="s">
        <v>61</v>
      </c>
      <c r="G90" s="0" t="s">
        <v>190</v>
      </c>
      <c r="H90" s="0" t="s">
        <v>703</v>
      </c>
      <c r="I90" s="0" t="s">
        <v>306</v>
      </c>
      <c r="J90" s="0" t="s">
        <v>704</v>
      </c>
      <c r="K90" s="0" t="s">
        <v>49</v>
      </c>
      <c r="L90" s="0" t="s">
        <v>49</v>
      </c>
      <c r="M90" s="0" t="str">
        <f aca="false">HYPERLINK("https://www.genecards.org/Search/Keyword?queryString=%5Baliases%5D(%20CACNB2%20)%20OR%20%5Baliases%5D(%20U80764%20)&amp;keywords=CACNB2,U80764", "CACNB2;U80764")</f>
        <v>CACNB2;U80764</v>
      </c>
      <c r="N90" s="0" t="s">
        <v>283</v>
      </c>
      <c r="O90" s="0" t="s">
        <v>49</v>
      </c>
      <c r="P90" s="0" t="s">
        <v>49</v>
      </c>
      <c r="Q90" s="0" t="n">
        <v>0.010673</v>
      </c>
      <c r="R90" s="0" t="n">
        <v>0.0015</v>
      </c>
      <c r="S90" s="0" t="n">
        <v>0.002</v>
      </c>
      <c r="T90" s="0" t="n">
        <v>-1</v>
      </c>
      <c r="U90" s="0" t="n">
        <v>0.0054</v>
      </c>
      <c r="V90" s="0" t="s">
        <v>49</v>
      </c>
      <c r="W90" s="0" t="s">
        <v>49</v>
      </c>
      <c r="X90" s="0" t="s">
        <v>49</v>
      </c>
      <c r="Y90" s="0" t="s">
        <v>49</v>
      </c>
      <c r="Z90" s="0" t="s">
        <v>49</v>
      </c>
      <c r="AA90" s="0" t="s">
        <v>49</v>
      </c>
      <c r="AB90" s="0" t="s">
        <v>49</v>
      </c>
      <c r="AC90" s="0" t="s">
        <v>53</v>
      </c>
      <c r="AD90" s="0" t="s">
        <v>242</v>
      </c>
      <c r="AE90" s="0" t="s">
        <v>705</v>
      </c>
      <c r="AF90" s="0" t="s">
        <v>706</v>
      </c>
      <c r="AG90" s="0" t="s">
        <v>707</v>
      </c>
      <c r="AH90" s="0" t="s">
        <v>708</v>
      </c>
      <c r="AI90" s="0" t="s">
        <v>49</v>
      </c>
      <c r="AJ90" s="0" t="s">
        <v>49</v>
      </c>
      <c r="AK90" s="0" t="s">
        <v>49</v>
      </c>
      <c r="AL90" s="0" t="s">
        <v>49</v>
      </c>
    </row>
    <row r="91" customFormat="false" ht="15" hidden="false" customHeight="false" outlineLevel="0" collapsed="false">
      <c r="B91" s="0" t="str">
        <f aca="false">HYPERLINK("https://genome.ucsc.edu/cgi-bin/hgTracks?db=hg19&amp;position=chr10%3A18828670%2D18828670", "chr10:18828670")</f>
        <v>chr10:18828670</v>
      </c>
      <c r="C91" s="0" t="s">
        <v>189</v>
      </c>
      <c r="D91" s="0" t="n">
        <v>18828670</v>
      </c>
      <c r="E91" s="0" t="n">
        <v>18828670</v>
      </c>
      <c r="F91" s="0" t="s">
        <v>40</v>
      </c>
      <c r="G91" s="0" t="s">
        <v>709</v>
      </c>
      <c r="H91" s="0" t="s">
        <v>710</v>
      </c>
      <c r="I91" s="0" t="s">
        <v>711</v>
      </c>
      <c r="J91" s="0" t="s">
        <v>712</v>
      </c>
      <c r="K91" s="0" t="s">
        <v>49</v>
      </c>
      <c r="L91" s="0" t="s">
        <v>49</v>
      </c>
      <c r="M91" s="0" t="str">
        <f aca="false">HYPERLINK("https://www.genecards.org/Search/Keyword?queryString=%5Baliases%5D(%20CACNB2%20)%20OR%20%5Baliases%5D(%20U80764%20)&amp;keywords=CACNB2,U80764", "CACNB2;U80764")</f>
        <v>CACNB2;U80764</v>
      </c>
      <c r="N91" s="0" t="s">
        <v>229</v>
      </c>
      <c r="O91" s="0" t="s">
        <v>49</v>
      </c>
      <c r="P91" s="0" t="s">
        <v>713</v>
      </c>
      <c r="Q91" s="0" t="n">
        <v>-1</v>
      </c>
      <c r="R91" s="0" t="n">
        <v>-1</v>
      </c>
      <c r="S91" s="0" t="n">
        <v>-1</v>
      </c>
      <c r="T91" s="0" t="n">
        <v>-1</v>
      </c>
      <c r="U91" s="0" t="n">
        <v>-1</v>
      </c>
      <c r="V91" s="0" t="s">
        <v>49</v>
      </c>
      <c r="W91" s="0" t="s">
        <v>49</v>
      </c>
      <c r="X91" s="0" t="s">
        <v>49</v>
      </c>
      <c r="Y91" s="0" t="s">
        <v>49</v>
      </c>
      <c r="Z91" s="0" t="s">
        <v>49</v>
      </c>
      <c r="AA91" s="0" t="s">
        <v>49</v>
      </c>
      <c r="AB91" s="0" t="s">
        <v>49</v>
      </c>
      <c r="AC91" s="0" t="s">
        <v>231</v>
      </c>
      <c r="AD91" s="0" t="s">
        <v>242</v>
      </c>
      <c r="AE91" s="0" t="s">
        <v>705</v>
      </c>
      <c r="AF91" s="0" t="s">
        <v>706</v>
      </c>
      <c r="AG91" s="0" t="s">
        <v>707</v>
      </c>
      <c r="AH91" s="0" t="s">
        <v>708</v>
      </c>
      <c r="AI91" s="0" t="s">
        <v>49</v>
      </c>
      <c r="AJ91" s="0" t="s">
        <v>49</v>
      </c>
      <c r="AK91" s="0" t="s">
        <v>49</v>
      </c>
      <c r="AL91" s="0" t="s">
        <v>49</v>
      </c>
    </row>
    <row r="92" customFormat="false" ht="15" hidden="false" customHeight="false" outlineLevel="0" collapsed="false">
      <c r="B92" s="0" t="str">
        <f aca="false">HYPERLINK("https://genome.ucsc.edu/cgi-bin/hgTracks?db=hg19&amp;position=chr10%3A27454316%2D27454316", "chr10:27454316")</f>
        <v>chr10:27454316</v>
      </c>
      <c r="C92" s="0" t="s">
        <v>189</v>
      </c>
      <c r="D92" s="0" t="n">
        <v>27454316</v>
      </c>
      <c r="E92" s="0" t="n">
        <v>27454316</v>
      </c>
      <c r="F92" s="0" t="s">
        <v>61</v>
      </c>
      <c r="G92" s="0" t="s">
        <v>60</v>
      </c>
      <c r="H92" s="0" t="s">
        <v>714</v>
      </c>
      <c r="I92" s="0" t="s">
        <v>715</v>
      </c>
      <c r="J92" s="0" t="s">
        <v>716</v>
      </c>
      <c r="K92" s="0" t="s">
        <v>49</v>
      </c>
      <c r="L92" s="0" t="str">
        <f aca="false">HYPERLINK("https://www.ncbi.nlm.nih.gov/snp/rs138817090", "rs138817090")</f>
        <v>rs138817090</v>
      </c>
      <c r="M92" s="0" t="str">
        <f aca="false">HYPERLINK("https://www.genecards.org/Search/Keyword?queryString=%5Baliases%5D(%20MASTL%20)&amp;keywords=MASTL", "MASTL")</f>
        <v>MASTL</v>
      </c>
      <c r="N92" s="0" t="s">
        <v>196</v>
      </c>
      <c r="O92" s="0" t="s">
        <v>49</v>
      </c>
      <c r="P92" s="0" t="s">
        <v>717</v>
      </c>
      <c r="Q92" s="0" t="n">
        <v>0.0017</v>
      </c>
      <c r="R92" s="0" t="n">
        <v>-1</v>
      </c>
      <c r="S92" s="0" t="n">
        <v>-1</v>
      </c>
      <c r="T92" s="0" t="n">
        <v>-1</v>
      </c>
      <c r="U92" s="0" t="n">
        <v>-1</v>
      </c>
      <c r="V92" s="0" t="s">
        <v>364</v>
      </c>
      <c r="W92" s="0" t="s">
        <v>333</v>
      </c>
      <c r="X92" s="0" t="s">
        <v>333</v>
      </c>
      <c r="Y92" s="0" t="s">
        <v>390</v>
      </c>
      <c r="Z92" s="0" t="s">
        <v>356</v>
      </c>
      <c r="AA92" s="0" t="s">
        <v>49</v>
      </c>
      <c r="AB92" s="0" t="s">
        <v>49</v>
      </c>
      <c r="AC92" s="0" t="s">
        <v>53</v>
      </c>
      <c r="AD92" s="0" t="s">
        <v>54</v>
      </c>
      <c r="AE92" s="0" t="s">
        <v>718</v>
      </c>
      <c r="AF92" s="0" t="s">
        <v>719</v>
      </c>
      <c r="AG92" s="0" t="s">
        <v>720</v>
      </c>
      <c r="AH92" s="0" t="s">
        <v>721</v>
      </c>
      <c r="AI92" s="0" t="s">
        <v>49</v>
      </c>
      <c r="AJ92" s="0" t="s">
        <v>49</v>
      </c>
      <c r="AK92" s="0" t="s">
        <v>49</v>
      </c>
      <c r="AL92" s="0" t="s">
        <v>49</v>
      </c>
    </row>
    <row r="93" customFormat="false" ht="15" hidden="false" customHeight="false" outlineLevel="0" collapsed="false">
      <c r="B93" s="0" t="str">
        <f aca="false">HYPERLINK("https://genome.ucsc.edu/cgi-bin/hgTracks?db=hg19&amp;position=chr10%3A31649938%2D31649938", "chr10:31649938")</f>
        <v>chr10:31649938</v>
      </c>
      <c r="C93" s="0" t="s">
        <v>189</v>
      </c>
      <c r="D93" s="0" t="n">
        <v>31649938</v>
      </c>
      <c r="E93" s="0" t="n">
        <v>31649938</v>
      </c>
      <c r="F93" s="0" t="s">
        <v>61</v>
      </c>
      <c r="G93" s="0" t="s">
        <v>60</v>
      </c>
      <c r="H93" s="0" t="s">
        <v>722</v>
      </c>
      <c r="I93" s="0" t="s">
        <v>723</v>
      </c>
      <c r="J93" s="0" t="s">
        <v>724</v>
      </c>
      <c r="K93" s="0" t="s">
        <v>49</v>
      </c>
      <c r="L93" s="0" t="str">
        <f aca="false">HYPERLINK("https://www.ncbi.nlm.nih.gov/snp/rs61846168", "rs61846168")</f>
        <v>rs61846168</v>
      </c>
      <c r="M93" s="0" t="str">
        <f aca="false">HYPERLINK("https://www.genecards.org/Search/Keyword?queryString=%5Baliases%5D(%20ZEB1%20)&amp;keywords=ZEB1", "ZEB1")</f>
        <v>ZEB1</v>
      </c>
      <c r="N93" s="0" t="s">
        <v>300</v>
      </c>
      <c r="O93" s="0" t="s">
        <v>49</v>
      </c>
      <c r="P93" s="0" t="s">
        <v>49</v>
      </c>
      <c r="Q93" s="0" t="n">
        <v>0.0007</v>
      </c>
      <c r="R93" s="0" t="n">
        <v>-1</v>
      </c>
      <c r="S93" s="0" t="n">
        <v>-1</v>
      </c>
      <c r="T93" s="0" t="n">
        <v>-1</v>
      </c>
      <c r="U93" s="0" t="n">
        <v>-1</v>
      </c>
      <c r="V93" s="0" t="s">
        <v>49</v>
      </c>
      <c r="W93" s="0" t="s">
        <v>49</v>
      </c>
      <c r="X93" s="0" t="s">
        <v>49</v>
      </c>
      <c r="Y93" s="0" t="s">
        <v>49</v>
      </c>
      <c r="Z93" s="0" t="s">
        <v>49</v>
      </c>
      <c r="AA93" s="0" t="s">
        <v>49</v>
      </c>
      <c r="AB93" s="0" t="s">
        <v>49</v>
      </c>
      <c r="AC93" s="0" t="s">
        <v>53</v>
      </c>
      <c r="AD93" s="0" t="s">
        <v>725</v>
      </c>
      <c r="AE93" s="0" t="s">
        <v>726</v>
      </c>
      <c r="AF93" s="0" t="s">
        <v>727</v>
      </c>
      <c r="AG93" s="0" t="s">
        <v>728</v>
      </c>
      <c r="AH93" s="0" t="s">
        <v>729</v>
      </c>
      <c r="AI93" s="0" t="s">
        <v>49</v>
      </c>
      <c r="AJ93" s="0" t="s">
        <v>49</v>
      </c>
      <c r="AK93" s="0" t="s">
        <v>49</v>
      </c>
      <c r="AL93" s="0" t="s">
        <v>49</v>
      </c>
    </row>
    <row r="94" customFormat="false" ht="15" hidden="false" customHeight="false" outlineLevel="0" collapsed="false">
      <c r="B94" s="0" t="str">
        <f aca="false">HYPERLINK("https://genome.ucsc.edu/cgi-bin/hgTracks?db=hg19&amp;position=chr10%3A31650028%2D31650028", "chr10:31650028")</f>
        <v>chr10:31650028</v>
      </c>
      <c r="C94" s="0" t="s">
        <v>189</v>
      </c>
      <c r="D94" s="0" t="n">
        <v>31650028</v>
      </c>
      <c r="E94" s="0" t="n">
        <v>31650028</v>
      </c>
      <c r="F94" s="0" t="s">
        <v>39</v>
      </c>
      <c r="G94" s="0" t="s">
        <v>61</v>
      </c>
      <c r="H94" s="0" t="s">
        <v>730</v>
      </c>
      <c r="I94" s="0" t="s">
        <v>731</v>
      </c>
      <c r="J94" s="0" t="s">
        <v>732</v>
      </c>
      <c r="K94" s="0" t="s">
        <v>49</v>
      </c>
      <c r="L94" s="0" t="str">
        <f aca="false">HYPERLINK("https://www.ncbi.nlm.nih.gov/snp/rs61846169", "rs61846169")</f>
        <v>rs61846169</v>
      </c>
      <c r="M94" s="0" t="str">
        <f aca="false">HYPERLINK("https://www.genecards.org/Search/Keyword?queryString=%5Baliases%5D(%20ZEB1%20)&amp;keywords=ZEB1", "ZEB1")</f>
        <v>ZEB1</v>
      </c>
      <c r="N94" s="0" t="s">
        <v>300</v>
      </c>
      <c r="O94" s="0" t="s">
        <v>49</v>
      </c>
      <c r="P94" s="0" t="s">
        <v>49</v>
      </c>
      <c r="Q94" s="0" t="n">
        <v>0.017</v>
      </c>
      <c r="R94" s="0" t="n">
        <v>0.0014</v>
      </c>
      <c r="S94" s="0" t="n">
        <v>0.0012</v>
      </c>
      <c r="T94" s="0" t="n">
        <v>-1</v>
      </c>
      <c r="U94" s="0" t="n">
        <v>0.0016</v>
      </c>
      <c r="V94" s="0" t="s">
        <v>49</v>
      </c>
      <c r="W94" s="0" t="s">
        <v>49</v>
      </c>
      <c r="X94" s="0" t="s">
        <v>49</v>
      </c>
      <c r="Y94" s="0" t="s">
        <v>49</v>
      </c>
      <c r="Z94" s="0" t="s">
        <v>49</v>
      </c>
      <c r="AA94" s="0" t="s">
        <v>49</v>
      </c>
      <c r="AB94" s="0" t="s">
        <v>49</v>
      </c>
      <c r="AC94" s="0" t="s">
        <v>53</v>
      </c>
      <c r="AD94" s="0" t="s">
        <v>725</v>
      </c>
      <c r="AE94" s="0" t="s">
        <v>726</v>
      </c>
      <c r="AF94" s="0" t="s">
        <v>727</v>
      </c>
      <c r="AG94" s="0" t="s">
        <v>728</v>
      </c>
      <c r="AH94" s="0" t="s">
        <v>729</v>
      </c>
      <c r="AI94" s="0" t="s">
        <v>49</v>
      </c>
      <c r="AJ94" s="0" t="s">
        <v>49</v>
      </c>
      <c r="AK94" s="0" t="s">
        <v>49</v>
      </c>
      <c r="AL94" s="0" t="s">
        <v>49</v>
      </c>
    </row>
    <row r="95" customFormat="false" ht="15" hidden="false" customHeight="false" outlineLevel="0" collapsed="false">
      <c r="B95" s="0" t="str">
        <f aca="false">HYPERLINK("https://genome.ucsc.edu/cgi-bin/hgTracks?db=hg19&amp;position=chr10%3A31650036%2D31650036", "chr10:31650036")</f>
        <v>chr10:31650036</v>
      </c>
      <c r="C95" s="0" t="s">
        <v>189</v>
      </c>
      <c r="D95" s="0" t="n">
        <v>31650036</v>
      </c>
      <c r="E95" s="0" t="n">
        <v>31650036</v>
      </c>
      <c r="F95" s="0" t="s">
        <v>40</v>
      </c>
      <c r="G95" s="0" t="s">
        <v>39</v>
      </c>
      <c r="H95" s="0" t="s">
        <v>733</v>
      </c>
      <c r="I95" s="0" t="s">
        <v>734</v>
      </c>
      <c r="J95" s="0" t="s">
        <v>735</v>
      </c>
      <c r="K95" s="0" t="s">
        <v>49</v>
      </c>
      <c r="L95" s="0" t="str">
        <f aca="false">HYPERLINK("https://www.ncbi.nlm.nih.gov/snp/rs61846170", "rs61846170")</f>
        <v>rs61846170</v>
      </c>
      <c r="M95" s="0" t="str">
        <f aca="false">HYPERLINK("https://www.genecards.org/Search/Keyword?queryString=%5Baliases%5D(%20ZEB1%20)&amp;keywords=ZEB1", "ZEB1")</f>
        <v>ZEB1</v>
      </c>
      <c r="N95" s="0" t="s">
        <v>300</v>
      </c>
      <c r="O95" s="0" t="s">
        <v>49</v>
      </c>
      <c r="P95" s="0" t="s">
        <v>49</v>
      </c>
      <c r="Q95" s="0" t="n">
        <v>0.0168</v>
      </c>
      <c r="R95" s="0" t="n">
        <v>0.0014</v>
      </c>
      <c r="S95" s="0" t="n">
        <v>0.002</v>
      </c>
      <c r="T95" s="0" t="n">
        <v>-1</v>
      </c>
      <c r="U95" s="0" t="n">
        <v>0.005</v>
      </c>
      <c r="V95" s="0" t="s">
        <v>49</v>
      </c>
      <c r="W95" s="0" t="s">
        <v>49</v>
      </c>
      <c r="X95" s="0" t="s">
        <v>49</v>
      </c>
      <c r="Y95" s="0" t="s">
        <v>49</v>
      </c>
      <c r="Z95" s="0" t="s">
        <v>49</v>
      </c>
      <c r="AA95" s="0" t="s">
        <v>49</v>
      </c>
      <c r="AB95" s="0" t="s">
        <v>49</v>
      </c>
      <c r="AC95" s="0" t="s">
        <v>53</v>
      </c>
      <c r="AD95" s="0" t="s">
        <v>725</v>
      </c>
      <c r="AE95" s="0" t="s">
        <v>726</v>
      </c>
      <c r="AF95" s="0" t="s">
        <v>727</v>
      </c>
      <c r="AG95" s="0" t="s">
        <v>728</v>
      </c>
      <c r="AH95" s="0" t="s">
        <v>729</v>
      </c>
      <c r="AI95" s="0" t="s">
        <v>49</v>
      </c>
      <c r="AJ95" s="0" t="s">
        <v>49</v>
      </c>
      <c r="AK95" s="0" t="s">
        <v>49</v>
      </c>
      <c r="AL95" s="0" t="s">
        <v>49</v>
      </c>
    </row>
    <row r="96" customFormat="false" ht="15" hidden="false" customHeight="false" outlineLevel="0" collapsed="false">
      <c r="B96" s="0" t="str">
        <f aca="false">HYPERLINK("https://genome.ucsc.edu/cgi-bin/hgTracks?db=hg19&amp;position=chr10%3A54040478%2D54040478", "chr10:54040478")</f>
        <v>chr10:54040478</v>
      </c>
      <c r="C96" s="0" t="s">
        <v>189</v>
      </c>
      <c r="D96" s="0" t="n">
        <v>54040478</v>
      </c>
      <c r="E96" s="0" t="n">
        <v>54040478</v>
      </c>
      <c r="F96" s="0" t="s">
        <v>190</v>
      </c>
      <c r="G96" s="0" t="s">
        <v>61</v>
      </c>
      <c r="H96" s="0" t="s">
        <v>736</v>
      </c>
      <c r="I96" s="0" t="s">
        <v>737</v>
      </c>
      <c r="J96" s="0" t="s">
        <v>738</v>
      </c>
      <c r="K96" s="0" t="s">
        <v>49</v>
      </c>
      <c r="L96" s="0" t="str">
        <f aca="false">HYPERLINK("https://www.ncbi.nlm.nih.gov/snp/rs879867084", "rs879867084")</f>
        <v>rs879867084</v>
      </c>
      <c r="M96" s="0" t="str">
        <f aca="false">HYPERLINK("https://www.genecards.org/Search/Keyword?queryString=%5Baliases%5D(%20BC039504%20)%20OR%20%5Baliases%5D(%20PRKG1%20)&amp;keywords=BC039504,PRKG1", "BC039504;PRKG1")</f>
        <v>BC039504;PRKG1</v>
      </c>
      <c r="N96" s="0" t="s">
        <v>283</v>
      </c>
      <c r="O96" s="0" t="s">
        <v>49</v>
      </c>
      <c r="P96" s="0" t="s">
        <v>49</v>
      </c>
      <c r="Q96" s="0" t="n">
        <v>0.001712</v>
      </c>
      <c r="R96" s="0" t="n">
        <v>0.0014</v>
      </c>
      <c r="S96" s="0" t="n">
        <v>0.0022</v>
      </c>
      <c r="T96" s="0" t="n">
        <v>-1</v>
      </c>
      <c r="U96" s="0" t="n">
        <v>0.0017</v>
      </c>
      <c r="V96" s="0" t="s">
        <v>49</v>
      </c>
      <c r="W96" s="0" t="s">
        <v>49</v>
      </c>
      <c r="X96" s="0" t="s">
        <v>49</v>
      </c>
      <c r="Y96" s="0" t="s">
        <v>49</v>
      </c>
      <c r="Z96" s="0" t="s">
        <v>49</v>
      </c>
      <c r="AA96" s="0" t="s">
        <v>49</v>
      </c>
      <c r="AB96" s="0" t="s">
        <v>49</v>
      </c>
      <c r="AC96" s="0" t="s">
        <v>53</v>
      </c>
      <c r="AD96" s="0" t="s">
        <v>220</v>
      </c>
      <c r="AE96" s="0" t="s">
        <v>739</v>
      </c>
      <c r="AF96" s="0" t="s">
        <v>740</v>
      </c>
      <c r="AG96" s="0" t="s">
        <v>741</v>
      </c>
      <c r="AH96" s="0" t="s">
        <v>742</v>
      </c>
      <c r="AI96" s="0" t="s">
        <v>49</v>
      </c>
      <c r="AJ96" s="0" t="s">
        <v>49</v>
      </c>
      <c r="AK96" s="0" t="s">
        <v>49</v>
      </c>
      <c r="AL96" s="0" t="s">
        <v>49</v>
      </c>
    </row>
    <row r="97" customFormat="false" ht="15" hidden="false" customHeight="false" outlineLevel="0" collapsed="false">
      <c r="B97" s="0" t="str">
        <f aca="false">HYPERLINK("https://genome.ucsc.edu/cgi-bin/hgTracks?db=hg19&amp;position=chr10%3A84733493%2D84733493", "chr10:84733493")</f>
        <v>chr10:84733493</v>
      </c>
      <c r="C97" s="0" t="s">
        <v>189</v>
      </c>
      <c r="D97" s="0" t="n">
        <v>84733493</v>
      </c>
      <c r="E97" s="0" t="n">
        <v>84733493</v>
      </c>
      <c r="F97" s="0" t="s">
        <v>39</v>
      </c>
      <c r="G97" s="0" t="s">
        <v>40</v>
      </c>
      <c r="H97" s="0" t="s">
        <v>743</v>
      </c>
      <c r="I97" s="0" t="s">
        <v>744</v>
      </c>
      <c r="J97" s="0" t="s">
        <v>745</v>
      </c>
      <c r="K97" s="0" t="s">
        <v>49</v>
      </c>
      <c r="L97" s="0" t="str">
        <f aca="false">HYPERLINK("https://www.ncbi.nlm.nih.gov/snp/rs41293050", "rs41293050")</f>
        <v>rs41293050</v>
      </c>
      <c r="M97" s="0" t="str">
        <f aca="false">HYPERLINK("https://www.genecards.org/Search/Keyword?queryString=%5Baliases%5D(%20NRG3%20)&amp;keywords=NRG3", "NRG3")</f>
        <v>NRG3</v>
      </c>
      <c r="N97" s="0" t="s">
        <v>510</v>
      </c>
      <c r="O97" s="0" t="s">
        <v>49</v>
      </c>
      <c r="P97" s="0" t="s">
        <v>49</v>
      </c>
      <c r="Q97" s="0" t="n">
        <v>0.0157</v>
      </c>
      <c r="R97" s="0" t="n">
        <v>0.0091</v>
      </c>
      <c r="S97" s="0" t="n">
        <v>0.009</v>
      </c>
      <c r="T97" s="0" t="n">
        <v>-1</v>
      </c>
      <c r="U97" s="0" t="n">
        <v>0.0091</v>
      </c>
      <c r="V97" s="0" t="s">
        <v>49</v>
      </c>
      <c r="W97" s="0" t="s">
        <v>49</v>
      </c>
      <c r="X97" s="0" t="s">
        <v>517</v>
      </c>
      <c r="Y97" s="0" t="s">
        <v>219</v>
      </c>
      <c r="Z97" s="0" t="s">
        <v>49</v>
      </c>
      <c r="AA97" s="0" t="s">
        <v>49</v>
      </c>
      <c r="AB97" s="0" t="s">
        <v>49</v>
      </c>
      <c r="AC97" s="0" t="s">
        <v>53</v>
      </c>
      <c r="AD97" s="0" t="s">
        <v>54</v>
      </c>
      <c r="AE97" s="0" t="s">
        <v>746</v>
      </c>
      <c r="AF97" s="0" t="s">
        <v>747</v>
      </c>
      <c r="AG97" s="0" t="s">
        <v>748</v>
      </c>
      <c r="AH97" s="0" t="s">
        <v>49</v>
      </c>
      <c r="AI97" s="0" t="s">
        <v>49</v>
      </c>
      <c r="AJ97" s="0" t="s">
        <v>49</v>
      </c>
      <c r="AK97" s="0" t="s">
        <v>49</v>
      </c>
      <c r="AL97" s="0" t="s">
        <v>49</v>
      </c>
    </row>
    <row r="98" s="2" customFormat="true" ht="15" hidden="false" customHeight="false" outlineLevel="0" collapsed="false">
      <c r="B98" s="2" t="str">
        <f aca="false">HYPERLINK("https://genome.ucsc.edu/cgi-bin/hgTracks?db=hg19&amp;position=chr10%3A88615481%2D88615481", "chr10:88615481")</f>
        <v>chr10:88615481</v>
      </c>
      <c r="C98" s="2" t="s">
        <v>189</v>
      </c>
      <c r="D98" s="2" t="n">
        <v>88615481</v>
      </c>
      <c r="E98" s="2" t="n">
        <v>88615481</v>
      </c>
      <c r="F98" s="2" t="s">
        <v>61</v>
      </c>
      <c r="G98" s="2" t="s">
        <v>39</v>
      </c>
      <c r="H98" s="2" t="s">
        <v>749</v>
      </c>
      <c r="I98" s="2" t="s">
        <v>750</v>
      </c>
      <c r="J98" s="2" t="s">
        <v>751</v>
      </c>
      <c r="K98" s="2" t="s">
        <v>49</v>
      </c>
      <c r="L98" s="2" t="str">
        <f aca="false">HYPERLINK("https://www.ncbi.nlm.nih.gov/snp/rs760497910", "rs760497910")</f>
        <v>rs760497910</v>
      </c>
      <c r="M98" s="2" t="str">
        <f aca="false">HYPERLINK("https://www.genecards.org/Search/Keyword?queryString=%5Baliases%5D(%20BMPR1A%20)&amp;keywords=BMPR1A", "BMPR1A")</f>
        <v>BMPR1A</v>
      </c>
      <c r="N98" s="2" t="s">
        <v>300</v>
      </c>
      <c r="O98" s="2" t="s">
        <v>49</v>
      </c>
      <c r="P98" s="2" t="s">
        <v>49</v>
      </c>
      <c r="Q98" s="2" t="n">
        <v>0.0015</v>
      </c>
      <c r="R98" s="2" t="n">
        <v>0.0019</v>
      </c>
      <c r="S98" s="2" t="n">
        <v>0.0018</v>
      </c>
      <c r="T98" s="2" t="n">
        <v>-1</v>
      </c>
      <c r="U98" s="2" t="n">
        <v>0.0041</v>
      </c>
      <c r="V98" s="2" t="s">
        <v>49</v>
      </c>
      <c r="W98" s="2" t="s">
        <v>49</v>
      </c>
      <c r="X98" s="2" t="s">
        <v>49</v>
      </c>
      <c r="Y98" s="2" t="s">
        <v>49</v>
      </c>
      <c r="Z98" s="2" t="s">
        <v>49</v>
      </c>
      <c r="AA98" s="2" t="s">
        <v>49</v>
      </c>
      <c r="AB98" s="2" t="s">
        <v>49</v>
      </c>
      <c r="AC98" s="2" t="s">
        <v>53</v>
      </c>
      <c r="AD98" s="2" t="s">
        <v>54</v>
      </c>
      <c r="AE98" s="2" t="s">
        <v>752</v>
      </c>
      <c r="AF98" s="2" t="s">
        <v>753</v>
      </c>
      <c r="AG98" s="2" t="s">
        <v>754</v>
      </c>
      <c r="AH98" s="2" t="s">
        <v>755</v>
      </c>
      <c r="AI98" s="2" t="s">
        <v>49</v>
      </c>
      <c r="AJ98" s="2" t="s">
        <v>49</v>
      </c>
      <c r="AK98" s="2" t="s">
        <v>49</v>
      </c>
      <c r="AL98" s="2" t="s">
        <v>49</v>
      </c>
    </row>
    <row r="99" customFormat="false" ht="15" hidden="false" customHeight="false" outlineLevel="0" collapsed="false">
      <c r="B99" s="0" t="str">
        <f aca="false">HYPERLINK("https://genome.ucsc.edu/cgi-bin/hgTracks?db=hg19&amp;position=chr10%3A96044496%2D96044496", "chr10:96044496")</f>
        <v>chr10:96044496</v>
      </c>
      <c r="C99" s="0" t="s">
        <v>189</v>
      </c>
      <c r="D99" s="0" t="n">
        <v>96044496</v>
      </c>
      <c r="E99" s="0" t="n">
        <v>96044496</v>
      </c>
      <c r="F99" s="0" t="s">
        <v>60</v>
      </c>
      <c r="G99" s="0" t="s">
        <v>61</v>
      </c>
      <c r="H99" s="0" t="s">
        <v>756</v>
      </c>
      <c r="I99" s="0" t="s">
        <v>314</v>
      </c>
      <c r="J99" s="0" t="s">
        <v>757</v>
      </c>
      <c r="K99" s="0" t="s">
        <v>49</v>
      </c>
      <c r="L99" s="0" t="str">
        <f aca="false">HYPERLINK("https://www.ncbi.nlm.nih.gov/snp/rs41291136", "rs41291136")</f>
        <v>rs41291136</v>
      </c>
      <c r="M99" s="0" t="str">
        <f aca="false">HYPERLINK("https://www.genecards.org/Search/Keyword?queryString=%5Baliases%5D(%20PLCE1-AS1%20)&amp;keywords=PLCE1-AS1", "PLCE1-AS1")</f>
        <v>PLCE1-AS1</v>
      </c>
      <c r="N99" s="0" t="s">
        <v>650</v>
      </c>
      <c r="O99" s="0" t="s">
        <v>49</v>
      </c>
      <c r="P99" s="0" t="s">
        <v>49</v>
      </c>
      <c r="Q99" s="0" t="n">
        <v>0.0163205</v>
      </c>
      <c r="R99" s="0" t="n">
        <v>0.013</v>
      </c>
      <c r="S99" s="0" t="n">
        <v>0.0138</v>
      </c>
      <c r="T99" s="0" t="n">
        <v>-1</v>
      </c>
      <c r="U99" s="0" t="n">
        <v>0.0105</v>
      </c>
      <c r="V99" s="0" t="s">
        <v>49</v>
      </c>
      <c r="W99" s="0" t="s">
        <v>49</v>
      </c>
      <c r="X99" s="0" t="s">
        <v>333</v>
      </c>
      <c r="Y99" s="0" t="s">
        <v>219</v>
      </c>
      <c r="Z99" s="0" t="s">
        <v>49</v>
      </c>
      <c r="AA99" s="0" t="s">
        <v>49</v>
      </c>
      <c r="AB99" s="0" t="s">
        <v>49</v>
      </c>
      <c r="AC99" s="0" t="s">
        <v>53</v>
      </c>
      <c r="AD99" s="0" t="s">
        <v>54</v>
      </c>
      <c r="AE99" s="0" t="s">
        <v>49</v>
      </c>
      <c r="AF99" s="0" t="s">
        <v>758</v>
      </c>
      <c r="AG99" s="0" t="s">
        <v>49</v>
      </c>
      <c r="AH99" s="0" t="s">
        <v>49</v>
      </c>
      <c r="AI99" s="0" t="s">
        <v>49</v>
      </c>
      <c r="AJ99" s="0" t="s">
        <v>49</v>
      </c>
      <c r="AK99" s="0" t="s">
        <v>49</v>
      </c>
      <c r="AL99" s="0" t="s">
        <v>49</v>
      </c>
    </row>
    <row r="100" customFormat="false" ht="15" hidden="false" customHeight="false" outlineLevel="0" collapsed="false">
      <c r="B100" s="0" t="str">
        <f aca="false">HYPERLINK("https://genome.ucsc.edu/cgi-bin/hgTracks?db=hg19&amp;position=chr10%3A126691628%2D126691628", "chr10:126691628")</f>
        <v>chr10:126691628</v>
      </c>
      <c r="C100" s="0" t="s">
        <v>189</v>
      </c>
      <c r="D100" s="0" t="n">
        <v>126691628</v>
      </c>
      <c r="E100" s="0" t="n">
        <v>126691628</v>
      </c>
      <c r="F100" s="0" t="s">
        <v>60</v>
      </c>
      <c r="G100" s="0" t="s">
        <v>190</v>
      </c>
      <c r="H100" s="0" t="s">
        <v>759</v>
      </c>
      <c r="I100" s="0" t="s">
        <v>760</v>
      </c>
      <c r="J100" s="0" t="s">
        <v>761</v>
      </c>
      <c r="K100" s="0" t="s">
        <v>49</v>
      </c>
      <c r="L100" s="0" t="str">
        <f aca="false">HYPERLINK("https://www.ncbi.nlm.nih.gov/snp/rs796604157", "rs796604157")</f>
        <v>rs796604157</v>
      </c>
      <c r="M100" s="0" t="str">
        <f aca="false">HYPERLINK("https://www.genecards.org/Search/Keyword?queryString=%5Baliases%5D(%20CTBP2%20)&amp;keywords=CTBP2", "CTBP2")</f>
        <v>CTBP2</v>
      </c>
      <c r="N100" s="0" t="s">
        <v>45</v>
      </c>
      <c r="O100" s="0" t="s">
        <v>539</v>
      </c>
      <c r="P100" s="0" t="s">
        <v>762</v>
      </c>
      <c r="Q100" s="0" t="n">
        <v>-1</v>
      </c>
      <c r="R100" s="0" t="n">
        <v>-1</v>
      </c>
      <c r="S100" s="0" t="n">
        <v>-1</v>
      </c>
      <c r="T100" s="0" t="n">
        <v>-1</v>
      </c>
      <c r="U100" s="0" t="n">
        <v>-1</v>
      </c>
      <c r="V100" s="0" t="s">
        <v>49</v>
      </c>
      <c r="W100" s="0" t="s">
        <v>49</v>
      </c>
      <c r="X100" s="0" t="s">
        <v>49</v>
      </c>
      <c r="Y100" s="0" t="s">
        <v>49</v>
      </c>
      <c r="Z100" s="0" t="s">
        <v>49</v>
      </c>
      <c r="AA100" s="0" t="s">
        <v>49</v>
      </c>
      <c r="AB100" s="0" t="s">
        <v>49</v>
      </c>
      <c r="AC100" s="0" t="s">
        <v>53</v>
      </c>
      <c r="AD100" s="0" t="s">
        <v>289</v>
      </c>
      <c r="AE100" s="0" t="s">
        <v>357</v>
      </c>
      <c r="AF100" s="0" t="s">
        <v>358</v>
      </c>
      <c r="AG100" s="0" t="s">
        <v>359</v>
      </c>
      <c r="AH100" s="0" t="s">
        <v>49</v>
      </c>
      <c r="AI100" s="0" t="s">
        <v>49</v>
      </c>
      <c r="AJ100" s="0" t="s">
        <v>49</v>
      </c>
      <c r="AK100" s="0" t="s">
        <v>49</v>
      </c>
      <c r="AL100" s="0" t="s">
        <v>49</v>
      </c>
    </row>
    <row r="101" customFormat="false" ht="15" hidden="false" customHeight="false" outlineLevel="0" collapsed="false">
      <c r="B101" s="0" t="str">
        <f aca="false">HYPERLINK("https://genome.ucsc.edu/cgi-bin/hgTracks?db=hg19&amp;position=chr10%3A126691951%2D126691951", "chr10:126691951")</f>
        <v>chr10:126691951</v>
      </c>
      <c r="C101" s="0" t="s">
        <v>189</v>
      </c>
      <c r="D101" s="0" t="n">
        <v>126691951</v>
      </c>
      <c r="E101" s="0" t="n">
        <v>126691951</v>
      </c>
      <c r="F101" s="0" t="s">
        <v>39</v>
      </c>
      <c r="G101" s="0" t="s">
        <v>190</v>
      </c>
      <c r="H101" s="0" t="s">
        <v>763</v>
      </c>
      <c r="I101" s="0" t="s">
        <v>306</v>
      </c>
      <c r="J101" s="0" t="s">
        <v>764</v>
      </c>
      <c r="K101" s="0" t="s">
        <v>49</v>
      </c>
      <c r="L101" s="0" t="s">
        <v>49</v>
      </c>
      <c r="M101" s="0" t="str">
        <f aca="false">HYPERLINK("https://www.genecards.org/Search/Keyword?queryString=%5Baliases%5D(%20CTBP2%20)&amp;keywords=CTBP2", "CTBP2")</f>
        <v>CTBP2</v>
      </c>
      <c r="N101" s="0" t="s">
        <v>45</v>
      </c>
      <c r="O101" s="0" t="s">
        <v>539</v>
      </c>
      <c r="P101" s="0" t="s">
        <v>765</v>
      </c>
      <c r="Q101" s="0" t="n">
        <v>-1</v>
      </c>
      <c r="R101" s="0" t="n">
        <v>-1</v>
      </c>
      <c r="S101" s="0" t="n">
        <v>-1</v>
      </c>
      <c r="T101" s="0" t="n">
        <v>-1</v>
      </c>
      <c r="U101" s="0" t="n">
        <v>-1</v>
      </c>
      <c r="V101" s="0" t="s">
        <v>49</v>
      </c>
      <c r="W101" s="0" t="s">
        <v>49</v>
      </c>
      <c r="X101" s="0" t="s">
        <v>49</v>
      </c>
      <c r="Y101" s="0" t="s">
        <v>49</v>
      </c>
      <c r="Z101" s="0" t="s">
        <v>49</v>
      </c>
      <c r="AA101" s="0" t="s">
        <v>49</v>
      </c>
      <c r="AB101" s="0" t="s">
        <v>49</v>
      </c>
      <c r="AC101" s="0" t="s">
        <v>53</v>
      </c>
      <c r="AD101" s="0" t="s">
        <v>289</v>
      </c>
      <c r="AE101" s="0" t="s">
        <v>357</v>
      </c>
      <c r="AF101" s="0" t="s">
        <v>358</v>
      </c>
      <c r="AG101" s="0" t="s">
        <v>359</v>
      </c>
      <c r="AH101" s="0" t="s">
        <v>49</v>
      </c>
      <c r="AI101" s="0" t="s">
        <v>49</v>
      </c>
      <c r="AJ101" s="0" t="s">
        <v>49</v>
      </c>
      <c r="AK101" s="0" t="s">
        <v>49</v>
      </c>
      <c r="AL101" s="0" t="s">
        <v>49</v>
      </c>
    </row>
    <row r="102" customFormat="false" ht="15" hidden="false" customHeight="false" outlineLevel="0" collapsed="false">
      <c r="B102" s="0" t="str">
        <f aca="false">HYPERLINK("https://genome.ucsc.edu/cgi-bin/hgTracks?db=hg19&amp;position=chr10%3A126727615%2D126727615", "chr10:126727615")</f>
        <v>chr10:126727615</v>
      </c>
      <c r="C102" s="0" t="s">
        <v>189</v>
      </c>
      <c r="D102" s="0" t="n">
        <v>126727615</v>
      </c>
      <c r="E102" s="0" t="n">
        <v>126727615</v>
      </c>
      <c r="F102" s="0" t="s">
        <v>61</v>
      </c>
      <c r="G102" s="0" t="s">
        <v>190</v>
      </c>
      <c r="H102" s="0" t="s">
        <v>766</v>
      </c>
      <c r="I102" s="0" t="s">
        <v>767</v>
      </c>
      <c r="J102" s="0" t="s">
        <v>768</v>
      </c>
      <c r="K102" s="0" t="s">
        <v>49</v>
      </c>
      <c r="L102" s="0" t="str">
        <f aca="false">HYPERLINK("https://www.ncbi.nlm.nih.gov/snp/rs144283283", "rs144283283")</f>
        <v>rs144283283</v>
      </c>
      <c r="M102" s="0" t="str">
        <f aca="false">HYPERLINK("https://www.genecards.org/Search/Keyword?queryString=%5Baliases%5D(%20CTBP2%20)&amp;keywords=CTBP2", "CTBP2")</f>
        <v>CTBP2</v>
      </c>
      <c r="N102" s="0" t="s">
        <v>45</v>
      </c>
      <c r="O102" s="0" t="s">
        <v>539</v>
      </c>
      <c r="P102" s="0" t="s">
        <v>769</v>
      </c>
      <c r="Q102" s="0" t="n">
        <v>6.5E-006</v>
      </c>
      <c r="R102" s="0" t="n">
        <v>-1</v>
      </c>
      <c r="S102" s="0" t="n">
        <v>-1</v>
      </c>
      <c r="T102" s="0" t="n">
        <v>-1</v>
      </c>
      <c r="U102" s="0" t="n">
        <v>-1</v>
      </c>
      <c r="V102" s="0" t="s">
        <v>49</v>
      </c>
      <c r="W102" s="0" t="s">
        <v>49</v>
      </c>
      <c r="X102" s="0" t="s">
        <v>49</v>
      </c>
      <c r="Y102" s="0" t="s">
        <v>49</v>
      </c>
      <c r="Z102" s="0" t="s">
        <v>49</v>
      </c>
      <c r="AA102" s="0" t="s">
        <v>49</v>
      </c>
      <c r="AB102" s="0" t="s">
        <v>49</v>
      </c>
      <c r="AC102" s="0" t="s">
        <v>53</v>
      </c>
      <c r="AD102" s="0" t="s">
        <v>289</v>
      </c>
      <c r="AE102" s="0" t="s">
        <v>357</v>
      </c>
      <c r="AF102" s="0" t="s">
        <v>358</v>
      </c>
      <c r="AG102" s="0" t="s">
        <v>359</v>
      </c>
      <c r="AH102" s="0" t="s">
        <v>49</v>
      </c>
      <c r="AI102" s="0" t="s">
        <v>49</v>
      </c>
      <c r="AJ102" s="0" t="s">
        <v>49</v>
      </c>
      <c r="AK102" s="0" t="s">
        <v>49</v>
      </c>
      <c r="AL102" s="0" t="s">
        <v>49</v>
      </c>
    </row>
    <row r="103" customFormat="false" ht="15" hidden="false" customHeight="false" outlineLevel="0" collapsed="false">
      <c r="B103" s="0" t="str">
        <f aca="false">HYPERLINK("https://genome.ucsc.edu/cgi-bin/hgTracks?db=hg19&amp;position=chr11%3A1085814%2D1085814", "chr11:1085814")</f>
        <v>chr11:1085814</v>
      </c>
      <c r="C103" s="0" t="s">
        <v>85</v>
      </c>
      <c r="D103" s="0" t="n">
        <v>1085814</v>
      </c>
      <c r="E103" s="0" t="n">
        <v>1085814</v>
      </c>
      <c r="F103" s="0" t="s">
        <v>190</v>
      </c>
      <c r="G103" s="0" t="s">
        <v>61</v>
      </c>
      <c r="H103" s="0" t="s">
        <v>770</v>
      </c>
      <c r="I103" s="0" t="s">
        <v>771</v>
      </c>
      <c r="J103" s="0" t="s">
        <v>772</v>
      </c>
      <c r="K103" s="0" t="s">
        <v>49</v>
      </c>
      <c r="L103" s="0" t="s">
        <v>49</v>
      </c>
      <c r="M103" s="0" t="str">
        <f aca="false">HYPERLINK("https://www.genecards.org/Search/Keyword?queryString=%5Baliases%5D(%20MUC2%20)&amp;keywords=MUC2", "MUC2")</f>
        <v>MUC2</v>
      </c>
      <c r="N103" s="0" t="s">
        <v>45</v>
      </c>
      <c r="O103" s="0" t="s">
        <v>259</v>
      </c>
      <c r="P103" s="0" t="s">
        <v>773</v>
      </c>
      <c r="Q103" s="0" t="n">
        <v>0.0016</v>
      </c>
      <c r="R103" s="0" t="n">
        <v>-1</v>
      </c>
      <c r="S103" s="0" t="n">
        <v>-1</v>
      </c>
      <c r="T103" s="0" t="n">
        <v>-1</v>
      </c>
      <c r="U103" s="0" t="n">
        <v>-1</v>
      </c>
      <c r="V103" s="0" t="s">
        <v>49</v>
      </c>
      <c r="W103" s="0" t="s">
        <v>49</v>
      </c>
      <c r="X103" s="0" t="s">
        <v>49</v>
      </c>
      <c r="Y103" s="0" t="s">
        <v>49</v>
      </c>
      <c r="Z103" s="0" t="s">
        <v>49</v>
      </c>
      <c r="AA103" s="0" t="s">
        <v>49</v>
      </c>
      <c r="AB103" s="0" t="s">
        <v>49</v>
      </c>
      <c r="AC103" s="0" t="s">
        <v>53</v>
      </c>
      <c r="AD103" s="0" t="s">
        <v>725</v>
      </c>
      <c r="AE103" s="0" t="s">
        <v>774</v>
      </c>
      <c r="AF103" s="0" t="s">
        <v>775</v>
      </c>
      <c r="AG103" s="0" t="s">
        <v>776</v>
      </c>
      <c r="AH103" s="0" t="s">
        <v>49</v>
      </c>
      <c r="AI103" s="0" t="s">
        <v>49</v>
      </c>
      <c r="AJ103" s="0" t="s">
        <v>49</v>
      </c>
      <c r="AK103" s="0" t="s">
        <v>49</v>
      </c>
      <c r="AL103" s="0" t="s">
        <v>49</v>
      </c>
    </row>
    <row r="104" customFormat="false" ht="15" hidden="false" customHeight="false" outlineLevel="0" collapsed="false">
      <c r="B104" s="0" t="str">
        <f aca="false">HYPERLINK("https://genome.ucsc.edu/cgi-bin/hgTracks?db=hg19&amp;position=chr11%3A1085817%2D1085817", "chr11:1085817")</f>
        <v>chr11:1085817</v>
      </c>
      <c r="C104" s="0" t="s">
        <v>85</v>
      </c>
      <c r="D104" s="0" t="n">
        <v>1085817</v>
      </c>
      <c r="E104" s="0" t="n">
        <v>1085817</v>
      </c>
      <c r="F104" s="0" t="s">
        <v>190</v>
      </c>
      <c r="G104" s="0" t="s">
        <v>61</v>
      </c>
      <c r="H104" s="0" t="s">
        <v>777</v>
      </c>
      <c r="I104" s="0" t="s">
        <v>778</v>
      </c>
      <c r="J104" s="0" t="s">
        <v>779</v>
      </c>
      <c r="K104" s="0" t="s">
        <v>49</v>
      </c>
      <c r="L104" s="0" t="s">
        <v>49</v>
      </c>
      <c r="M104" s="0" t="str">
        <f aca="false">HYPERLINK("https://www.genecards.org/Search/Keyword?queryString=%5Baliases%5D(%20MUC2%20)&amp;keywords=MUC2", "MUC2")</f>
        <v>MUC2</v>
      </c>
      <c r="N104" s="0" t="s">
        <v>45</v>
      </c>
      <c r="O104" s="0" t="s">
        <v>259</v>
      </c>
      <c r="P104" s="0" t="s">
        <v>780</v>
      </c>
      <c r="Q104" s="0" t="n">
        <v>0.0016</v>
      </c>
      <c r="R104" s="0" t="n">
        <v>-1</v>
      </c>
      <c r="S104" s="0" t="n">
        <v>-1</v>
      </c>
      <c r="T104" s="0" t="n">
        <v>-1</v>
      </c>
      <c r="U104" s="0" t="n">
        <v>-1</v>
      </c>
      <c r="V104" s="0" t="s">
        <v>49</v>
      </c>
      <c r="W104" s="0" t="s">
        <v>49</v>
      </c>
      <c r="X104" s="0" t="s">
        <v>49</v>
      </c>
      <c r="Y104" s="0" t="s">
        <v>49</v>
      </c>
      <c r="Z104" s="0" t="s">
        <v>49</v>
      </c>
      <c r="AA104" s="0" t="s">
        <v>49</v>
      </c>
      <c r="AB104" s="0" t="s">
        <v>49</v>
      </c>
      <c r="AC104" s="0" t="s">
        <v>53</v>
      </c>
      <c r="AD104" s="0" t="s">
        <v>725</v>
      </c>
      <c r="AE104" s="0" t="s">
        <v>774</v>
      </c>
      <c r="AF104" s="0" t="s">
        <v>775</v>
      </c>
      <c r="AG104" s="0" t="s">
        <v>776</v>
      </c>
      <c r="AH104" s="0" t="s">
        <v>49</v>
      </c>
      <c r="AI104" s="0" t="s">
        <v>49</v>
      </c>
      <c r="AJ104" s="0" t="s">
        <v>49</v>
      </c>
      <c r="AK104" s="0" t="s">
        <v>49</v>
      </c>
      <c r="AL104" s="0" t="s">
        <v>49</v>
      </c>
    </row>
    <row r="105" customFormat="false" ht="15" hidden="false" customHeight="false" outlineLevel="0" collapsed="false">
      <c r="B105" s="0" t="str">
        <f aca="false">HYPERLINK("https://genome.ucsc.edu/cgi-bin/hgTracks?db=hg19&amp;position=chr11%3A1085819%2D1085820", "chr11:1085819")</f>
        <v>chr11:1085819</v>
      </c>
      <c r="C105" s="0" t="s">
        <v>85</v>
      </c>
      <c r="D105" s="0" t="n">
        <v>1085819</v>
      </c>
      <c r="E105" s="0" t="n">
        <v>1085820</v>
      </c>
      <c r="F105" s="0" t="s">
        <v>781</v>
      </c>
      <c r="G105" s="0" t="s">
        <v>190</v>
      </c>
      <c r="H105" s="0" t="s">
        <v>782</v>
      </c>
      <c r="I105" s="0" t="s">
        <v>783</v>
      </c>
      <c r="J105" s="0" t="s">
        <v>784</v>
      </c>
      <c r="K105" s="0" t="s">
        <v>49</v>
      </c>
      <c r="L105" s="0" t="s">
        <v>49</v>
      </c>
      <c r="M105" s="0" t="str">
        <f aca="false">HYPERLINK("https://www.genecards.org/Search/Keyword?queryString=%5Baliases%5D(%20MUC2%20)&amp;keywords=MUC2", "MUC2")</f>
        <v>MUC2</v>
      </c>
      <c r="N105" s="0" t="s">
        <v>45</v>
      </c>
      <c r="O105" s="0" t="s">
        <v>539</v>
      </c>
      <c r="P105" s="0" t="s">
        <v>785</v>
      </c>
      <c r="Q105" s="0" t="n">
        <v>0.0015</v>
      </c>
      <c r="R105" s="0" t="n">
        <v>-1</v>
      </c>
      <c r="S105" s="0" t="n">
        <v>-1</v>
      </c>
      <c r="T105" s="0" t="n">
        <v>-1</v>
      </c>
      <c r="U105" s="0" t="n">
        <v>-1</v>
      </c>
      <c r="V105" s="0" t="s">
        <v>49</v>
      </c>
      <c r="W105" s="0" t="s">
        <v>49</v>
      </c>
      <c r="X105" s="0" t="s">
        <v>49</v>
      </c>
      <c r="Y105" s="0" t="s">
        <v>49</v>
      </c>
      <c r="Z105" s="0" t="s">
        <v>49</v>
      </c>
      <c r="AA105" s="0" t="s">
        <v>49</v>
      </c>
      <c r="AB105" s="0" t="s">
        <v>49</v>
      </c>
      <c r="AC105" s="0" t="s">
        <v>53</v>
      </c>
      <c r="AD105" s="0" t="s">
        <v>725</v>
      </c>
      <c r="AE105" s="0" t="s">
        <v>774</v>
      </c>
      <c r="AF105" s="0" t="s">
        <v>775</v>
      </c>
      <c r="AG105" s="0" t="s">
        <v>776</v>
      </c>
      <c r="AH105" s="0" t="s">
        <v>49</v>
      </c>
      <c r="AI105" s="0" t="s">
        <v>49</v>
      </c>
      <c r="AJ105" s="0" t="s">
        <v>49</v>
      </c>
      <c r="AK105" s="0" t="s">
        <v>49</v>
      </c>
      <c r="AL105" s="0" t="s">
        <v>49</v>
      </c>
    </row>
    <row r="106" customFormat="false" ht="15" hidden="false" customHeight="false" outlineLevel="0" collapsed="false">
      <c r="B106" s="0" t="str">
        <f aca="false">HYPERLINK("https://genome.ucsc.edu/cgi-bin/hgTracks?db=hg19&amp;position=chr11%3A3383121%2D3383121", "chr11:3383121")</f>
        <v>chr11:3383121</v>
      </c>
      <c r="C106" s="0" t="s">
        <v>85</v>
      </c>
      <c r="D106" s="0" t="n">
        <v>3383121</v>
      </c>
      <c r="E106" s="0" t="n">
        <v>3383121</v>
      </c>
      <c r="F106" s="0" t="s">
        <v>40</v>
      </c>
      <c r="G106" s="0" t="s">
        <v>39</v>
      </c>
      <c r="H106" s="0" t="s">
        <v>786</v>
      </c>
      <c r="I106" s="0" t="s">
        <v>787</v>
      </c>
      <c r="J106" s="0" t="s">
        <v>788</v>
      </c>
      <c r="K106" s="0" t="s">
        <v>49</v>
      </c>
      <c r="L106" s="0" t="str">
        <f aca="false">HYPERLINK("https://www.ncbi.nlm.nih.gov/snp/rs201739425", "rs201739425")</f>
        <v>rs201739425</v>
      </c>
      <c r="M106" s="0" t="str">
        <f aca="false">HYPERLINK("https://www.genecards.org/Search/Keyword?queryString=%5Baliases%5D(%20ZNF195%20)&amp;keywords=ZNF195", "ZNF195")</f>
        <v>ZNF195</v>
      </c>
      <c r="N106" s="0" t="s">
        <v>196</v>
      </c>
      <c r="O106" s="0" t="s">
        <v>49</v>
      </c>
      <c r="P106" s="0" t="s">
        <v>789</v>
      </c>
      <c r="Q106" s="0" t="n">
        <v>0.0051</v>
      </c>
      <c r="R106" s="0" t="n">
        <v>0.0017</v>
      </c>
      <c r="S106" s="0" t="n">
        <v>0.0018</v>
      </c>
      <c r="T106" s="0" t="n">
        <v>-1</v>
      </c>
      <c r="U106" s="0" t="n">
        <v>0.0013</v>
      </c>
      <c r="V106" s="0" t="s">
        <v>790</v>
      </c>
      <c r="W106" s="0" t="s">
        <v>333</v>
      </c>
      <c r="X106" s="0" t="s">
        <v>218</v>
      </c>
      <c r="Y106" s="0" t="s">
        <v>390</v>
      </c>
      <c r="Z106" s="0" t="s">
        <v>791</v>
      </c>
      <c r="AA106" s="0" t="s">
        <v>49</v>
      </c>
      <c r="AB106" s="0" t="s">
        <v>49</v>
      </c>
      <c r="AC106" s="0" t="s">
        <v>53</v>
      </c>
      <c r="AD106" s="0" t="s">
        <v>54</v>
      </c>
      <c r="AE106" s="0" t="s">
        <v>792</v>
      </c>
      <c r="AF106" s="0" t="s">
        <v>793</v>
      </c>
      <c r="AG106" s="0" t="s">
        <v>794</v>
      </c>
      <c r="AH106" s="0" t="s">
        <v>49</v>
      </c>
      <c r="AI106" s="0" t="s">
        <v>49</v>
      </c>
      <c r="AJ106" s="0" t="s">
        <v>49</v>
      </c>
      <c r="AK106" s="0" t="s">
        <v>49</v>
      </c>
      <c r="AL106" s="0" t="s">
        <v>49</v>
      </c>
    </row>
    <row r="107" customFormat="false" ht="15" hidden="false" customHeight="false" outlineLevel="0" collapsed="false">
      <c r="B107" s="0" t="str">
        <f aca="false">HYPERLINK("https://genome.ucsc.edu/cgi-bin/hgTracks?db=hg19&amp;position=chr11%3A17457720%2D17457720", "chr11:17457720")</f>
        <v>chr11:17457720</v>
      </c>
      <c r="C107" s="0" t="s">
        <v>85</v>
      </c>
      <c r="D107" s="0" t="n">
        <v>17457720</v>
      </c>
      <c r="E107" s="0" t="n">
        <v>17457720</v>
      </c>
      <c r="F107" s="0" t="s">
        <v>39</v>
      </c>
      <c r="G107" s="0" t="s">
        <v>40</v>
      </c>
      <c r="H107" s="0" t="s">
        <v>795</v>
      </c>
      <c r="I107" s="0" t="s">
        <v>435</v>
      </c>
      <c r="J107" s="0" t="s">
        <v>796</v>
      </c>
      <c r="K107" s="0" t="s">
        <v>49</v>
      </c>
      <c r="L107" s="0" t="s">
        <v>49</v>
      </c>
      <c r="M107" s="0" t="str">
        <f aca="false">HYPERLINK("https://www.genecards.org/Search/Keyword?queryString=%5Baliases%5D(%20ABCC8%20)&amp;keywords=ABCC8", "ABCC8")</f>
        <v>ABCC8</v>
      </c>
      <c r="N107" s="0" t="s">
        <v>300</v>
      </c>
      <c r="O107" s="0" t="s">
        <v>49</v>
      </c>
      <c r="P107" s="0" t="s">
        <v>49</v>
      </c>
      <c r="Q107" s="0" t="n">
        <v>0.0276</v>
      </c>
      <c r="R107" s="0" t="n">
        <v>0.001</v>
      </c>
      <c r="S107" s="0" t="n">
        <v>0.0009</v>
      </c>
      <c r="T107" s="0" t="n">
        <v>-1</v>
      </c>
      <c r="U107" s="0" t="n">
        <v>-1</v>
      </c>
      <c r="V107" s="0" t="s">
        <v>49</v>
      </c>
      <c r="W107" s="0" t="s">
        <v>49</v>
      </c>
      <c r="X107" s="0" t="s">
        <v>49</v>
      </c>
      <c r="Y107" s="0" t="s">
        <v>49</v>
      </c>
      <c r="Z107" s="0" t="s">
        <v>49</v>
      </c>
      <c r="AA107" s="0" t="s">
        <v>49</v>
      </c>
      <c r="AB107" s="0" t="s">
        <v>49</v>
      </c>
      <c r="AC107" s="0" t="s">
        <v>53</v>
      </c>
      <c r="AD107" s="0" t="s">
        <v>209</v>
      </c>
      <c r="AE107" s="0" t="s">
        <v>797</v>
      </c>
      <c r="AF107" s="0" t="s">
        <v>798</v>
      </c>
      <c r="AG107" s="0" t="s">
        <v>799</v>
      </c>
      <c r="AH107" s="0" t="s">
        <v>800</v>
      </c>
      <c r="AI107" s="0" t="s">
        <v>49</v>
      </c>
      <c r="AJ107" s="0" t="s">
        <v>49</v>
      </c>
      <c r="AK107" s="0" t="s">
        <v>49</v>
      </c>
      <c r="AL107" s="0" t="s">
        <v>49</v>
      </c>
    </row>
    <row r="108" customFormat="false" ht="15" hidden="false" customHeight="false" outlineLevel="0" collapsed="false">
      <c r="B108" s="0" t="str">
        <f aca="false">HYPERLINK("https://genome.ucsc.edu/cgi-bin/hgTracks?db=hg19&amp;position=chr11%3A17457721%2D17457721", "chr11:17457721")</f>
        <v>chr11:17457721</v>
      </c>
      <c r="C108" s="0" t="s">
        <v>85</v>
      </c>
      <c r="D108" s="0" t="n">
        <v>17457721</v>
      </c>
      <c r="E108" s="0" t="n">
        <v>17457721</v>
      </c>
      <c r="F108" s="0" t="s">
        <v>61</v>
      </c>
      <c r="G108" s="0" t="s">
        <v>60</v>
      </c>
      <c r="H108" s="0" t="s">
        <v>801</v>
      </c>
      <c r="I108" s="0" t="s">
        <v>537</v>
      </c>
      <c r="J108" s="0" t="s">
        <v>802</v>
      </c>
      <c r="K108" s="0" t="s">
        <v>49</v>
      </c>
      <c r="L108" s="0" t="s">
        <v>49</v>
      </c>
      <c r="M108" s="0" t="str">
        <f aca="false">HYPERLINK("https://www.genecards.org/Search/Keyword?queryString=%5Baliases%5D(%20ABCC8%20)&amp;keywords=ABCC8", "ABCC8")</f>
        <v>ABCC8</v>
      </c>
      <c r="N108" s="0" t="s">
        <v>300</v>
      </c>
      <c r="O108" s="0" t="s">
        <v>49</v>
      </c>
      <c r="P108" s="0" t="s">
        <v>49</v>
      </c>
      <c r="Q108" s="0" t="n">
        <v>0.0265</v>
      </c>
      <c r="R108" s="0" t="n">
        <v>0.0002</v>
      </c>
      <c r="S108" s="0" t="n">
        <v>8.712E-005</v>
      </c>
      <c r="T108" s="0" t="n">
        <v>-1</v>
      </c>
      <c r="U108" s="0" t="n">
        <v>-1</v>
      </c>
      <c r="V108" s="0" t="s">
        <v>49</v>
      </c>
      <c r="W108" s="0" t="s">
        <v>49</v>
      </c>
      <c r="X108" s="0" t="s">
        <v>49</v>
      </c>
      <c r="Y108" s="0" t="s">
        <v>49</v>
      </c>
      <c r="Z108" s="0" t="s">
        <v>49</v>
      </c>
      <c r="AA108" s="0" t="s">
        <v>49</v>
      </c>
      <c r="AB108" s="0" t="s">
        <v>49</v>
      </c>
      <c r="AC108" s="0" t="s">
        <v>53</v>
      </c>
      <c r="AD108" s="0" t="s">
        <v>209</v>
      </c>
      <c r="AE108" s="0" t="s">
        <v>797</v>
      </c>
      <c r="AF108" s="0" t="s">
        <v>798</v>
      </c>
      <c r="AG108" s="0" t="s">
        <v>799</v>
      </c>
      <c r="AH108" s="0" t="s">
        <v>800</v>
      </c>
      <c r="AI108" s="0" t="s">
        <v>49</v>
      </c>
      <c r="AJ108" s="0" t="s">
        <v>49</v>
      </c>
      <c r="AK108" s="0" t="s">
        <v>49</v>
      </c>
      <c r="AL108" s="0" t="s">
        <v>49</v>
      </c>
    </row>
    <row r="109" customFormat="false" ht="15" hidden="false" customHeight="false" outlineLevel="0" collapsed="false">
      <c r="B109" s="0" t="str">
        <f aca="false">HYPERLINK("https://genome.ucsc.edu/cgi-bin/hgTracks?db=hg19&amp;position=chr11%3A18558087%2D18558087", "chr11:18558087")</f>
        <v>chr11:18558087</v>
      </c>
      <c r="C109" s="0" t="s">
        <v>85</v>
      </c>
      <c r="D109" s="0" t="n">
        <v>18558087</v>
      </c>
      <c r="E109" s="0" t="n">
        <v>18558087</v>
      </c>
      <c r="F109" s="0" t="s">
        <v>40</v>
      </c>
      <c r="G109" s="0" t="s">
        <v>39</v>
      </c>
      <c r="H109" s="0" t="s">
        <v>803</v>
      </c>
      <c r="I109" s="0" t="s">
        <v>804</v>
      </c>
      <c r="J109" s="0" t="s">
        <v>805</v>
      </c>
      <c r="K109" s="0" t="s">
        <v>49</v>
      </c>
      <c r="L109" s="0" t="s">
        <v>49</v>
      </c>
      <c r="M109" s="0" t="str">
        <f aca="false">HYPERLINK("https://www.genecards.org/Search/Keyword?queryString=%5Baliases%5D(%20UEVLD%20)&amp;keywords=UEVLD", "UEVLD")</f>
        <v>UEVLD</v>
      </c>
      <c r="N109" s="0" t="s">
        <v>510</v>
      </c>
      <c r="O109" s="0" t="s">
        <v>49</v>
      </c>
      <c r="P109" s="0" t="s">
        <v>49</v>
      </c>
      <c r="Q109" s="0" t="n">
        <v>-1</v>
      </c>
      <c r="R109" s="0" t="n">
        <v>-1</v>
      </c>
      <c r="S109" s="0" t="n">
        <v>-1</v>
      </c>
      <c r="T109" s="0" t="n">
        <v>-1</v>
      </c>
      <c r="U109" s="0" t="n">
        <v>-1</v>
      </c>
      <c r="V109" s="0" t="s">
        <v>49</v>
      </c>
      <c r="W109" s="0" t="s">
        <v>49</v>
      </c>
      <c r="X109" s="0" t="s">
        <v>333</v>
      </c>
      <c r="Y109" s="0" t="s">
        <v>219</v>
      </c>
      <c r="Z109" s="0" t="s">
        <v>49</v>
      </c>
      <c r="AA109" s="0" t="s">
        <v>49</v>
      </c>
      <c r="AB109" s="0" t="s">
        <v>49</v>
      </c>
      <c r="AC109" s="0" t="s">
        <v>53</v>
      </c>
      <c r="AD109" s="0" t="s">
        <v>54</v>
      </c>
      <c r="AE109" s="0" t="s">
        <v>806</v>
      </c>
      <c r="AF109" s="0" t="s">
        <v>807</v>
      </c>
      <c r="AG109" s="0" t="s">
        <v>808</v>
      </c>
      <c r="AH109" s="0" t="s">
        <v>49</v>
      </c>
      <c r="AI109" s="0" t="s">
        <v>49</v>
      </c>
      <c r="AJ109" s="0" t="s">
        <v>49</v>
      </c>
      <c r="AK109" s="0" t="s">
        <v>49</v>
      </c>
      <c r="AL109" s="0" t="s">
        <v>49</v>
      </c>
    </row>
    <row r="110" customFormat="false" ht="15" hidden="false" customHeight="false" outlineLevel="0" collapsed="false">
      <c r="B110" s="0" t="str">
        <f aca="false">HYPERLINK("https://genome.ucsc.edu/cgi-bin/hgTracks?db=hg19&amp;position=chr11%3A46387776%2D46387776", "chr11:46387776")</f>
        <v>chr11:46387776</v>
      </c>
      <c r="C110" s="0" t="s">
        <v>85</v>
      </c>
      <c r="D110" s="0" t="n">
        <v>46387776</v>
      </c>
      <c r="E110" s="0" t="n">
        <v>46387776</v>
      </c>
      <c r="F110" s="0" t="s">
        <v>60</v>
      </c>
      <c r="G110" s="0" t="s">
        <v>61</v>
      </c>
      <c r="H110" s="0" t="s">
        <v>809</v>
      </c>
      <c r="I110" s="0" t="s">
        <v>810</v>
      </c>
      <c r="J110" s="0" t="s">
        <v>811</v>
      </c>
      <c r="K110" s="0" t="s">
        <v>49</v>
      </c>
      <c r="L110" s="0" t="str">
        <f aca="false">HYPERLINK("https://www.ncbi.nlm.nih.gov/snp/rs186834147", "rs186834147")</f>
        <v>rs186834147</v>
      </c>
      <c r="M110" s="0" t="str">
        <f aca="false">HYPERLINK("https://www.genecards.org/Search/Keyword?queryString=%5Baliases%5D(%20DGKZ%20)&amp;keywords=DGKZ", "DGKZ")</f>
        <v>DGKZ</v>
      </c>
      <c r="N110" s="0" t="s">
        <v>510</v>
      </c>
      <c r="O110" s="0" t="s">
        <v>49</v>
      </c>
      <c r="P110" s="0" t="s">
        <v>49</v>
      </c>
      <c r="Q110" s="0" t="n">
        <v>0.0153</v>
      </c>
      <c r="R110" s="0" t="n">
        <v>0.0067</v>
      </c>
      <c r="S110" s="0" t="n">
        <v>0.0056</v>
      </c>
      <c r="T110" s="0" t="n">
        <v>-1</v>
      </c>
      <c r="U110" s="0" t="n">
        <v>0.0118</v>
      </c>
      <c r="V110" s="0" t="s">
        <v>49</v>
      </c>
      <c r="W110" s="0" t="s">
        <v>49</v>
      </c>
      <c r="X110" s="0" t="s">
        <v>517</v>
      </c>
      <c r="Y110" s="0" t="s">
        <v>219</v>
      </c>
      <c r="Z110" s="0" t="s">
        <v>49</v>
      </c>
      <c r="AA110" s="0" t="s">
        <v>49</v>
      </c>
      <c r="AB110" s="0" t="s">
        <v>49</v>
      </c>
      <c r="AC110" s="0" t="s">
        <v>53</v>
      </c>
      <c r="AD110" s="0" t="s">
        <v>54</v>
      </c>
      <c r="AE110" s="0" t="s">
        <v>812</v>
      </c>
      <c r="AF110" s="0" t="s">
        <v>813</v>
      </c>
      <c r="AG110" s="0" t="s">
        <v>814</v>
      </c>
      <c r="AH110" s="0" t="s">
        <v>49</v>
      </c>
      <c r="AI110" s="0" t="s">
        <v>49</v>
      </c>
      <c r="AJ110" s="0" t="s">
        <v>49</v>
      </c>
      <c r="AK110" s="0" t="s">
        <v>49</v>
      </c>
      <c r="AL110" s="0" t="s">
        <v>49</v>
      </c>
    </row>
    <row r="111" customFormat="false" ht="15" hidden="false" customHeight="false" outlineLevel="0" collapsed="false">
      <c r="B111" s="0" t="str">
        <f aca="false">HYPERLINK("https://genome.ucsc.edu/cgi-bin/hgTracks?db=hg19&amp;position=chr11%3A46404342%2D46404342", "chr11:46404342")</f>
        <v>chr11:46404342</v>
      </c>
      <c r="C111" s="0" t="s">
        <v>85</v>
      </c>
      <c r="D111" s="0" t="n">
        <v>46404342</v>
      </c>
      <c r="E111" s="0" t="n">
        <v>46404342</v>
      </c>
      <c r="F111" s="0" t="s">
        <v>39</v>
      </c>
      <c r="G111" s="0" t="s">
        <v>190</v>
      </c>
      <c r="H111" s="0" t="s">
        <v>815</v>
      </c>
      <c r="I111" s="0" t="s">
        <v>816</v>
      </c>
      <c r="J111" s="0" t="s">
        <v>817</v>
      </c>
      <c r="K111" s="0" t="s">
        <v>49</v>
      </c>
      <c r="L111" s="0" t="s">
        <v>49</v>
      </c>
      <c r="M111" s="0" t="str">
        <f aca="false">HYPERLINK("https://www.genecards.org/Search/Keyword?queryString=%5Baliases%5D(%20MDK%20)&amp;keywords=MDK", "MDK")</f>
        <v>MDK</v>
      </c>
      <c r="N111" s="0" t="s">
        <v>549</v>
      </c>
      <c r="O111" s="0" t="s">
        <v>539</v>
      </c>
      <c r="P111" s="0" t="s">
        <v>818</v>
      </c>
      <c r="Q111" s="0" t="n">
        <v>-1</v>
      </c>
      <c r="R111" s="0" t="n">
        <v>-1</v>
      </c>
      <c r="S111" s="0" t="n">
        <v>-1</v>
      </c>
      <c r="T111" s="0" t="n">
        <v>-1</v>
      </c>
      <c r="U111" s="0" t="n">
        <v>-1</v>
      </c>
      <c r="V111" s="0" t="s">
        <v>49</v>
      </c>
      <c r="W111" s="0" t="s">
        <v>49</v>
      </c>
      <c r="X111" s="0" t="s">
        <v>49</v>
      </c>
      <c r="Y111" s="0" t="s">
        <v>49</v>
      </c>
      <c r="Z111" s="0" t="s">
        <v>49</v>
      </c>
      <c r="AA111" s="0" t="s">
        <v>49</v>
      </c>
      <c r="AB111" s="0" t="s">
        <v>49</v>
      </c>
      <c r="AC111" s="0" t="s">
        <v>231</v>
      </c>
      <c r="AD111" s="0" t="s">
        <v>54</v>
      </c>
      <c r="AE111" s="0" t="s">
        <v>819</v>
      </c>
      <c r="AF111" s="0" t="s">
        <v>820</v>
      </c>
      <c r="AG111" s="0" t="s">
        <v>821</v>
      </c>
      <c r="AH111" s="0" t="s">
        <v>49</v>
      </c>
      <c r="AI111" s="0" t="s">
        <v>822</v>
      </c>
      <c r="AJ111" s="0" t="s">
        <v>49</v>
      </c>
      <c r="AK111" s="0" t="s">
        <v>49</v>
      </c>
      <c r="AL111" s="0" t="s">
        <v>49</v>
      </c>
    </row>
    <row r="112" customFormat="false" ht="15" hidden="false" customHeight="false" outlineLevel="0" collapsed="false">
      <c r="B112" s="0" t="str">
        <f aca="false">HYPERLINK("https://genome.ucsc.edu/cgi-bin/hgTracks?db=hg19&amp;position=chr11%3A47283026%2D47283026", "chr11:47283026")</f>
        <v>chr11:47283026</v>
      </c>
      <c r="C112" s="0" t="s">
        <v>85</v>
      </c>
      <c r="D112" s="0" t="n">
        <v>47283026</v>
      </c>
      <c r="E112" s="0" t="n">
        <v>47283026</v>
      </c>
      <c r="F112" s="0" t="s">
        <v>60</v>
      </c>
      <c r="G112" s="0" t="s">
        <v>61</v>
      </c>
      <c r="H112" s="0" t="s">
        <v>823</v>
      </c>
      <c r="I112" s="0" t="s">
        <v>824</v>
      </c>
      <c r="J112" s="0" t="s">
        <v>825</v>
      </c>
      <c r="K112" s="0" t="s">
        <v>49</v>
      </c>
      <c r="L112" s="0" t="str">
        <f aca="false">HYPERLINK("https://www.ncbi.nlm.nih.gov/snp/rs55993545", "rs55993545")</f>
        <v>rs55993545</v>
      </c>
      <c r="M112" s="0" t="str">
        <f aca="false">HYPERLINK("https://www.genecards.org/Search/Keyword?queryString=%5Baliases%5D(%20NR1H3%20)&amp;keywords=NR1H3", "NR1H3")</f>
        <v>NR1H3</v>
      </c>
      <c r="N112" s="0" t="s">
        <v>510</v>
      </c>
      <c r="O112" s="0" t="s">
        <v>49</v>
      </c>
      <c r="P112" s="0" t="s">
        <v>49</v>
      </c>
      <c r="Q112" s="0" t="n">
        <v>0.0147</v>
      </c>
      <c r="R112" s="0" t="n">
        <v>0.0118</v>
      </c>
      <c r="S112" s="0" t="n">
        <v>0.0094</v>
      </c>
      <c r="T112" s="0" t="n">
        <v>-1</v>
      </c>
      <c r="U112" s="0" t="n">
        <v>0.0196</v>
      </c>
      <c r="V112" s="0" t="s">
        <v>49</v>
      </c>
      <c r="W112" s="0" t="s">
        <v>49</v>
      </c>
      <c r="X112" s="0" t="s">
        <v>333</v>
      </c>
      <c r="Y112" s="0" t="s">
        <v>219</v>
      </c>
      <c r="Z112" s="0" t="s">
        <v>49</v>
      </c>
      <c r="AA112" s="0" t="s">
        <v>49</v>
      </c>
      <c r="AB112" s="0" t="s">
        <v>49</v>
      </c>
      <c r="AC112" s="0" t="s">
        <v>53</v>
      </c>
      <c r="AD112" s="0" t="s">
        <v>54</v>
      </c>
      <c r="AE112" s="0" t="s">
        <v>826</v>
      </c>
      <c r="AF112" s="0" t="s">
        <v>827</v>
      </c>
      <c r="AG112" s="0" t="s">
        <v>828</v>
      </c>
      <c r="AH112" s="0" t="s">
        <v>49</v>
      </c>
      <c r="AI112" s="0" t="s">
        <v>49</v>
      </c>
      <c r="AJ112" s="0" t="s">
        <v>49</v>
      </c>
      <c r="AK112" s="0" t="s">
        <v>49</v>
      </c>
      <c r="AL112" s="0" t="s">
        <v>49</v>
      </c>
    </row>
    <row r="113" customFormat="false" ht="15" hidden="false" customHeight="false" outlineLevel="0" collapsed="false">
      <c r="B113" s="0" t="str">
        <f aca="false">HYPERLINK("https://genome.ucsc.edu/cgi-bin/hgTracks?db=hg19&amp;position=chr11%3A47346127%2D47346130", "chr11:47346127")</f>
        <v>chr11:47346127</v>
      </c>
      <c r="C113" s="0" t="s">
        <v>85</v>
      </c>
      <c r="D113" s="0" t="n">
        <v>47346127</v>
      </c>
      <c r="E113" s="0" t="n">
        <v>47346130</v>
      </c>
      <c r="F113" s="0" t="s">
        <v>829</v>
      </c>
      <c r="G113" s="0" t="s">
        <v>190</v>
      </c>
      <c r="H113" s="0" t="s">
        <v>830</v>
      </c>
      <c r="I113" s="0" t="s">
        <v>831</v>
      </c>
      <c r="J113" s="0" t="s">
        <v>832</v>
      </c>
      <c r="K113" s="0" t="s">
        <v>49</v>
      </c>
      <c r="L113" s="0" t="s">
        <v>49</v>
      </c>
      <c r="M113" s="0" t="str">
        <f aca="false">HYPERLINK("https://www.genecards.org/Search/Keyword?queryString=%5Baliases%5D(%20MADD%20)&amp;keywords=MADD", "MADD")</f>
        <v>MADD</v>
      </c>
      <c r="N113" s="0" t="s">
        <v>45</v>
      </c>
      <c r="O113" s="0" t="s">
        <v>539</v>
      </c>
      <c r="P113" s="0" t="s">
        <v>833</v>
      </c>
      <c r="Q113" s="0" t="n">
        <v>-1</v>
      </c>
      <c r="R113" s="0" t="n">
        <v>-1</v>
      </c>
      <c r="S113" s="0" t="n">
        <v>-1</v>
      </c>
      <c r="T113" s="0" t="n">
        <v>-1</v>
      </c>
      <c r="U113" s="0" t="n">
        <v>-1</v>
      </c>
      <c r="V113" s="0" t="s">
        <v>49</v>
      </c>
      <c r="W113" s="0" t="s">
        <v>49</v>
      </c>
      <c r="X113" s="0" t="s">
        <v>49</v>
      </c>
      <c r="Y113" s="0" t="s">
        <v>49</v>
      </c>
      <c r="Z113" s="0" t="s">
        <v>49</v>
      </c>
      <c r="AA113" s="0" t="s">
        <v>49</v>
      </c>
      <c r="AB113" s="0" t="s">
        <v>49</v>
      </c>
      <c r="AC113" s="0" t="s">
        <v>53</v>
      </c>
      <c r="AD113" s="0" t="s">
        <v>54</v>
      </c>
      <c r="AE113" s="0" t="s">
        <v>834</v>
      </c>
      <c r="AF113" s="0" t="s">
        <v>835</v>
      </c>
      <c r="AG113" s="0" t="s">
        <v>836</v>
      </c>
      <c r="AH113" s="0" t="s">
        <v>49</v>
      </c>
      <c r="AI113" s="0" t="s">
        <v>49</v>
      </c>
      <c r="AJ113" s="0" t="s">
        <v>49</v>
      </c>
      <c r="AK113" s="0" t="s">
        <v>49</v>
      </c>
      <c r="AL113" s="0" t="s">
        <v>49</v>
      </c>
    </row>
    <row r="114" customFormat="false" ht="15" hidden="false" customHeight="false" outlineLevel="0" collapsed="false">
      <c r="B114" s="0" t="str">
        <f aca="false">HYPERLINK("https://genome.ucsc.edu/cgi-bin/hgTracks?db=hg19&amp;position=chr11%3A47430193%2D47430195", "chr11:47430193")</f>
        <v>chr11:47430193</v>
      </c>
      <c r="C114" s="0" t="s">
        <v>85</v>
      </c>
      <c r="D114" s="0" t="n">
        <v>47430193</v>
      </c>
      <c r="E114" s="0" t="n">
        <v>47430195</v>
      </c>
      <c r="F114" s="0" t="s">
        <v>837</v>
      </c>
      <c r="G114" s="0" t="s">
        <v>190</v>
      </c>
      <c r="H114" s="0" t="s">
        <v>838</v>
      </c>
      <c r="I114" s="0" t="s">
        <v>839</v>
      </c>
      <c r="J114" s="0" t="s">
        <v>840</v>
      </c>
      <c r="K114" s="0" t="s">
        <v>49</v>
      </c>
      <c r="L114" s="0" t="str">
        <f aca="false">HYPERLINK("https://www.ncbi.nlm.nih.gov/snp/rs746495252", "rs746495252")</f>
        <v>rs746495252</v>
      </c>
      <c r="M114" s="0" t="str">
        <f aca="false">HYPERLINK("https://www.genecards.org/Search/Keyword?queryString=%5Baliases%5D(%20SLC39A13%20)&amp;keywords=SLC39A13", "SLC39A13")</f>
        <v>SLC39A13</v>
      </c>
      <c r="N114" s="0" t="s">
        <v>216</v>
      </c>
      <c r="O114" s="0" t="s">
        <v>49</v>
      </c>
      <c r="P114" s="0" t="s">
        <v>841</v>
      </c>
      <c r="Q114" s="0" t="n">
        <v>0.0003</v>
      </c>
      <c r="R114" s="0" t="n">
        <v>-1</v>
      </c>
      <c r="S114" s="0" t="n">
        <v>-1</v>
      </c>
      <c r="T114" s="0" t="n">
        <v>-1</v>
      </c>
      <c r="U114" s="0" t="n">
        <v>-1</v>
      </c>
      <c r="V114" s="0" t="s">
        <v>49</v>
      </c>
      <c r="W114" s="0" t="s">
        <v>49</v>
      </c>
      <c r="X114" s="0" t="s">
        <v>49</v>
      </c>
      <c r="Y114" s="0" t="s">
        <v>49</v>
      </c>
      <c r="Z114" s="0" t="s">
        <v>49</v>
      </c>
      <c r="AA114" s="0" t="s">
        <v>49</v>
      </c>
      <c r="AB114" s="0" t="s">
        <v>49</v>
      </c>
      <c r="AC114" s="0" t="s">
        <v>53</v>
      </c>
      <c r="AD114" s="0" t="s">
        <v>54</v>
      </c>
      <c r="AE114" s="0" t="s">
        <v>842</v>
      </c>
      <c r="AF114" s="0" t="s">
        <v>843</v>
      </c>
      <c r="AG114" s="0" t="s">
        <v>844</v>
      </c>
      <c r="AH114" s="0" t="s">
        <v>845</v>
      </c>
      <c r="AI114" s="0" t="s">
        <v>49</v>
      </c>
      <c r="AJ114" s="0" t="s">
        <v>49</v>
      </c>
      <c r="AK114" s="0" t="s">
        <v>49</v>
      </c>
      <c r="AL114" s="0" t="s">
        <v>49</v>
      </c>
    </row>
    <row r="115" customFormat="false" ht="15" hidden="false" customHeight="false" outlineLevel="0" collapsed="false">
      <c r="B115" s="0" t="str">
        <f aca="false">HYPERLINK("https://genome.ucsc.edu/cgi-bin/hgTracks?db=hg19&amp;position=chr11%3A67799584%2D67799584", "chr11:67799584")</f>
        <v>chr11:67799584</v>
      </c>
      <c r="C115" s="0" t="s">
        <v>85</v>
      </c>
      <c r="D115" s="0" t="n">
        <v>67799584</v>
      </c>
      <c r="E115" s="0" t="n">
        <v>67799584</v>
      </c>
      <c r="F115" s="0" t="s">
        <v>39</v>
      </c>
      <c r="G115" s="0" t="s">
        <v>40</v>
      </c>
      <c r="H115" s="0" t="s">
        <v>846</v>
      </c>
      <c r="I115" s="0" t="s">
        <v>847</v>
      </c>
      <c r="J115" s="0" t="s">
        <v>848</v>
      </c>
      <c r="K115" s="0" t="s">
        <v>49</v>
      </c>
      <c r="L115" s="0" t="str">
        <f aca="false">HYPERLINK("https://www.ncbi.nlm.nih.gov/snp/rs117961226", "rs117961226")</f>
        <v>rs117961226</v>
      </c>
      <c r="M115" s="0" t="str">
        <f aca="false">HYPERLINK("https://www.genecards.org/Search/Keyword?queryString=%5Baliases%5D(%20NDUFS8%20)&amp;keywords=NDUFS8", "NDUFS8")</f>
        <v>NDUFS8</v>
      </c>
      <c r="N115" s="0" t="s">
        <v>510</v>
      </c>
      <c r="O115" s="0" t="s">
        <v>49</v>
      </c>
      <c r="P115" s="0" t="s">
        <v>49</v>
      </c>
      <c r="Q115" s="0" t="n">
        <v>0.0284</v>
      </c>
      <c r="R115" s="0" t="n">
        <v>0.0293</v>
      </c>
      <c r="S115" s="0" t="n">
        <v>0.0277</v>
      </c>
      <c r="T115" s="0" t="n">
        <v>-1</v>
      </c>
      <c r="U115" s="0" t="n">
        <v>0.0308</v>
      </c>
      <c r="V115" s="0" t="s">
        <v>49</v>
      </c>
      <c r="W115" s="0" t="s">
        <v>49</v>
      </c>
      <c r="X115" s="0" t="s">
        <v>517</v>
      </c>
      <c r="Y115" s="0" t="s">
        <v>219</v>
      </c>
      <c r="Z115" s="0" t="s">
        <v>49</v>
      </c>
      <c r="AA115" s="0" t="s">
        <v>49</v>
      </c>
      <c r="AB115" s="0" t="s">
        <v>49</v>
      </c>
      <c r="AC115" s="0" t="s">
        <v>53</v>
      </c>
      <c r="AD115" s="0" t="s">
        <v>54</v>
      </c>
      <c r="AE115" s="0" t="s">
        <v>849</v>
      </c>
      <c r="AF115" s="0" t="s">
        <v>850</v>
      </c>
      <c r="AG115" s="0" t="s">
        <v>851</v>
      </c>
      <c r="AH115" s="0" t="s">
        <v>852</v>
      </c>
      <c r="AI115" s="0" t="s">
        <v>49</v>
      </c>
      <c r="AJ115" s="0" t="s">
        <v>49</v>
      </c>
      <c r="AK115" s="0" t="s">
        <v>49</v>
      </c>
      <c r="AL115" s="0" t="s">
        <v>49</v>
      </c>
    </row>
    <row r="116" customFormat="false" ht="15" hidden="false" customHeight="false" outlineLevel="0" collapsed="false">
      <c r="B116" s="0" t="str">
        <f aca="false">HYPERLINK("https://genome.ucsc.edu/cgi-bin/hgTracks?db=hg19&amp;position=chr11%3A74053779%2D74053779", "chr11:74053779")</f>
        <v>chr11:74053779</v>
      </c>
      <c r="C116" s="0" t="s">
        <v>85</v>
      </c>
      <c r="D116" s="0" t="n">
        <v>74053779</v>
      </c>
      <c r="E116" s="0" t="n">
        <v>74053779</v>
      </c>
      <c r="F116" s="0" t="s">
        <v>60</v>
      </c>
      <c r="G116" s="0" t="s">
        <v>39</v>
      </c>
      <c r="H116" s="0" t="s">
        <v>853</v>
      </c>
      <c r="I116" s="0" t="s">
        <v>854</v>
      </c>
      <c r="J116" s="0" t="s">
        <v>855</v>
      </c>
      <c r="K116" s="0" t="s">
        <v>49</v>
      </c>
      <c r="L116" s="0" t="str">
        <f aca="false">HYPERLINK("https://www.ncbi.nlm.nih.gov/snp/rs565318589", "rs565318589")</f>
        <v>rs565318589</v>
      </c>
      <c r="M116" s="0" t="str">
        <f aca="false">HYPERLINK("https://www.genecards.org/Search/Keyword?queryString=%5Baliases%5D(%20PGM2L1%20)&amp;keywords=PGM2L1", "PGM2L1")</f>
        <v>PGM2L1</v>
      </c>
      <c r="N116" s="0" t="s">
        <v>510</v>
      </c>
      <c r="O116" s="0" t="s">
        <v>49</v>
      </c>
      <c r="P116" s="0" t="s">
        <v>49</v>
      </c>
      <c r="Q116" s="0" t="n">
        <v>0.0047</v>
      </c>
      <c r="R116" s="0" t="n">
        <v>0.0056</v>
      </c>
      <c r="S116" s="0" t="n">
        <v>0.0048</v>
      </c>
      <c r="T116" s="0" t="n">
        <v>-1</v>
      </c>
      <c r="U116" s="0" t="n">
        <v>0.0087</v>
      </c>
      <c r="V116" s="0" t="s">
        <v>49</v>
      </c>
      <c r="W116" s="0" t="s">
        <v>49</v>
      </c>
      <c r="X116" s="0" t="s">
        <v>517</v>
      </c>
      <c r="Y116" s="0" t="s">
        <v>219</v>
      </c>
      <c r="Z116" s="0" t="s">
        <v>49</v>
      </c>
      <c r="AA116" s="0" t="s">
        <v>49</v>
      </c>
      <c r="AB116" s="0" t="s">
        <v>49</v>
      </c>
      <c r="AC116" s="0" t="s">
        <v>53</v>
      </c>
      <c r="AD116" s="0" t="s">
        <v>54</v>
      </c>
      <c r="AE116" s="0" t="s">
        <v>856</v>
      </c>
      <c r="AF116" s="0" t="s">
        <v>857</v>
      </c>
      <c r="AG116" s="0" t="s">
        <v>858</v>
      </c>
      <c r="AH116" s="0" t="s">
        <v>49</v>
      </c>
      <c r="AI116" s="0" t="s">
        <v>49</v>
      </c>
      <c r="AJ116" s="0" t="s">
        <v>49</v>
      </c>
      <c r="AK116" s="0" t="s">
        <v>49</v>
      </c>
      <c r="AL116" s="0" t="s">
        <v>49</v>
      </c>
    </row>
    <row r="117" customFormat="false" ht="15" hidden="false" customHeight="false" outlineLevel="0" collapsed="false">
      <c r="B117" s="0" t="str">
        <f aca="false">HYPERLINK("https://genome.ucsc.edu/cgi-bin/hgTracks?db=hg19&amp;position=chr11%3A75694430%2D75694430", "chr11:75694430")</f>
        <v>chr11:75694430</v>
      </c>
      <c r="C117" s="0" t="s">
        <v>85</v>
      </c>
      <c r="D117" s="0" t="n">
        <v>75694430</v>
      </c>
      <c r="E117" s="0" t="n">
        <v>75694430</v>
      </c>
      <c r="F117" s="0" t="s">
        <v>190</v>
      </c>
      <c r="G117" s="0" t="s">
        <v>61</v>
      </c>
      <c r="H117" s="0" t="s">
        <v>859</v>
      </c>
      <c r="I117" s="0" t="s">
        <v>860</v>
      </c>
      <c r="J117" s="0" t="s">
        <v>861</v>
      </c>
      <c r="K117" s="0" t="s">
        <v>49</v>
      </c>
      <c r="L117" s="0" t="str">
        <f aca="false">HYPERLINK("https://www.ncbi.nlm.nih.gov/snp/rs762976381", "rs762976381")</f>
        <v>rs762976381</v>
      </c>
      <c r="M117" s="0" t="str">
        <f aca="false">HYPERLINK("https://www.genecards.org/Search/Keyword?queryString=%5Baliases%5D(%20UVRAG%20)&amp;keywords=UVRAG", "UVRAG")</f>
        <v>UVRAG</v>
      </c>
      <c r="N117" s="0" t="s">
        <v>196</v>
      </c>
      <c r="O117" s="0" t="s">
        <v>49</v>
      </c>
      <c r="P117" s="0" t="s">
        <v>862</v>
      </c>
      <c r="Q117" s="0" t="n">
        <v>0.0102</v>
      </c>
      <c r="R117" s="0" t="n">
        <v>0.0014</v>
      </c>
      <c r="S117" s="0" t="n">
        <v>0.002</v>
      </c>
      <c r="T117" s="0" t="n">
        <v>-1</v>
      </c>
      <c r="U117" s="0" t="n">
        <v>0.0051</v>
      </c>
      <c r="V117" s="0" t="s">
        <v>49</v>
      </c>
      <c r="W117" s="0" t="s">
        <v>49</v>
      </c>
      <c r="X117" s="0" t="s">
        <v>49</v>
      </c>
      <c r="Y117" s="0" t="s">
        <v>49</v>
      </c>
      <c r="Z117" s="0" t="s">
        <v>49</v>
      </c>
      <c r="AA117" s="0" t="s">
        <v>49</v>
      </c>
      <c r="AB117" s="0" t="s">
        <v>49</v>
      </c>
      <c r="AC117" s="0" t="s">
        <v>53</v>
      </c>
      <c r="AD117" s="0" t="s">
        <v>54</v>
      </c>
      <c r="AE117" s="0" t="s">
        <v>863</v>
      </c>
      <c r="AF117" s="0" t="s">
        <v>864</v>
      </c>
      <c r="AG117" s="0" t="s">
        <v>865</v>
      </c>
      <c r="AH117" s="0" t="s">
        <v>866</v>
      </c>
      <c r="AI117" s="0" t="s">
        <v>49</v>
      </c>
      <c r="AJ117" s="0" t="s">
        <v>49</v>
      </c>
      <c r="AK117" s="0" t="s">
        <v>49</v>
      </c>
      <c r="AL117" s="0" t="s">
        <v>49</v>
      </c>
    </row>
    <row r="118" customFormat="false" ht="15" hidden="false" customHeight="false" outlineLevel="0" collapsed="false">
      <c r="B118" s="0" t="str">
        <f aca="false">HYPERLINK("https://genome.ucsc.edu/cgi-bin/hgTracks?db=hg19&amp;position=chr11%3A112832277%2D112832277", "chr11:112832277")</f>
        <v>chr11:112832277</v>
      </c>
      <c r="C118" s="0" t="s">
        <v>85</v>
      </c>
      <c r="D118" s="0" t="n">
        <v>112832277</v>
      </c>
      <c r="E118" s="0" t="n">
        <v>112832277</v>
      </c>
      <c r="F118" s="0" t="s">
        <v>60</v>
      </c>
      <c r="G118" s="0" t="s">
        <v>190</v>
      </c>
      <c r="H118" s="0" t="s">
        <v>867</v>
      </c>
      <c r="I118" s="0" t="s">
        <v>169</v>
      </c>
      <c r="J118" s="0" t="s">
        <v>868</v>
      </c>
      <c r="K118" s="0" t="s">
        <v>49</v>
      </c>
      <c r="L118" s="0" t="str">
        <f aca="false">HYPERLINK("https://www.ncbi.nlm.nih.gov/snp/rs782062091", "rs782062091")</f>
        <v>rs782062091</v>
      </c>
      <c r="M118" s="0" t="str">
        <f aca="false">HYPERLINK("https://www.genecards.org/Search/Keyword?queryString=%5Baliases%5D(%20AL833634%20)%20OR%20%5Baliases%5D(%20LOC101928847%20)&amp;keywords=AL833634,LOC101928847", "AL833634;LOC101928847")</f>
        <v>AL833634;LOC101928847</v>
      </c>
      <c r="N118" s="0" t="s">
        <v>869</v>
      </c>
      <c r="O118" s="0" t="s">
        <v>539</v>
      </c>
      <c r="P118" s="0" t="s">
        <v>870</v>
      </c>
      <c r="Q118" s="0" t="n">
        <v>0.007282</v>
      </c>
      <c r="R118" s="0" t="n">
        <v>0.0048</v>
      </c>
      <c r="S118" s="0" t="n">
        <v>0.0047</v>
      </c>
      <c r="T118" s="0" t="n">
        <v>-1</v>
      </c>
      <c r="U118" s="0" t="n">
        <v>0.0034</v>
      </c>
      <c r="V118" s="0" t="s">
        <v>49</v>
      </c>
      <c r="W118" s="0" t="s">
        <v>49</v>
      </c>
      <c r="X118" s="0" t="s">
        <v>49</v>
      </c>
      <c r="Y118" s="0" t="s">
        <v>49</v>
      </c>
      <c r="Z118" s="0" t="s">
        <v>49</v>
      </c>
      <c r="AA118" s="0" t="s">
        <v>49</v>
      </c>
      <c r="AB118" s="0" t="s">
        <v>49</v>
      </c>
      <c r="AC118" s="0" t="s">
        <v>53</v>
      </c>
      <c r="AD118" s="0" t="s">
        <v>220</v>
      </c>
      <c r="AE118" s="0" t="s">
        <v>49</v>
      </c>
      <c r="AF118" s="0" t="s">
        <v>49</v>
      </c>
      <c r="AG118" s="0" t="s">
        <v>49</v>
      </c>
      <c r="AH118" s="0" t="s">
        <v>49</v>
      </c>
      <c r="AI118" s="0" t="s">
        <v>49</v>
      </c>
      <c r="AJ118" s="0" t="s">
        <v>49</v>
      </c>
      <c r="AK118" s="0" t="s">
        <v>49</v>
      </c>
      <c r="AL118" s="0" t="s">
        <v>49</v>
      </c>
    </row>
    <row r="119" customFormat="false" ht="15" hidden="false" customHeight="false" outlineLevel="0" collapsed="false">
      <c r="B119" s="0" t="str">
        <f aca="false">HYPERLINK("https://genome.ucsc.edu/cgi-bin/hgTracks?db=hg19&amp;position=chr11%3A124135688%2D124135688", "chr11:124135688")</f>
        <v>chr11:124135688</v>
      </c>
      <c r="C119" s="0" t="s">
        <v>85</v>
      </c>
      <c r="D119" s="0" t="n">
        <v>124135688</v>
      </c>
      <c r="E119" s="0" t="n">
        <v>124135688</v>
      </c>
      <c r="F119" s="0" t="s">
        <v>39</v>
      </c>
      <c r="G119" s="0" t="s">
        <v>40</v>
      </c>
      <c r="H119" s="0" t="s">
        <v>871</v>
      </c>
      <c r="I119" s="0" t="s">
        <v>872</v>
      </c>
      <c r="J119" s="0" t="s">
        <v>873</v>
      </c>
      <c r="K119" s="0" t="s">
        <v>49</v>
      </c>
      <c r="L119" s="0" t="str">
        <f aca="false">HYPERLINK("https://www.ncbi.nlm.nih.gov/snp/rs202064362", "rs202064362")</f>
        <v>rs202064362</v>
      </c>
      <c r="M119" s="0" t="str">
        <f aca="false">HYPERLINK("https://www.genecards.org/Search/Keyword?queryString=%5Baliases%5D(%20OR8G1%20)%20OR%20%5Baliases%5D(%20OR8G5%20)&amp;keywords=OR8G1,OR8G5", "OR8G1;OR8G5")</f>
        <v>OR8G1;OR8G5</v>
      </c>
      <c r="N119" s="0" t="s">
        <v>874</v>
      </c>
      <c r="O119" s="0" t="s">
        <v>340</v>
      </c>
      <c r="P119" s="0" t="s">
        <v>875</v>
      </c>
      <c r="Q119" s="0" t="n">
        <v>0.0225</v>
      </c>
      <c r="R119" s="0" t="n">
        <v>0.0028</v>
      </c>
      <c r="S119" s="0" t="n">
        <v>0.004</v>
      </c>
      <c r="T119" s="0" t="n">
        <v>-1</v>
      </c>
      <c r="U119" s="0" t="n">
        <v>0.0045</v>
      </c>
      <c r="V119" s="0" t="s">
        <v>49</v>
      </c>
      <c r="W119" s="0" t="s">
        <v>49</v>
      </c>
      <c r="X119" s="0" t="s">
        <v>49</v>
      </c>
      <c r="Y119" s="0" t="s">
        <v>49</v>
      </c>
      <c r="Z119" s="0" t="s">
        <v>49</v>
      </c>
      <c r="AA119" s="0" t="s">
        <v>49</v>
      </c>
      <c r="AB119" s="0" t="s">
        <v>49</v>
      </c>
      <c r="AC119" s="0" t="s">
        <v>53</v>
      </c>
      <c r="AD119" s="0" t="s">
        <v>220</v>
      </c>
      <c r="AE119" s="0" t="s">
        <v>876</v>
      </c>
      <c r="AF119" s="0" t="s">
        <v>877</v>
      </c>
      <c r="AG119" s="0" t="s">
        <v>878</v>
      </c>
      <c r="AH119" s="0" t="s">
        <v>49</v>
      </c>
      <c r="AI119" s="0" t="s">
        <v>49</v>
      </c>
      <c r="AJ119" s="0" t="s">
        <v>49</v>
      </c>
      <c r="AK119" s="0" t="s">
        <v>49</v>
      </c>
      <c r="AL119" s="0" t="s">
        <v>120</v>
      </c>
    </row>
    <row r="120" customFormat="false" ht="15" hidden="false" customHeight="false" outlineLevel="0" collapsed="false">
      <c r="B120" s="0" t="str">
        <f aca="false">HYPERLINK("https://genome.ucsc.edu/cgi-bin/hgTracks?db=hg19&amp;position=chr11%3A125828488%2D125828488", "chr11:125828488")</f>
        <v>chr11:125828488</v>
      </c>
      <c r="C120" s="0" t="s">
        <v>85</v>
      </c>
      <c r="D120" s="0" t="n">
        <v>125828488</v>
      </c>
      <c r="E120" s="0" t="n">
        <v>125828488</v>
      </c>
      <c r="F120" s="0" t="s">
        <v>40</v>
      </c>
      <c r="G120" s="0" t="s">
        <v>60</v>
      </c>
      <c r="H120" s="0" t="s">
        <v>879</v>
      </c>
      <c r="I120" s="0" t="s">
        <v>787</v>
      </c>
      <c r="J120" s="0" t="s">
        <v>880</v>
      </c>
      <c r="K120" s="0" t="s">
        <v>49</v>
      </c>
      <c r="L120" s="0" t="str">
        <f aca="false">HYPERLINK("https://www.ncbi.nlm.nih.gov/snp/rs61917812", "rs61917812")</f>
        <v>rs61917812</v>
      </c>
      <c r="M120" s="0" t="str">
        <f aca="false">HYPERLINK("https://www.genecards.org/Search/Keyword?queryString=%5Baliases%5D(%20CDON%20)&amp;keywords=CDON", "CDON")</f>
        <v>CDON</v>
      </c>
      <c r="N120" s="0" t="s">
        <v>240</v>
      </c>
      <c r="O120" s="0" t="s">
        <v>49</v>
      </c>
      <c r="P120" s="0" t="s">
        <v>881</v>
      </c>
      <c r="Q120" s="0" t="n">
        <v>0.0102</v>
      </c>
      <c r="R120" s="0" t="n">
        <v>0.0089</v>
      </c>
      <c r="S120" s="0" t="n">
        <v>0.0087</v>
      </c>
      <c r="T120" s="0" t="n">
        <v>-1</v>
      </c>
      <c r="U120" s="0" t="n">
        <v>0.008</v>
      </c>
      <c r="V120" s="0" t="s">
        <v>49</v>
      </c>
      <c r="W120" s="0" t="s">
        <v>49</v>
      </c>
      <c r="X120" s="0" t="s">
        <v>49</v>
      </c>
      <c r="Y120" s="0" t="s">
        <v>49</v>
      </c>
      <c r="Z120" s="0" t="s">
        <v>49</v>
      </c>
      <c r="AA120" s="0" t="s">
        <v>49</v>
      </c>
      <c r="AB120" s="0" t="s">
        <v>49</v>
      </c>
      <c r="AC120" s="0" t="s">
        <v>53</v>
      </c>
      <c r="AD120" s="0" t="s">
        <v>54</v>
      </c>
      <c r="AE120" s="0" t="s">
        <v>882</v>
      </c>
      <c r="AF120" s="0" t="s">
        <v>883</v>
      </c>
      <c r="AG120" s="0" t="s">
        <v>884</v>
      </c>
      <c r="AH120" s="0" t="s">
        <v>885</v>
      </c>
      <c r="AI120" s="0" t="s">
        <v>49</v>
      </c>
      <c r="AJ120" s="0" t="s">
        <v>49</v>
      </c>
      <c r="AK120" s="0" t="s">
        <v>49</v>
      </c>
      <c r="AL120" s="0" t="s">
        <v>49</v>
      </c>
    </row>
    <row r="121" customFormat="false" ht="15" hidden="false" customHeight="false" outlineLevel="0" collapsed="false">
      <c r="B121" s="0" t="str">
        <f aca="false">HYPERLINK("https://genome.ucsc.edu/cgi-bin/hgTracks?db=hg19&amp;position=chr12%3A16410687%2D16410693", "chr12:16410687")</f>
        <v>chr12:16410687</v>
      </c>
      <c r="C121" s="0" t="s">
        <v>98</v>
      </c>
      <c r="D121" s="0" t="n">
        <v>16410687</v>
      </c>
      <c r="E121" s="0" t="n">
        <v>16410693</v>
      </c>
      <c r="F121" s="0" t="s">
        <v>886</v>
      </c>
      <c r="G121" s="0" t="s">
        <v>190</v>
      </c>
      <c r="H121" s="0" t="s">
        <v>887</v>
      </c>
      <c r="I121" s="0" t="s">
        <v>888</v>
      </c>
      <c r="J121" s="0" t="s">
        <v>889</v>
      </c>
      <c r="K121" s="0" t="s">
        <v>49</v>
      </c>
      <c r="L121" s="0" t="s">
        <v>49</v>
      </c>
      <c r="M121" s="0" t="str">
        <f aca="false">HYPERLINK("https://www.genecards.org/Search/Keyword?queryString=%5Baliases%5D(%20SLC15A5%20)&amp;keywords=SLC15A5", "SLC15A5")</f>
        <v>SLC15A5</v>
      </c>
      <c r="N121" s="0" t="s">
        <v>45</v>
      </c>
      <c r="O121" s="0" t="s">
        <v>205</v>
      </c>
      <c r="P121" s="0" t="s">
        <v>890</v>
      </c>
      <c r="Q121" s="0" t="n">
        <v>0.0003</v>
      </c>
      <c r="R121" s="0" t="n">
        <v>-1</v>
      </c>
      <c r="S121" s="0" t="n">
        <v>-1</v>
      </c>
      <c r="T121" s="0" t="n">
        <v>-1</v>
      </c>
      <c r="U121" s="0" t="n">
        <v>-1</v>
      </c>
      <c r="V121" s="0" t="s">
        <v>49</v>
      </c>
      <c r="W121" s="0" t="s">
        <v>49</v>
      </c>
      <c r="X121" s="0" t="s">
        <v>49</v>
      </c>
      <c r="Y121" s="0" t="s">
        <v>49</v>
      </c>
      <c r="Z121" s="0" t="s">
        <v>49</v>
      </c>
      <c r="AA121" s="0" t="s">
        <v>49</v>
      </c>
      <c r="AB121" s="0" t="s">
        <v>49</v>
      </c>
      <c r="AC121" s="0" t="s">
        <v>53</v>
      </c>
      <c r="AD121" s="0" t="s">
        <v>54</v>
      </c>
      <c r="AE121" s="0" t="s">
        <v>49</v>
      </c>
      <c r="AF121" s="0" t="s">
        <v>891</v>
      </c>
      <c r="AG121" s="0" t="s">
        <v>892</v>
      </c>
      <c r="AH121" s="0" t="s">
        <v>49</v>
      </c>
      <c r="AI121" s="0" t="s">
        <v>49</v>
      </c>
      <c r="AJ121" s="0" t="s">
        <v>49</v>
      </c>
      <c r="AK121" s="0" t="s">
        <v>49</v>
      </c>
      <c r="AL121" s="0" t="s">
        <v>49</v>
      </c>
    </row>
    <row r="122" customFormat="false" ht="15" hidden="false" customHeight="false" outlineLevel="0" collapsed="false">
      <c r="B122" s="0" t="str">
        <f aca="false">HYPERLINK("https://genome.ucsc.edu/cgi-bin/hgTracks?db=hg19&amp;position=chr12%3A22016004%2D22016004", "chr12:22016004")</f>
        <v>chr12:22016004</v>
      </c>
      <c r="C122" s="0" t="s">
        <v>98</v>
      </c>
      <c r="D122" s="0" t="n">
        <v>22016004</v>
      </c>
      <c r="E122" s="0" t="n">
        <v>22016004</v>
      </c>
      <c r="F122" s="0" t="s">
        <v>190</v>
      </c>
      <c r="G122" s="0" t="s">
        <v>61</v>
      </c>
      <c r="H122" s="0" t="s">
        <v>893</v>
      </c>
      <c r="I122" s="0" t="s">
        <v>894</v>
      </c>
      <c r="J122" s="0" t="s">
        <v>895</v>
      </c>
      <c r="K122" s="0" t="s">
        <v>49</v>
      </c>
      <c r="L122" s="0" t="str">
        <f aca="false">HYPERLINK("https://www.ncbi.nlm.nih.gov/snp/rs564004542", "rs564004542")</f>
        <v>rs564004542</v>
      </c>
      <c r="M122" s="0" t="str">
        <f aca="false">HYPERLINK("https://www.genecards.org/Search/Keyword?queryString=%5Baliases%5D(%20ABCC9%20)&amp;keywords=ABCC9", "ABCC9")</f>
        <v>ABCC9</v>
      </c>
      <c r="N122" s="0" t="s">
        <v>283</v>
      </c>
      <c r="O122" s="0" t="s">
        <v>49</v>
      </c>
      <c r="P122" s="0" t="s">
        <v>49</v>
      </c>
      <c r="Q122" s="0" t="n">
        <v>0.0187</v>
      </c>
      <c r="R122" s="0" t="n">
        <v>0.0013</v>
      </c>
      <c r="S122" s="0" t="n">
        <v>0.0007</v>
      </c>
      <c r="T122" s="0" t="n">
        <v>-1</v>
      </c>
      <c r="U122" s="0" t="n">
        <v>0.0017</v>
      </c>
      <c r="V122" s="0" t="s">
        <v>49</v>
      </c>
      <c r="W122" s="0" t="s">
        <v>49</v>
      </c>
      <c r="X122" s="0" t="s">
        <v>49</v>
      </c>
      <c r="Y122" s="0" t="s">
        <v>49</v>
      </c>
      <c r="Z122" s="0" t="s">
        <v>49</v>
      </c>
      <c r="AA122" s="0" t="s">
        <v>49</v>
      </c>
      <c r="AB122" s="0" t="s">
        <v>49</v>
      </c>
      <c r="AC122" s="0" t="s">
        <v>53</v>
      </c>
      <c r="AD122" s="0" t="s">
        <v>54</v>
      </c>
      <c r="AE122" s="0" t="s">
        <v>896</v>
      </c>
      <c r="AF122" s="0" t="s">
        <v>897</v>
      </c>
      <c r="AG122" s="0" t="s">
        <v>898</v>
      </c>
      <c r="AH122" s="0" t="s">
        <v>899</v>
      </c>
      <c r="AI122" s="0" t="s">
        <v>49</v>
      </c>
      <c r="AJ122" s="0" t="s">
        <v>49</v>
      </c>
      <c r="AK122" s="0" t="s">
        <v>49</v>
      </c>
      <c r="AL122" s="0" t="s">
        <v>49</v>
      </c>
    </row>
    <row r="123" customFormat="false" ht="15" hidden="false" customHeight="false" outlineLevel="0" collapsed="false">
      <c r="B123" s="0" t="str">
        <f aca="false">HYPERLINK("https://genome.ucsc.edu/cgi-bin/hgTracks?db=hg19&amp;position=chr12%3A25261759%2D25261759", "chr12:25261759")</f>
        <v>chr12:25261759</v>
      </c>
      <c r="C123" s="0" t="s">
        <v>98</v>
      </c>
      <c r="D123" s="0" t="n">
        <v>25261759</v>
      </c>
      <c r="E123" s="0" t="n">
        <v>25261759</v>
      </c>
      <c r="F123" s="0" t="s">
        <v>190</v>
      </c>
      <c r="G123" s="0" t="s">
        <v>900</v>
      </c>
      <c r="H123" s="0" t="s">
        <v>815</v>
      </c>
      <c r="I123" s="0" t="s">
        <v>606</v>
      </c>
      <c r="J123" s="0" t="s">
        <v>901</v>
      </c>
      <c r="K123" s="0" t="s">
        <v>49</v>
      </c>
      <c r="L123" s="0" t="s">
        <v>49</v>
      </c>
      <c r="M123" s="0" t="str">
        <f aca="false">HYPERLINK("https://www.genecards.org/Search/Keyword?queryString=%5Baliases%5D(%20CASC1%20)&amp;keywords=CASC1", "CASC1")</f>
        <v>CASC1</v>
      </c>
      <c r="N123" s="0" t="s">
        <v>196</v>
      </c>
      <c r="O123" s="0" t="s">
        <v>49</v>
      </c>
      <c r="P123" s="0" t="s">
        <v>902</v>
      </c>
      <c r="Q123" s="0" t="n">
        <v>-1</v>
      </c>
      <c r="R123" s="0" t="n">
        <v>-1</v>
      </c>
      <c r="S123" s="0" t="n">
        <v>-1</v>
      </c>
      <c r="T123" s="0" t="n">
        <v>-1</v>
      </c>
      <c r="U123" s="0" t="n">
        <v>-1</v>
      </c>
      <c r="V123" s="0" t="s">
        <v>49</v>
      </c>
      <c r="W123" s="0" t="s">
        <v>49</v>
      </c>
      <c r="X123" s="0" t="s">
        <v>49</v>
      </c>
      <c r="Y123" s="0" t="s">
        <v>49</v>
      </c>
      <c r="Z123" s="0" t="s">
        <v>49</v>
      </c>
      <c r="AA123" s="0" t="s">
        <v>49</v>
      </c>
      <c r="AB123" s="0" t="s">
        <v>49</v>
      </c>
      <c r="AC123" s="0" t="s">
        <v>231</v>
      </c>
      <c r="AD123" s="0" t="s">
        <v>54</v>
      </c>
      <c r="AE123" s="0" t="s">
        <v>903</v>
      </c>
      <c r="AF123" s="0" t="s">
        <v>904</v>
      </c>
      <c r="AG123" s="0" t="s">
        <v>49</v>
      </c>
      <c r="AH123" s="0" t="s">
        <v>49</v>
      </c>
      <c r="AI123" s="0" t="s">
        <v>49</v>
      </c>
      <c r="AJ123" s="0" t="s">
        <v>49</v>
      </c>
      <c r="AK123" s="0" t="s">
        <v>49</v>
      </c>
      <c r="AL123" s="0" t="s">
        <v>49</v>
      </c>
    </row>
    <row r="124" customFormat="false" ht="15" hidden="false" customHeight="false" outlineLevel="0" collapsed="false">
      <c r="B124" s="0" t="str">
        <f aca="false">HYPERLINK("https://genome.ucsc.edu/cgi-bin/hgTracks?db=hg19&amp;position=chr12%3A40877350%2D40877350", "chr12:40877350")</f>
        <v>chr12:40877350</v>
      </c>
      <c r="C124" s="0" t="s">
        <v>98</v>
      </c>
      <c r="D124" s="0" t="n">
        <v>40877350</v>
      </c>
      <c r="E124" s="0" t="n">
        <v>40877350</v>
      </c>
      <c r="F124" s="0" t="s">
        <v>190</v>
      </c>
      <c r="G124" s="0" t="s">
        <v>905</v>
      </c>
      <c r="H124" s="0" t="s">
        <v>906</v>
      </c>
      <c r="I124" s="0" t="s">
        <v>907</v>
      </c>
      <c r="J124" s="0" t="s">
        <v>908</v>
      </c>
      <c r="K124" s="0" t="s">
        <v>49</v>
      </c>
      <c r="L124" s="0" t="s">
        <v>49</v>
      </c>
      <c r="M124" s="0" t="str">
        <f aca="false">HYPERLINK("https://www.genecards.org/Search/Keyword?queryString=%5Baliases%5D(%20MUC19%20)&amp;keywords=MUC19", "MUC19")</f>
        <v>MUC19</v>
      </c>
      <c r="N124" s="0" t="s">
        <v>368</v>
      </c>
      <c r="O124" s="0" t="s">
        <v>909</v>
      </c>
      <c r="P124" s="0" t="s">
        <v>910</v>
      </c>
      <c r="Q124" s="0" t="n">
        <v>9.551E-005</v>
      </c>
      <c r="R124" s="0" t="n">
        <v>-1</v>
      </c>
      <c r="S124" s="0" t="n">
        <v>-1</v>
      </c>
      <c r="T124" s="0" t="n">
        <v>-1</v>
      </c>
      <c r="U124" s="0" t="n">
        <v>-1</v>
      </c>
      <c r="V124" s="0" t="s">
        <v>49</v>
      </c>
      <c r="W124" s="0" t="s">
        <v>49</v>
      </c>
      <c r="X124" s="0" t="s">
        <v>49</v>
      </c>
      <c r="Y124" s="0" t="s">
        <v>49</v>
      </c>
      <c r="Z124" s="0" t="s">
        <v>49</v>
      </c>
      <c r="AA124" s="0" t="s">
        <v>49</v>
      </c>
      <c r="AB124" s="0" t="s">
        <v>49</v>
      </c>
      <c r="AC124" s="0" t="s">
        <v>53</v>
      </c>
      <c r="AD124" s="0" t="s">
        <v>54</v>
      </c>
      <c r="AE124" s="0" t="s">
        <v>49</v>
      </c>
      <c r="AF124" s="0" t="s">
        <v>911</v>
      </c>
      <c r="AG124" s="0" t="s">
        <v>912</v>
      </c>
      <c r="AH124" s="0" t="s">
        <v>49</v>
      </c>
      <c r="AI124" s="0" t="s">
        <v>822</v>
      </c>
      <c r="AJ124" s="0" t="s">
        <v>49</v>
      </c>
      <c r="AK124" s="0" t="s">
        <v>49</v>
      </c>
      <c r="AL124" s="0" t="s">
        <v>120</v>
      </c>
    </row>
    <row r="125" customFormat="false" ht="15" hidden="false" customHeight="false" outlineLevel="0" collapsed="false">
      <c r="B125" s="0" t="str">
        <f aca="false">HYPERLINK("https://genome.ucsc.edu/cgi-bin/hgTracks?db=hg19&amp;position=chr12%3A45803331%2D45803331", "chr12:45803331")</f>
        <v>chr12:45803331</v>
      </c>
      <c r="C125" s="0" t="s">
        <v>98</v>
      </c>
      <c r="D125" s="0" t="n">
        <v>45803331</v>
      </c>
      <c r="E125" s="0" t="n">
        <v>45803331</v>
      </c>
      <c r="F125" s="0" t="s">
        <v>61</v>
      </c>
      <c r="G125" s="0" t="s">
        <v>60</v>
      </c>
      <c r="H125" s="0" t="s">
        <v>913</v>
      </c>
      <c r="I125" s="0" t="s">
        <v>577</v>
      </c>
      <c r="J125" s="0" t="s">
        <v>914</v>
      </c>
      <c r="K125" s="0" t="s">
        <v>49</v>
      </c>
      <c r="L125" s="0" t="str">
        <f aca="false">HYPERLINK("https://www.ncbi.nlm.nih.gov/snp/rs116927682", "rs116927682")</f>
        <v>rs116927682</v>
      </c>
      <c r="M125" s="0" t="str">
        <f aca="false">HYPERLINK("https://www.genecards.org/Search/Keyword?queryString=%5Baliases%5D(%20ANO6%20)&amp;keywords=ANO6", "ANO6")</f>
        <v>ANO6</v>
      </c>
      <c r="N125" s="0" t="s">
        <v>510</v>
      </c>
      <c r="O125" s="0" t="s">
        <v>49</v>
      </c>
      <c r="P125" s="0" t="s">
        <v>49</v>
      </c>
      <c r="Q125" s="0" t="n">
        <v>0.0129</v>
      </c>
      <c r="R125" s="0" t="n">
        <v>0.006</v>
      </c>
      <c r="S125" s="0" t="n">
        <v>0.0077</v>
      </c>
      <c r="T125" s="0" t="n">
        <v>-1</v>
      </c>
      <c r="U125" s="0" t="n">
        <v>0.0081</v>
      </c>
      <c r="V125" s="0" t="s">
        <v>49</v>
      </c>
      <c r="W125" s="0" t="s">
        <v>49</v>
      </c>
      <c r="X125" s="0" t="s">
        <v>333</v>
      </c>
      <c r="Y125" s="0" t="s">
        <v>219</v>
      </c>
      <c r="Z125" s="0" t="s">
        <v>49</v>
      </c>
      <c r="AA125" s="0" t="s">
        <v>49</v>
      </c>
      <c r="AB125" s="0" t="s">
        <v>49</v>
      </c>
      <c r="AC125" s="0" t="s">
        <v>53</v>
      </c>
      <c r="AD125" s="0" t="s">
        <v>54</v>
      </c>
      <c r="AE125" s="0" t="s">
        <v>915</v>
      </c>
      <c r="AF125" s="0" t="s">
        <v>916</v>
      </c>
      <c r="AG125" s="0" t="s">
        <v>917</v>
      </c>
      <c r="AH125" s="0" t="s">
        <v>49</v>
      </c>
      <c r="AI125" s="0" t="s">
        <v>49</v>
      </c>
      <c r="AJ125" s="0" t="s">
        <v>49</v>
      </c>
      <c r="AK125" s="0" t="s">
        <v>49</v>
      </c>
      <c r="AL125" s="0" t="s">
        <v>49</v>
      </c>
    </row>
    <row r="126" s="2" customFormat="true" ht="15" hidden="false" customHeight="false" outlineLevel="0" collapsed="false">
      <c r="B126" s="2" t="str">
        <f aca="false">HYPERLINK("https://genome.ucsc.edu/cgi-bin/hgTracks?db=hg19&amp;position=chr12%3A58217738%2D58217741", "chr12:58217738")</f>
        <v>chr12:58217738</v>
      </c>
      <c r="C126" s="2" t="s">
        <v>98</v>
      </c>
      <c r="D126" s="2" t="n">
        <v>58217738</v>
      </c>
      <c r="E126" s="2" t="n">
        <v>58217741</v>
      </c>
      <c r="F126" s="2" t="s">
        <v>918</v>
      </c>
      <c r="G126" s="2" t="s">
        <v>190</v>
      </c>
      <c r="H126" s="2" t="s">
        <v>919</v>
      </c>
      <c r="I126" s="2" t="s">
        <v>572</v>
      </c>
      <c r="J126" s="2" t="s">
        <v>920</v>
      </c>
      <c r="K126" s="2" t="s">
        <v>49</v>
      </c>
      <c r="L126" s="2" t="s">
        <v>49</v>
      </c>
      <c r="M126" s="2" t="str">
        <f aca="false">HYPERLINK("https://www.genecards.org/Search/Keyword?queryString=%5Baliases%5D(%20CTDSP2%20)&amp;keywords=CTDSP2", "CTDSP2")</f>
        <v>CTDSP2</v>
      </c>
      <c r="N126" s="2" t="s">
        <v>45</v>
      </c>
      <c r="O126" s="2" t="s">
        <v>539</v>
      </c>
      <c r="P126" s="2" t="s">
        <v>921</v>
      </c>
      <c r="Q126" s="2" t="n">
        <v>-1</v>
      </c>
      <c r="R126" s="2" t="n">
        <v>-1</v>
      </c>
      <c r="S126" s="2" t="n">
        <v>-1</v>
      </c>
      <c r="T126" s="2" t="n">
        <v>-1</v>
      </c>
      <c r="U126" s="2" t="n">
        <v>-1</v>
      </c>
      <c r="V126" s="2" t="s">
        <v>49</v>
      </c>
      <c r="W126" s="2" t="s">
        <v>49</v>
      </c>
      <c r="X126" s="2" t="s">
        <v>49</v>
      </c>
      <c r="Y126" s="2" t="s">
        <v>49</v>
      </c>
      <c r="Z126" s="2" t="s">
        <v>49</v>
      </c>
      <c r="AA126" s="2" t="s">
        <v>49</v>
      </c>
      <c r="AB126" s="2" t="s">
        <v>49</v>
      </c>
      <c r="AC126" s="2" t="s">
        <v>53</v>
      </c>
      <c r="AD126" s="2" t="s">
        <v>209</v>
      </c>
      <c r="AE126" s="2" t="s">
        <v>922</v>
      </c>
      <c r="AF126" s="2" t="s">
        <v>923</v>
      </c>
      <c r="AG126" s="2" t="s">
        <v>924</v>
      </c>
      <c r="AH126" s="2" t="s">
        <v>49</v>
      </c>
      <c r="AI126" s="2" t="s">
        <v>49</v>
      </c>
      <c r="AJ126" s="2" t="s">
        <v>49</v>
      </c>
      <c r="AK126" s="2" t="s">
        <v>49</v>
      </c>
      <c r="AL126" s="2" t="s">
        <v>49</v>
      </c>
    </row>
    <row r="127" s="2" customFormat="true" ht="15" hidden="false" customHeight="false" outlineLevel="0" collapsed="false">
      <c r="B127" s="2" t="str">
        <f aca="false">HYPERLINK("https://genome.ucsc.edu/cgi-bin/hgTracks?db=hg19&amp;position=chr12%3A58217744%2D58217744", "chr12:58217744")</f>
        <v>chr12:58217744</v>
      </c>
      <c r="C127" s="2" t="s">
        <v>98</v>
      </c>
      <c r="D127" s="2" t="n">
        <v>58217744</v>
      </c>
      <c r="E127" s="2" t="n">
        <v>58217744</v>
      </c>
      <c r="F127" s="2" t="s">
        <v>190</v>
      </c>
      <c r="G127" s="2" t="s">
        <v>925</v>
      </c>
      <c r="H127" s="2" t="s">
        <v>926</v>
      </c>
      <c r="I127" s="2" t="s">
        <v>338</v>
      </c>
      <c r="J127" s="2" t="s">
        <v>927</v>
      </c>
      <c r="K127" s="2" t="s">
        <v>49</v>
      </c>
      <c r="L127" s="2" t="s">
        <v>49</v>
      </c>
      <c r="M127" s="2" t="str">
        <f aca="false">HYPERLINK("https://www.genecards.org/Search/Keyword?queryString=%5Baliases%5D(%20CTDSP2%20)&amp;keywords=CTDSP2", "CTDSP2")</f>
        <v>CTDSP2</v>
      </c>
      <c r="N127" s="2" t="s">
        <v>45</v>
      </c>
      <c r="O127" s="2" t="s">
        <v>259</v>
      </c>
      <c r="P127" s="2" t="s">
        <v>928</v>
      </c>
      <c r="Q127" s="2" t="n">
        <v>-1</v>
      </c>
      <c r="R127" s="2" t="n">
        <v>-1</v>
      </c>
      <c r="S127" s="2" t="n">
        <v>-1</v>
      </c>
      <c r="T127" s="2" t="n">
        <v>-1</v>
      </c>
      <c r="U127" s="2" t="n">
        <v>-1</v>
      </c>
      <c r="V127" s="2" t="s">
        <v>49</v>
      </c>
      <c r="W127" s="2" t="s">
        <v>49</v>
      </c>
      <c r="X127" s="2" t="s">
        <v>49</v>
      </c>
      <c r="Y127" s="2" t="s">
        <v>49</v>
      </c>
      <c r="Z127" s="2" t="s">
        <v>49</v>
      </c>
      <c r="AA127" s="2" t="s">
        <v>49</v>
      </c>
      <c r="AB127" s="2" t="s">
        <v>49</v>
      </c>
      <c r="AC127" s="2" t="s">
        <v>53</v>
      </c>
      <c r="AD127" s="2" t="s">
        <v>209</v>
      </c>
      <c r="AE127" s="2" t="s">
        <v>922</v>
      </c>
      <c r="AF127" s="2" t="s">
        <v>923</v>
      </c>
      <c r="AG127" s="2" t="s">
        <v>924</v>
      </c>
      <c r="AH127" s="2" t="s">
        <v>49</v>
      </c>
      <c r="AI127" s="2" t="s">
        <v>49</v>
      </c>
      <c r="AJ127" s="2" t="s">
        <v>49</v>
      </c>
      <c r="AK127" s="2" t="s">
        <v>49</v>
      </c>
      <c r="AL127" s="2" t="s">
        <v>49</v>
      </c>
    </row>
    <row r="128" customFormat="false" ht="15" hidden="false" customHeight="false" outlineLevel="0" collapsed="false">
      <c r="B128" s="0" t="str">
        <f aca="false">HYPERLINK("https://genome.ucsc.edu/cgi-bin/hgTracks?db=hg19&amp;position=chr12%3A66275407%2D66275410", "chr12:66275407")</f>
        <v>chr12:66275407</v>
      </c>
      <c r="C128" s="0" t="s">
        <v>98</v>
      </c>
      <c r="D128" s="0" t="n">
        <v>66275407</v>
      </c>
      <c r="E128" s="0" t="n">
        <v>66275410</v>
      </c>
      <c r="F128" s="0" t="s">
        <v>929</v>
      </c>
      <c r="G128" s="0" t="s">
        <v>190</v>
      </c>
      <c r="H128" s="0" t="s">
        <v>930</v>
      </c>
      <c r="I128" s="0" t="s">
        <v>314</v>
      </c>
      <c r="J128" s="0" t="s">
        <v>931</v>
      </c>
      <c r="K128" s="0" t="s">
        <v>49</v>
      </c>
      <c r="L128" s="0" t="str">
        <f aca="false">HYPERLINK("https://www.ncbi.nlm.nih.gov/snp/rs557400301", "rs557400301")</f>
        <v>rs557400301</v>
      </c>
      <c r="M128" s="0" t="str">
        <f aca="false">HYPERLINK("https://www.genecards.org/Search/Keyword?queryString=%5Baliases%5D(%20AK128707%20)%20OR%20%5Baliases%5D(%20HMGA2%20)%20OR%20%5Baliases%5D(%20HMGA2-AS1%20)&amp;keywords=AK128707,HMGA2,HMGA2-AS1", "AK128707;HMGA2;HMGA2-AS1")</f>
        <v>AK128707;HMGA2;HMGA2-AS1</v>
      </c>
      <c r="N128" s="0" t="s">
        <v>283</v>
      </c>
      <c r="O128" s="0" t="s">
        <v>49</v>
      </c>
      <c r="P128" s="0" t="s">
        <v>49</v>
      </c>
      <c r="Q128" s="0" t="n">
        <v>0.003</v>
      </c>
      <c r="R128" s="0" t="n">
        <v>0.001</v>
      </c>
      <c r="S128" s="0" t="n">
        <v>0.0012</v>
      </c>
      <c r="T128" s="0" t="n">
        <v>-1</v>
      </c>
      <c r="U128" s="0" t="n">
        <v>0.0008</v>
      </c>
      <c r="V128" s="0" t="s">
        <v>49</v>
      </c>
      <c r="W128" s="0" t="s">
        <v>49</v>
      </c>
      <c r="X128" s="0" t="s">
        <v>49</v>
      </c>
      <c r="Y128" s="0" t="s">
        <v>49</v>
      </c>
      <c r="Z128" s="0" t="s">
        <v>49</v>
      </c>
      <c r="AA128" s="0" t="s">
        <v>49</v>
      </c>
      <c r="AB128" s="0" t="s">
        <v>49</v>
      </c>
      <c r="AC128" s="0" t="s">
        <v>53</v>
      </c>
      <c r="AD128" s="0" t="s">
        <v>293</v>
      </c>
      <c r="AE128" s="0" t="s">
        <v>932</v>
      </c>
      <c r="AF128" s="0" t="s">
        <v>933</v>
      </c>
      <c r="AG128" s="0" t="s">
        <v>934</v>
      </c>
      <c r="AH128" s="0" t="s">
        <v>935</v>
      </c>
      <c r="AI128" s="0" t="s">
        <v>49</v>
      </c>
      <c r="AJ128" s="0" t="s">
        <v>49</v>
      </c>
      <c r="AK128" s="0" t="s">
        <v>49</v>
      </c>
      <c r="AL128" s="0" t="s">
        <v>49</v>
      </c>
    </row>
    <row r="129" customFormat="false" ht="15" hidden="false" customHeight="false" outlineLevel="0" collapsed="false">
      <c r="B129" s="0" t="str">
        <f aca="false">HYPERLINK("https://genome.ucsc.edu/cgi-bin/hgTracks?db=hg19&amp;position=chr12%3A70970457%2D70970457", "chr12:70970457")</f>
        <v>chr12:70970457</v>
      </c>
      <c r="C129" s="0" t="s">
        <v>98</v>
      </c>
      <c r="D129" s="0" t="n">
        <v>70970457</v>
      </c>
      <c r="E129" s="0" t="n">
        <v>70970457</v>
      </c>
      <c r="F129" s="0" t="s">
        <v>60</v>
      </c>
      <c r="G129" s="0" t="s">
        <v>40</v>
      </c>
      <c r="H129" s="0" t="s">
        <v>936</v>
      </c>
      <c r="I129" s="0" t="s">
        <v>370</v>
      </c>
      <c r="J129" s="0" t="s">
        <v>937</v>
      </c>
      <c r="K129" s="0" t="s">
        <v>49</v>
      </c>
      <c r="L129" s="0" t="str">
        <f aca="false">HYPERLINK("https://www.ncbi.nlm.nih.gov/snp/rs778165822", "rs778165822")</f>
        <v>rs778165822</v>
      </c>
      <c r="M129" s="0" t="str">
        <f aca="false">HYPERLINK("https://www.genecards.org/Search/Keyword?queryString=%5Baliases%5D(%20PTPRB%20)&amp;keywords=PTPRB", "PTPRB")</f>
        <v>PTPRB</v>
      </c>
      <c r="N129" s="0" t="s">
        <v>510</v>
      </c>
      <c r="O129" s="0" t="s">
        <v>49</v>
      </c>
      <c r="P129" s="0" t="s">
        <v>49</v>
      </c>
      <c r="Q129" s="0" t="n">
        <v>0.0074</v>
      </c>
      <c r="R129" s="0" t="n">
        <v>0.0023</v>
      </c>
      <c r="S129" s="0" t="n">
        <v>0.0038</v>
      </c>
      <c r="T129" s="0" t="n">
        <v>-1</v>
      </c>
      <c r="U129" s="0" t="n">
        <v>0.0064</v>
      </c>
      <c r="V129" s="0" t="s">
        <v>49</v>
      </c>
      <c r="W129" s="0" t="s">
        <v>49</v>
      </c>
      <c r="X129" s="0" t="s">
        <v>333</v>
      </c>
      <c r="Y129" s="0" t="s">
        <v>219</v>
      </c>
      <c r="Z129" s="0" t="s">
        <v>49</v>
      </c>
      <c r="AA129" s="0" t="s">
        <v>49</v>
      </c>
      <c r="AB129" s="0" t="s">
        <v>49</v>
      </c>
      <c r="AC129" s="0" t="s">
        <v>53</v>
      </c>
      <c r="AD129" s="0" t="s">
        <v>54</v>
      </c>
      <c r="AE129" s="0" t="s">
        <v>938</v>
      </c>
      <c r="AF129" s="0" t="s">
        <v>939</v>
      </c>
      <c r="AG129" s="0" t="s">
        <v>940</v>
      </c>
      <c r="AH129" s="0" t="s">
        <v>49</v>
      </c>
      <c r="AI129" s="0" t="s">
        <v>49</v>
      </c>
      <c r="AJ129" s="0" t="s">
        <v>49</v>
      </c>
      <c r="AK129" s="0" t="s">
        <v>49</v>
      </c>
      <c r="AL129" s="0" t="s">
        <v>49</v>
      </c>
    </row>
    <row r="130" customFormat="false" ht="15" hidden="false" customHeight="false" outlineLevel="0" collapsed="false">
      <c r="B130" s="0" t="str">
        <f aca="false">HYPERLINK("https://genome.ucsc.edu/cgi-bin/hgTracks?db=hg19&amp;position=chr12%3A102046303%2D102046303", "chr12:102046303")</f>
        <v>chr12:102046303</v>
      </c>
      <c r="C130" s="0" t="s">
        <v>98</v>
      </c>
      <c r="D130" s="0" t="n">
        <v>102046303</v>
      </c>
      <c r="E130" s="0" t="n">
        <v>102046303</v>
      </c>
      <c r="F130" s="0" t="s">
        <v>190</v>
      </c>
      <c r="G130" s="0" t="s">
        <v>941</v>
      </c>
      <c r="H130" s="0" t="s">
        <v>942</v>
      </c>
      <c r="I130" s="0" t="s">
        <v>289</v>
      </c>
      <c r="J130" s="0" t="s">
        <v>290</v>
      </c>
      <c r="K130" s="0" t="s">
        <v>49</v>
      </c>
      <c r="L130" s="0" t="s">
        <v>49</v>
      </c>
      <c r="M130" s="0" t="str">
        <f aca="false">HYPERLINK("https://www.genecards.org/Search/Keyword?queryString=%5Baliases%5D(%20MYBPC1%20)&amp;keywords=MYBPC1", "MYBPC1")</f>
        <v>MYBPC1</v>
      </c>
      <c r="N130" s="0" t="s">
        <v>283</v>
      </c>
      <c r="O130" s="0" t="s">
        <v>49</v>
      </c>
      <c r="P130" s="0" t="s">
        <v>49</v>
      </c>
      <c r="Q130" s="0" t="n">
        <v>0.0234</v>
      </c>
      <c r="R130" s="0" t="n">
        <v>0.015</v>
      </c>
      <c r="S130" s="0" t="n">
        <v>0.0138</v>
      </c>
      <c r="T130" s="0" t="n">
        <v>-1</v>
      </c>
      <c r="U130" s="0" t="n">
        <v>0.0167</v>
      </c>
      <c r="V130" s="0" t="s">
        <v>49</v>
      </c>
      <c r="W130" s="0" t="s">
        <v>49</v>
      </c>
      <c r="X130" s="0" t="s">
        <v>49</v>
      </c>
      <c r="Y130" s="0" t="s">
        <v>49</v>
      </c>
      <c r="Z130" s="0" t="s">
        <v>49</v>
      </c>
      <c r="AA130" s="0" t="s">
        <v>49</v>
      </c>
      <c r="AB130" s="0" t="s">
        <v>49</v>
      </c>
      <c r="AC130" s="0" t="s">
        <v>53</v>
      </c>
      <c r="AD130" s="0" t="s">
        <v>54</v>
      </c>
      <c r="AE130" s="0" t="s">
        <v>943</v>
      </c>
      <c r="AF130" s="0" t="s">
        <v>944</v>
      </c>
      <c r="AG130" s="0" t="s">
        <v>187</v>
      </c>
      <c r="AH130" s="0" t="s">
        <v>945</v>
      </c>
      <c r="AI130" s="0" t="s">
        <v>49</v>
      </c>
      <c r="AJ130" s="0" t="s">
        <v>49</v>
      </c>
      <c r="AK130" s="0" t="s">
        <v>49</v>
      </c>
      <c r="AL130" s="0" t="s">
        <v>49</v>
      </c>
    </row>
    <row r="131" customFormat="false" ht="15" hidden="false" customHeight="false" outlineLevel="0" collapsed="false">
      <c r="B131" s="0" t="str">
        <f aca="false">HYPERLINK("https://genome.ucsc.edu/cgi-bin/hgTracks?db=hg19&amp;position=chr12%3A102790988%2D102790988", "chr12:102790988")</f>
        <v>chr12:102790988</v>
      </c>
      <c r="C131" s="0" t="s">
        <v>98</v>
      </c>
      <c r="D131" s="0" t="n">
        <v>102790988</v>
      </c>
      <c r="E131" s="0" t="n">
        <v>102790988</v>
      </c>
      <c r="F131" s="0" t="s">
        <v>190</v>
      </c>
      <c r="G131" s="0" t="s">
        <v>61</v>
      </c>
      <c r="H131" s="0" t="s">
        <v>946</v>
      </c>
      <c r="I131" s="0" t="s">
        <v>947</v>
      </c>
      <c r="J131" s="0" t="s">
        <v>948</v>
      </c>
      <c r="K131" s="0" t="s">
        <v>49</v>
      </c>
      <c r="L131" s="0" t="s">
        <v>49</v>
      </c>
      <c r="M131" s="0" t="str">
        <f aca="false">HYPERLINK("https://www.genecards.org/Search/Keyword?queryString=%5Baliases%5D(%20IGF1%20)%20OR%20%5Baliases%5D(%20JX088243%20)&amp;keywords=IGF1,JX088243", "IGF1;JX088243")</f>
        <v>IGF1;JX088243</v>
      </c>
      <c r="N131" s="0" t="s">
        <v>240</v>
      </c>
      <c r="O131" s="0" t="s">
        <v>49</v>
      </c>
      <c r="P131" s="0" t="s">
        <v>949</v>
      </c>
      <c r="Q131" s="0" t="n">
        <v>0.0073</v>
      </c>
      <c r="R131" s="0" t="n">
        <v>0.0054</v>
      </c>
      <c r="S131" s="0" t="n">
        <v>0.004</v>
      </c>
      <c r="T131" s="0" t="n">
        <v>-1</v>
      </c>
      <c r="U131" s="0" t="n">
        <v>0.0046</v>
      </c>
      <c r="V131" s="0" t="s">
        <v>49</v>
      </c>
      <c r="W131" s="0" t="s">
        <v>49</v>
      </c>
      <c r="X131" s="0" t="s">
        <v>49</v>
      </c>
      <c r="Y131" s="0" t="s">
        <v>49</v>
      </c>
      <c r="Z131" s="0" t="s">
        <v>49</v>
      </c>
      <c r="AA131" s="0" t="s">
        <v>49</v>
      </c>
      <c r="AB131" s="0" t="s">
        <v>49</v>
      </c>
      <c r="AC131" s="0" t="s">
        <v>53</v>
      </c>
      <c r="AD131" s="0" t="s">
        <v>242</v>
      </c>
      <c r="AE131" s="0" t="s">
        <v>950</v>
      </c>
      <c r="AF131" s="0" t="s">
        <v>951</v>
      </c>
      <c r="AG131" s="0" t="s">
        <v>952</v>
      </c>
      <c r="AH131" s="0" t="s">
        <v>953</v>
      </c>
      <c r="AI131" s="0" t="s">
        <v>49</v>
      </c>
      <c r="AJ131" s="0" t="s">
        <v>49</v>
      </c>
      <c r="AK131" s="0" t="s">
        <v>49</v>
      </c>
      <c r="AL131" s="0" t="s">
        <v>49</v>
      </c>
    </row>
    <row r="132" customFormat="false" ht="15" hidden="false" customHeight="false" outlineLevel="0" collapsed="false">
      <c r="B132" s="0" t="str">
        <f aca="false">HYPERLINK("https://genome.ucsc.edu/cgi-bin/hgTracks?db=hg19&amp;position=chr12%3A102792578%2D102792578", "chr12:102792578")</f>
        <v>chr12:102792578</v>
      </c>
      <c r="C132" s="0" t="s">
        <v>98</v>
      </c>
      <c r="D132" s="0" t="n">
        <v>102792578</v>
      </c>
      <c r="E132" s="0" t="n">
        <v>102792578</v>
      </c>
      <c r="F132" s="0" t="s">
        <v>40</v>
      </c>
      <c r="G132" s="0" t="s">
        <v>190</v>
      </c>
      <c r="H132" s="0" t="s">
        <v>954</v>
      </c>
      <c r="I132" s="0" t="s">
        <v>42</v>
      </c>
      <c r="J132" s="0" t="s">
        <v>955</v>
      </c>
      <c r="K132" s="0" t="s">
        <v>49</v>
      </c>
      <c r="L132" s="0" t="str">
        <f aca="false">HYPERLINK("https://www.ncbi.nlm.nih.gov/snp/rs915595791", "rs915595791")</f>
        <v>rs915595791</v>
      </c>
      <c r="M132" s="0" t="str">
        <f aca="false">HYPERLINK("https://www.genecards.org/Search/Keyword?queryString=%5Baliases%5D(%20IGF1%20)%20OR%20%5Baliases%5D(%20JX088243%20)&amp;keywords=IGF1,JX088243", "IGF1;JX088243")</f>
        <v>IGF1;JX088243</v>
      </c>
      <c r="N132" s="0" t="s">
        <v>240</v>
      </c>
      <c r="O132" s="0" t="s">
        <v>49</v>
      </c>
      <c r="P132" s="0" t="s">
        <v>956</v>
      </c>
      <c r="Q132" s="0" t="n">
        <v>0.0032</v>
      </c>
      <c r="R132" s="0" t="n">
        <v>0.0032</v>
      </c>
      <c r="S132" s="0" t="n">
        <v>0.0022</v>
      </c>
      <c r="T132" s="0" t="n">
        <v>-1</v>
      </c>
      <c r="U132" s="0" t="n">
        <v>0.0063</v>
      </c>
      <c r="V132" s="0" t="s">
        <v>49</v>
      </c>
      <c r="W132" s="0" t="s">
        <v>49</v>
      </c>
      <c r="X132" s="0" t="s">
        <v>49</v>
      </c>
      <c r="Y132" s="0" t="s">
        <v>49</v>
      </c>
      <c r="Z132" s="0" t="s">
        <v>49</v>
      </c>
      <c r="AA132" s="0" t="s">
        <v>49</v>
      </c>
      <c r="AB132" s="0" t="s">
        <v>49</v>
      </c>
      <c r="AC132" s="0" t="s">
        <v>53</v>
      </c>
      <c r="AD132" s="0" t="s">
        <v>242</v>
      </c>
      <c r="AE132" s="0" t="s">
        <v>950</v>
      </c>
      <c r="AF132" s="0" t="s">
        <v>951</v>
      </c>
      <c r="AG132" s="0" t="s">
        <v>952</v>
      </c>
      <c r="AH132" s="0" t="s">
        <v>953</v>
      </c>
      <c r="AI132" s="0" t="s">
        <v>49</v>
      </c>
      <c r="AJ132" s="0" t="s">
        <v>49</v>
      </c>
      <c r="AK132" s="0" t="s">
        <v>49</v>
      </c>
      <c r="AL132" s="0" t="s">
        <v>49</v>
      </c>
    </row>
    <row r="133" customFormat="false" ht="15" hidden="false" customHeight="false" outlineLevel="0" collapsed="false">
      <c r="B133" s="0" t="str">
        <f aca="false">HYPERLINK("https://genome.ucsc.edu/cgi-bin/hgTracks?db=hg19&amp;position=chr12%3A120806129%2D120806129", "chr12:120806129")</f>
        <v>chr12:120806129</v>
      </c>
      <c r="C133" s="0" t="s">
        <v>98</v>
      </c>
      <c r="D133" s="0" t="n">
        <v>120806129</v>
      </c>
      <c r="E133" s="0" t="n">
        <v>120806129</v>
      </c>
      <c r="F133" s="0" t="s">
        <v>39</v>
      </c>
      <c r="G133" s="0" t="s">
        <v>40</v>
      </c>
      <c r="H133" s="0" t="s">
        <v>957</v>
      </c>
      <c r="I133" s="0" t="s">
        <v>958</v>
      </c>
      <c r="J133" s="0" t="s">
        <v>959</v>
      </c>
      <c r="K133" s="0" t="s">
        <v>49</v>
      </c>
      <c r="L133" s="0" t="s">
        <v>49</v>
      </c>
      <c r="M133" s="0" t="str">
        <f aca="false">HYPERLINK("https://www.genecards.org/Search/Keyword?queryString=%5Baliases%5D(%20MSI1%20)&amp;keywords=MSI1", "MSI1")</f>
        <v>MSI1</v>
      </c>
      <c r="N133" s="0" t="s">
        <v>510</v>
      </c>
      <c r="O133" s="0" t="s">
        <v>49</v>
      </c>
      <c r="P133" s="0" t="s">
        <v>49</v>
      </c>
      <c r="Q133" s="0" t="n">
        <v>0.0049</v>
      </c>
      <c r="R133" s="0" t="n">
        <v>0.0018</v>
      </c>
      <c r="S133" s="0" t="n">
        <v>0.0011</v>
      </c>
      <c r="T133" s="0" t="n">
        <v>-1</v>
      </c>
      <c r="U133" s="0" t="n">
        <v>0.0024</v>
      </c>
      <c r="V133" s="0" t="s">
        <v>49</v>
      </c>
      <c r="W133" s="0" t="s">
        <v>49</v>
      </c>
      <c r="X133" s="0" t="s">
        <v>517</v>
      </c>
      <c r="Y133" s="0" t="s">
        <v>219</v>
      </c>
      <c r="Z133" s="0" t="s">
        <v>49</v>
      </c>
      <c r="AA133" s="0" t="s">
        <v>49</v>
      </c>
      <c r="AB133" s="0" t="s">
        <v>49</v>
      </c>
      <c r="AC133" s="0" t="s">
        <v>231</v>
      </c>
      <c r="AD133" s="0" t="s">
        <v>54</v>
      </c>
      <c r="AE133" s="0" t="s">
        <v>960</v>
      </c>
      <c r="AF133" s="0" t="s">
        <v>961</v>
      </c>
      <c r="AG133" s="0" t="s">
        <v>962</v>
      </c>
      <c r="AH133" s="0" t="s">
        <v>49</v>
      </c>
      <c r="AI133" s="0" t="s">
        <v>49</v>
      </c>
      <c r="AJ133" s="0" t="s">
        <v>49</v>
      </c>
      <c r="AK133" s="0" t="s">
        <v>49</v>
      </c>
      <c r="AL133" s="0" t="s">
        <v>49</v>
      </c>
    </row>
    <row r="134" customFormat="false" ht="15" hidden="false" customHeight="false" outlineLevel="0" collapsed="false">
      <c r="B134" s="0" t="str">
        <f aca="false">HYPERLINK("https://genome.ucsc.edu/cgi-bin/hgTracks?db=hg19&amp;position=chr13%3A25021415%2D25021415", "chr13:25021415")</f>
        <v>chr13:25021415</v>
      </c>
      <c r="C134" s="0" t="s">
        <v>963</v>
      </c>
      <c r="D134" s="0" t="n">
        <v>25021415</v>
      </c>
      <c r="E134" s="0" t="n">
        <v>25021415</v>
      </c>
      <c r="F134" s="0" t="s">
        <v>40</v>
      </c>
      <c r="G134" s="0" t="s">
        <v>39</v>
      </c>
      <c r="H134" s="0" t="s">
        <v>801</v>
      </c>
      <c r="I134" s="0" t="s">
        <v>214</v>
      </c>
      <c r="J134" s="0" t="s">
        <v>964</v>
      </c>
      <c r="K134" s="0" t="s">
        <v>49</v>
      </c>
      <c r="L134" s="0" t="s">
        <v>49</v>
      </c>
      <c r="M134" s="0" t="str">
        <f aca="false">HYPERLINK("https://www.genecards.org/Search/Keyword?queryString=%5Baliases%5D(%20PARP4%20)&amp;keywords=PARP4", "PARP4")</f>
        <v>PARP4</v>
      </c>
      <c r="N134" s="0" t="s">
        <v>283</v>
      </c>
      <c r="O134" s="0" t="s">
        <v>49</v>
      </c>
      <c r="P134" s="0" t="s">
        <v>49</v>
      </c>
      <c r="Q134" s="0" t="n">
        <v>-1</v>
      </c>
      <c r="R134" s="0" t="n">
        <v>-1</v>
      </c>
      <c r="S134" s="0" t="n">
        <v>-1</v>
      </c>
      <c r="T134" s="0" t="n">
        <v>-1</v>
      </c>
      <c r="U134" s="0" t="n">
        <v>-1</v>
      </c>
      <c r="V134" s="0" t="s">
        <v>49</v>
      </c>
      <c r="W134" s="0" t="s">
        <v>49</v>
      </c>
      <c r="X134" s="0" t="s">
        <v>333</v>
      </c>
      <c r="Y134" s="0" t="s">
        <v>219</v>
      </c>
      <c r="Z134" s="0" t="s">
        <v>49</v>
      </c>
      <c r="AA134" s="0" t="s">
        <v>49</v>
      </c>
      <c r="AB134" s="0" t="s">
        <v>49</v>
      </c>
      <c r="AC134" s="0" t="s">
        <v>53</v>
      </c>
      <c r="AD134" s="0" t="s">
        <v>54</v>
      </c>
      <c r="AE134" s="0" t="s">
        <v>965</v>
      </c>
      <c r="AF134" s="0" t="s">
        <v>966</v>
      </c>
      <c r="AG134" s="0" t="s">
        <v>49</v>
      </c>
      <c r="AH134" s="0" t="s">
        <v>49</v>
      </c>
      <c r="AI134" s="0" t="s">
        <v>49</v>
      </c>
      <c r="AJ134" s="0" t="s">
        <v>49</v>
      </c>
      <c r="AK134" s="0" t="s">
        <v>49</v>
      </c>
      <c r="AL134" s="0" t="s">
        <v>49</v>
      </c>
    </row>
    <row r="135" customFormat="false" ht="15" hidden="false" customHeight="false" outlineLevel="0" collapsed="false">
      <c r="B135" s="0" t="str">
        <f aca="false">HYPERLINK("https://genome.ucsc.edu/cgi-bin/hgTracks?db=hg19&amp;position=chr13%3A77750765%2D77750765", "chr13:77750765")</f>
        <v>chr13:77750765</v>
      </c>
      <c r="C135" s="0" t="s">
        <v>963</v>
      </c>
      <c r="D135" s="0" t="n">
        <v>77750765</v>
      </c>
      <c r="E135" s="0" t="n">
        <v>77750765</v>
      </c>
      <c r="F135" s="0" t="s">
        <v>190</v>
      </c>
      <c r="G135" s="0" t="s">
        <v>61</v>
      </c>
      <c r="H135" s="0" t="s">
        <v>967</v>
      </c>
      <c r="I135" s="0" t="s">
        <v>459</v>
      </c>
      <c r="J135" s="0" t="s">
        <v>968</v>
      </c>
      <c r="K135" s="0" t="s">
        <v>49</v>
      </c>
      <c r="L135" s="0" t="str">
        <f aca="false">HYPERLINK("https://www.ncbi.nlm.nih.gov/snp/rs754771743", "rs754771743")</f>
        <v>rs754771743</v>
      </c>
      <c r="M135" s="0" t="str">
        <f aca="false">HYPERLINK("https://www.genecards.org/Search/Keyword?queryString=%5Baliases%5D(%20MYCBP2%20)&amp;keywords=MYCBP2", "MYCBP2")</f>
        <v>MYCBP2</v>
      </c>
      <c r="N135" s="0" t="s">
        <v>196</v>
      </c>
      <c r="O135" s="0" t="s">
        <v>49</v>
      </c>
      <c r="P135" s="0" t="s">
        <v>969</v>
      </c>
      <c r="Q135" s="0" t="n">
        <v>0.0195</v>
      </c>
      <c r="R135" s="0" t="n">
        <v>0.0063</v>
      </c>
      <c r="S135" s="0" t="n">
        <v>0.0051</v>
      </c>
      <c r="T135" s="0" t="n">
        <v>-1</v>
      </c>
      <c r="U135" s="0" t="n">
        <v>0.0222</v>
      </c>
      <c r="V135" s="0" t="s">
        <v>49</v>
      </c>
      <c r="W135" s="0" t="s">
        <v>49</v>
      </c>
      <c r="X135" s="0" t="s">
        <v>49</v>
      </c>
      <c r="Y135" s="0" t="s">
        <v>49</v>
      </c>
      <c r="Z135" s="0" t="s">
        <v>49</v>
      </c>
      <c r="AA135" s="0" t="s">
        <v>49</v>
      </c>
      <c r="AB135" s="0" t="s">
        <v>49</v>
      </c>
      <c r="AC135" s="0" t="s">
        <v>53</v>
      </c>
      <c r="AD135" s="0" t="s">
        <v>54</v>
      </c>
      <c r="AE135" s="0" t="s">
        <v>54</v>
      </c>
      <c r="AF135" s="0" t="s">
        <v>970</v>
      </c>
      <c r="AG135" s="0" t="s">
        <v>971</v>
      </c>
      <c r="AH135" s="0" t="s">
        <v>49</v>
      </c>
      <c r="AI135" s="0" t="s">
        <v>49</v>
      </c>
      <c r="AJ135" s="0" t="s">
        <v>49</v>
      </c>
      <c r="AK135" s="0" t="s">
        <v>49</v>
      </c>
      <c r="AL135" s="0" t="s">
        <v>49</v>
      </c>
    </row>
    <row r="136" customFormat="false" ht="15" hidden="false" customHeight="false" outlineLevel="0" collapsed="false">
      <c r="B136" s="0" t="str">
        <f aca="false">HYPERLINK("https://genome.ucsc.edu/cgi-bin/hgTracks?db=hg19&amp;position=chr13%3A101735355%2D101735355", "chr13:101735355")</f>
        <v>chr13:101735355</v>
      </c>
      <c r="C136" s="0" t="s">
        <v>963</v>
      </c>
      <c r="D136" s="0" t="n">
        <v>101735355</v>
      </c>
      <c r="E136" s="0" t="n">
        <v>101735355</v>
      </c>
      <c r="F136" s="0" t="s">
        <v>39</v>
      </c>
      <c r="G136" s="0" t="s">
        <v>40</v>
      </c>
      <c r="H136" s="0" t="s">
        <v>972</v>
      </c>
      <c r="I136" s="0" t="s">
        <v>973</v>
      </c>
      <c r="J136" s="0" t="s">
        <v>974</v>
      </c>
      <c r="K136" s="0" t="s">
        <v>49</v>
      </c>
      <c r="L136" s="0" t="str">
        <f aca="false">HYPERLINK("https://www.ncbi.nlm.nih.gov/snp/rs17581591", "rs17581591")</f>
        <v>rs17581591</v>
      </c>
      <c r="M136" s="0" t="str">
        <f aca="false">HYPERLINK("https://www.genecards.org/Search/Keyword?queryString=%5Baliases%5D(%20NALCN%20)&amp;keywords=NALCN", "NALCN")</f>
        <v>NALCN</v>
      </c>
      <c r="N136" s="0" t="s">
        <v>510</v>
      </c>
      <c r="O136" s="0" t="s">
        <v>49</v>
      </c>
      <c r="P136" s="0" t="s">
        <v>49</v>
      </c>
      <c r="Q136" s="0" t="n">
        <v>0.0276</v>
      </c>
      <c r="R136" s="0" t="n">
        <v>0.0254</v>
      </c>
      <c r="S136" s="0" t="n">
        <v>0.024</v>
      </c>
      <c r="T136" s="0" t="n">
        <v>-1</v>
      </c>
      <c r="U136" s="0" t="n">
        <v>0.0315</v>
      </c>
      <c r="V136" s="0" t="s">
        <v>49</v>
      </c>
      <c r="W136" s="0" t="s">
        <v>49</v>
      </c>
      <c r="X136" s="0" t="s">
        <v>517</v>
      </c>
      <c r="Y136" s="0" t="s">
        <v>219</v>
      </c>
      <c r="Z136" s="0" t="s">
        <v>49</v>
      </c>
      <c r="AA136" s="0" t="s">
        <v>49</v>
      </c>
      <c r="AB136" s="0" t="s">
        <v>49</v>
      </c>
      <c r="AC136" s="0" t="s">
        <v>53</v>
      </c>
      <c r="AD136" s="0" t="s">
        <v>54</v>
      </c>
      <c r="AE136" s="0" t="s">
        <v>975</v>
      </c>
      <c r="AF136" s="0" t="s">
        <v>976</v>
      </c>
      <c r="AG136" s="0" t="s">
        <v>977</v>
      </c>
      <c r="AH136" s="0" t="s">
        <v>978</v>
      </c>
      <c r="AI136" s="0" t="s">
        <v>49</v>
      </c>
      <c r="AJ136" s="0" t="s">
        <v>49</v>
      </c>
      <c r="AK136" s="0" t="s">
        <v>49</v>
      </c>
      <c r="AL136" s="0" t="s">
        <v>49</v>
      </c>
    </row>
    <row r="137" customFormat="false" ht="15" hidden="false" customHeight="false" outlineLevel="0" collapsed="false">
      <c r="B137" s="0" t="str">
        <f aca="false">HYPERLINK("https://genome.ucsc.edu/cgi-bin/hgTracks?db=hg19&amp;position=chr13%3A114780613%2D114780613", "chr13:114780613")</f>
        <v>chr13:114780613</v>
      </c>
      <c r="C137" s="0" t="s">
        <v>963</v>
      </c>
      <c r="D137" s="0" t="n">
        <v>114780613</v>
      </c>
      <c r="E137" s="0" t="n">
        <v>114780613</v>
      </c>
      <c r="F137" s="0" t="s">
        <v>60</v>
      </c>
      <c r="G137" s="0" t="s">
        <v>61</v>
      </c>
      <c r="H137" s="0" t="s">
        <v>979</v>
      </c>
      <c r="I137" s="0" t="s">
        <v>265</v>
      </c>
      <c r="J137" s="0" t="s">
        <v>980</v>
      </c>
      <c r="K137" s="0" t="s">
        <v>49</v>
      </c>
      <c r="L137" s="0" t="str">
        <f aca="false">HYPERLINK("https://www.ncbi.nlm.nih.gov/snp/rs779337424", "rs779337424")</f>
        <v>rs779337424</v>
      </c>
      <c r="M137" s="0" t="str">
        <f aca="false">HYPERLINK("https://www.genecards.org/Search/Keyword?queryString=%5Baliases%5D(%20RASA3%20)&amp;keywords=RASA3", "RASA3")</f>
        <v>RASA3</v>
      </c>
      <c r="N137" s="0" t="s">
        <v>510</v>
      </c>
      <c r="O137" s="0" t="s">
        <v>49</v>
      </c>
      <c r="P137" s="0" t="s">
        <v>49</v>
      </c>
      <c r="Q137" s="0" t="n">
        <v>0.002463</v>
      </c>
      <c r="R137" s="0" t="n">
        <v>0.0028</v>
      </c>
      <c r="S137" s="0" t="n">
        <v>0.0021</v>
      </c>
      <c r="T137" s="0" t="n">
        <v>-1</v>
      </c>
      <c r="U137" s="0" t="n">
        <v>0.004</v>
      </c>
      <c r="V137" s="0" t="s">
        <v>49</v>
      </c>
      <c r="W137" s="0" t="s">
        <v>49</v>
      </c>
      <c r="X137" s="0" t="s">
        <v>333</v>
      </c>
      <c r="Y137" s="0" t="s">
        <v>219</v>
      </c>
      <c r="Z137" s="0" t="s">
        <v>49</v>
      </c>
      <c r="AA137" s="0" t="s">
        <v>49</v>
      </c>
      <c r="AB137" s="0" t="s">
        <v>49</v>
      </c>
      <c r="AC137" s="0" t="s">
        <v>53</v>
      </c>
      <c r="AD137" s="0" t="s">
        <v>54</v>
      </c>
      <c r="AE137" s="0" t="s">
        <v>981</v>
      </c>
      <c r="AF137" s="0" t="s">
        <v>982</v>
      </c>
      <c r="AG137" s="0" t="s">
        <v>983</v>
      </c>
      <c r="AH137" s="0" t="s">
        <v>49</v>
      </c>
      <c r="AI137" s="0" t="s">
        <v>49</v>
      </c>
      <c r="AJ137" s="0" t="s">
        <v>49</v>
      </c>
      <c r="AK137" s="0" t="s">
        <v>49</v>
      </c>
      <c r="AL137" s="0" t="s">
        <v>49</v>
      </c>
    </row>
    <row r="138" customFormat="false" ht="15" hidden="false" customHeight="false" outlineLevel="0" collapsed="false">
      <c r="B138" s="0" t="str">
        <f aca="false">HYPERLINK("https://genome.ucsc.edu/cgi-bin/hgTracks?db=hg19&amp;position=chr14%3A23550792%2D23550792", "chr14:23550792")</f>
        <v>chr14:23550792</v>
      </c>
      <c r="C138" s="0" t="s">
        <v>71</v>
      </c>
      <c r="D138" s="0" t="n">
        <v>23550792</v>
      </c>
      <c r="E138" s="0" t="n">
        <v>23550792</v>
      </c>
      <c r="F138" s="0" t="s">
        <v>40</v>
      </c>
      <c r="G138" s="0" t="s">
        <v>39</v>
      </c>
      <c r="H138" s="0" t="s">
        <v>984</v>
      </c>
      <c r="I138" s="0" t="s">
        <v>556</v>
      </c>
      <c r="J138" s="0" t="s">
        <v>985</v>
      </c>
      <c r="K138" s="0" t="s">
        <v>49</v>
      </c>
      <c r="L138" s="0" t="str">
        <f aca="false">HYPERLINK("https://www.ncbi.nlm.nih.gov/snp/rs45461391", "rs45461391")</f>
        <v>rs45461391</v>
      </c>
      <c r="M138" s="0" t="str">
        <f aca="false">HYPERLINK("https://www.genecards.org/Search/Keyword?queryString=%5Baliases%5D(%20ACIN1%20)&amp;keywords=ACIN1", "ACIN1")</f>
        <v>ACIN1</v>
      </c>
      <c r="N138" s="0" t="s">
        <v>510</v>
      </c>
      <c r="O138" s="0" t="s">
        <v>49</v>
      </c>
      <c r="P138" s="0" t="s">
        <v>49</v>
      </c>
      <c r="Q138" s="0" t="n">
        <v>0.0115</v>
      </c>
      <c r="R138" s="0" t="n">
        <v>0.0053</v>
      </c>
      <c r="S138" s="0" t="n">
        <v>0.0054</v>
      </c>
      <c r="T138" s="0" t="n">
        <v>-1</v>
      </c>
      <c r="U138" s="0" t="n">
        <v>0.0063</v>
      </c>
      <c r="V138" s="0" t="s">
        <v>49</v>
      </c>
      <c r="W138" s="0" t="s">
        <v>49</v>
      </c>
      <c r="X138" s="0" t="s">
        <v>517</v>
      </c>
      <c r="Y138" s="0" t="s">
        <v>219</v>
      </c>
      <c r="Z138" s="0" t="s">
        <v>49</v>
      </c>
      <c r="AA138" s="0" t="s">
        <v>49</v>
      </c>
      <c r="AB138" s="0" t="s">
        <v>49</v>
      </c>
      <c r="AC138" s="0" t="s">
        <v>53</v>
      </c>
      <c r="AD138" s="0" t="s">
        <v>54</v>
      </c>
      <c r="AE138" s="0" t="s">
        <v>986</v>
      </c>
      <c r="AF138" s="0" t="s">
        <v>987</v>
      </c>
      <c r="AG138" s="0" t="s">
        <v>988</v>
      </c>
      <c r="AH138" s="0" t="s">
        <v>49</v>
      </c>
      <c r="AI138" s="0" t="s">
        <v>49</v>
      </c>
      <c r="AJ138" s="0" t="s">
        <v>49</v>
      </c>
      <c r="AK138" s="0" t="s">
        <v>49</v>
      </c>
      <c r="AL138" s="0" t="s">
        <v>49</v>
      </c>
    </row>
    <row r="139" customFormat="false" ht="15" hidden="false" customHeight="false" outlineLevel="0" collapsed="false">
      <c r="B139" s="0" t="str">
        <f aca="false">HYPERLINK("https://genome.ucsc.edu/cgi-bin/hgTracks?db=hg19&amp;position=chr14%3A24976473%2D24976473", "chr14:24976473")</f>
        <v>chr14:24976473</v>
      </c>
      <c r="C139" s="0" t="s">
        <v>71</v>
      </c>
      <c r="D139" s="0" t="n">
        <v>24976473</v>
      </c>
      <c r="E139" s="0" t="n">
        <v>24976473</v>
      </c>
      <c r="F139" s="0" t="s">
        <v>39</v>
      </c>
      <c r="G139" s="0" t="s">
        <v>61</v>
      </c>
      <c r="H139" s="0" t="s">
        <v>989</v>
      </c>
      <c r="I139" s="0" t="s">
        <v>515</v>
      </c>
      <c r="J139" s="0" t="s">
        <v>990</v>
      </c>
      <c r="K139" s="0" t="s">
        <v>49</v>
      </c>
      <c r="L139" s="0" t="s">
        <v>49</v>
      </c>
      <c r="M139" s="0" t="str">
        <f aca="false">HYPERLINK("https://www.genecards.org/Search/Keyword?queryString=%5Baliases%5D(%20CMA1%20)&amp;keywords=CMA1", "CMA1")</f>
        <v>CMA1</v>
      </c>
      <c r="N139" s="0" t="s">
        <v>510</v>
      </c>
      <c r="O139" s="0" t="s">
        <v>49</v>
      </c>
      <c r="P139" s="0" t="s">
        <v>49</v>
      </c>
      <c r="Q139" s="0" t="n">
        <v>-1</v>
      </c>
      <c r="R139" s="0" t="n">
        <v>-1</v>
      </c>
      <c r="S139" s="0" t="n">
        <v>-1</v>
      </c>
      <c r="T139" s="0" t="n">
        <v>-1</v>
      </c>
      <c r="U139" s="0" t="n">
        <v>-1</v>
      </c>
      <c r="V139" s="0" t="s">
        <v>49</v>
      </c>
      <c r="W139" s="0" t="s">
        <v>49</v>
      </c>
      <c r="X139" s="0" t="s">
        <v>517</v>
      </c>
      <c r="Y139" s="0" t="s">
        <v>219</v>
      </c>
      <c r="Z139" s="0" t="s">
        <v>49</v>
      </c>
      <c r="AA139" s="0" t="s">
        <v>49</v>
      </c>
      <c r="AB139" s="0" t="s">
        <v>49</v>
      </c>
      <c r="AC139" s="0" t="s">
        <v>53</v>
      </c>
      <c r="AD139" s="0" t="s">
        <v>54</v>
      </c>
      <c r="AE139" s="0" t="s">
        <v>991</v>
      </c>
      <c r="AF139" s="0" t="s">
        <v>992</v>
      </c>
      <c r="AG139" s="0" t="s">
        <v>993</v>
      </c>
      <c r="AH139" s="0" t="s">
        <v>49</v>
      </c>
      <c r="AI139" s="0" t="s">
        <v>49</v>
      </c>
      <c r="AJ139" s="0" t="s">
        <v>49</v>
      </c>
      <c r="AK139" s="0" t="s">
        <v>49</v>
      </c>
      <c r="AL139" s="0" t="s">
        <v>49</v>
      </c>
    </row>
    <row r="140" customFormat="false" ht="15" hidden="false" customHeight="false" outlineLevel="0" collapsed="false">
      <c r="B140" s="0" t="str">
        <f aca="false">HYPERLINK("https://genome.ucsc.edu/cgi-bin/hgTracks?db=hg19&amp;position=chr14%3A36103679%2D36103679", "chr14:36103679")</f>
        <v>chr14:36103679</v>
      </c>
      <c r="C140" s="0" t="s">
        <v>71</v>
      </c>
      <c r="D140" s="0" t="n">
        <v>36103679</v>
      </c>
      <c r="E140" s="0" t="n">
        <v>36103679</v>
      </c>
      <c r="F140" s="0" t="s">
        <v>60</v>
      </c>
      <c r="G140" s="0" t="s">
        <v>39</v>
      </c>
      <c r="H140" s="0" t="s">
        <v>994</v>
      </c>
      <c r="I140" s="0" t="s">
        <v>995</v>
      </c>
      <c r="J140" s="0" t="s">
        <v>996</v>
      </c>
      <c r="K140" s="0" t="s">
        <v>49</v>
      </c>
      <c r="L140" s="0" t="str">
        <f aca="false">HYPERLINK("https://www.ncbi.nlm.nih.gov/snp/rs72668482", "rs72668482")</f>
        <v>rs72668482</v>
      </c>
      <c r="M140" s="0" t="str">
        <f aca="false">HYPERLINK("https://www.genecards.org/Search/Keyword?queryString=%5Baliases%5D(%20RALGAPA1%20)&amp;keywords=RALGAPA1", "RALGAPA1")</f>
        <v>RALGAPA1</v>
      </c>
      <c r="N140" s="0" t="s">
        <v>510</v>
      </c>
      <c r="O140" s="0" t="s">
        <v>49</v>
      </c>
      <c r="P140" s="0" t="s">
        <v>49</v>
      </c>
      <c r="Q140" s="0" t="n">
        <v>0.0276</v>
      </c>
      <c r="R140" s="0" t="n">
        <v>0.023</v>
      </c>
      <c r="S140" s="0" t="n">
        <v>0.0223</v>
      </c>
      <c r="T140" s="0" t="n">
        <v>-1</v>
      </c>
      <c r="U140" s="0" t="n">
        <v>0.0194</v>
      </c>
      <c r="V140" s="0" t="s">
        <v>49</v>
      </c>
      <c r="W140" s="0" t="s">
        <v>49</v>
      </c>
      <c r="X140" s="0" t="s">
        <v>517</v>
      </c>
      <c r="Y140" s="0" t="s">
        <v>219</v>
      </c>
      <c r="Z140" s="0" t="s">
        <v>49</v>
      </c>
      <c r="AA140" s="0" t="s">
        <v>49</v>
      </c>
      <c r="AB140" s="0" t="s">
        <v>49</v>
      </c>
      <c r="AC140" s="0" t="s">
        <v>53</v>
      </c>
      <c r="AD140" s="0" t="s">
        <v>54</v>
      </c>
      <c r="AE140" s="0" t="s">
        <v>997</v>
      </c>
      <c r="AF140" s="0" t="s">
        <v>998</v>
      </c>
      <c r="AG140" s="0" t="s">
        <v>999</v>
      </c>
      <c r="AH140" s="0" t="s">
        <v>49</v>
      </c>
      <c r="AI140" s="0" t="s">
        <v>49</v>
      </c>
      <c r="AJ140" s="0" t="s">
        <v>49</v>
      </c>
      <c r="AK140" s="0" t="s">
        <v>49</v>
      </c>
      <c r="AL140" s="0" t="s">
        <v>49</v>
      </c>
    </row>
    <row r="141" customFormat="false" ht="15" hidden="false" customHeight="false" outlineLevel="0" collapsed="false">
      <c r="B141" s="0" t="str">
        <f aca="false">HYPERLINK("https://genome.ucsc.edu/cgi-bin/hgTracks?db=hg19&amp;position=chr14%3A50089988%2D50089988", "chr14:50089988")</f>
        <v>chr14:50089988</v>
      </c>
      <c r="C141" s="0" t="s">
        <v>71</v>
      </c>
      <c r="D141" s="0" t="n">
        <v>50089988</v>
      </c>
      <c r="E141" s="0" t="n">
        <v>50089988</v>
      </c>
      <c r="F141" s="0" t="s">
        <v>190</v>
      </c>
      <c r="G141" s="0" t="s">
        <v>40</v>
      </c>
      <c r="H141" s="0" t="s">
        <v>1000</v>
      </c>
      <c r="I141" s="0" t="s">
        <v>1001</v>
      </c>
      <c r="J141" s="0" t="s">
        <v>1002</v>
      </c>
      <c r="K141" s="0" t="s">
        <v>49</v>
      </c>
      <c r="L141" s="0" t="str">
        <f aca="false">HYPERLINK("https://www.ncbi.nlm.nih.gov/snp/rs919869818", "rs919869818")</f>
        <v>rs919869818</v>
      </c>
      <c r="M141" s="0" t="str">
        <f aca="false">HYPERLINK("https://www.genecards.org/Search/Keyword?queryString=%5Baliases%5D(%20MGAT2%20)&amp;keywords=MGAT2", "MGAT2")</f>
        <v>MGAT2</v>
      </c>
      <c r="N141" s="0" t="s">
        <v>240</v>
      </c>
      <c r="O141" s="0" t="s">
        <v>49</v>
      </c>
      <c r="P141" s="0" t="s">
        <v>1003</v>
      </c>
      <c r="Q141" s="0" t="n">
        <v>0.0131</v>
      </c>
      <c r="R141" s="0" t="n">
        <v>0.006</v>
      </c>
      <c r="S141" s="0" t="n">
        <v>0.0099</v>
      </c>
      <c r="T141" s="0" t="n">
        <v>-1</v>
      </c>
      <c r="U141" s="0" t="n">
        <v>0.0185</v>
      </c>
      <c r="V141" s="0" t="s">
        <v>49</v>
      </c>
      <c r="W141" s="0" t="s">
        <v>49</v>
      </c>
      <c r="X141" s="0" t="s">
        <v>49</v>
      </c>
      <c r="Y141" s="0" t="s">
        <v>49</v>
      </c>
      <c r="Z141" s="0" t="s">
        <v>49</v>
      </c>
      <c r="AA141" s="0" t="s">
        <v>49</v>
      </c>
      <c r="AB141" s="0" t="s">
        <v>49</v>
      </c>
      <c r="AC141" s="0" t="s">
        <v>53</v>
      </c>
      <c r="AD141" s="0" t="s">
        <v>54</v>
      </c>
      <c r="AE141" s="0" t="s">
        <v>1004</v>
      </c>
      <c r="AF141" s="0" t="s">
        <v>1005</v>
      </c>
      <c r="AG141" s="0" t="s">
        <v>1006</v>
      </c>
      <c r="AH141" s="0" t="s">
        <v>1007</v>
      </c>
      <c r="AI141" s="0" t="s">
        <v>49</v>
      </c>
      <c r="AJ141" s="0" t="s">
        <v>49</v>
      </c>
      <c r="AK141" s="0" t="s">
        <v>49</v>
      </c>
      <c r="AL141" s="0" t="s">
        <v>49</v>
      </c>
    </row>
    <row r="142" customFormat="false" ht="15" hidden="false" customHeight="false" outlineLevel="0" collapsed="false">
      <c r="B142" s="0" t="str">
        <f aca="false">HYPERLINK("https://genome.ucsc.edu/cgi-bin/hgTracks?db=hg19&amp;position=chr14%3A57698533%2D57698533", "chr14:57698533")</f>
        <v>chr14:57698533</v>
      </c>
      <c r="C142" s="0" t="s">
        <v>71</v>
      </c>
      <c r="D142" s="0" t="n">
        <v>57698533</v>
      </c>
      <c r="E142" s="0" t="n">
        <v>57698533</v>
      </c>
      <c r="F142" s="0" t="s">
        <v>40</v>
      </c>
      <c r="G142" s="0" t="s">
        <v>39</v>
      </c>
      <c r="H142" s="0" t="s">
        <v>1008</v>
      </c>
      <c r="I142" s="0" t="s">
        <v>854</v>
      </c>
      <c r="J142" s="0" t="s">
        <v>1009</v>
      </c>
      <c r="K142" s="0" t="s">
        <v>49</v>
      </c>
      <c r="L142" s="0" t="str">
        <f aca="false">HYPERLINK("https://www.ncbi.nlm.nih.gov/snp/rs116952635", "rs116952635")</f>
        <v>rs116952635</v>
      </c>
      <c r="M142" s="0" t="str">
        <f aca="false">HYPERLINK("https://www.genecards.org/Search/Keyword?queryString=%5Baliases%5D(%20EXOC5%20)&amp;keywords=EXOC5", "EXOC5")</f>
        <v>EXOC5</v>
      </c>
      <c r="N142" s="0" t="s">
        <v>1010</v>
      </c>
      <c r="O142" s="0" t="s">
        <v>49</v>
      </c>
      <c r="P142" s="0" t="s">
        <v>1011</v>
      </c>
      <c r="Q142" s="0" t="n">
        <v>0.0145534</v>
      </c>
      <c r="R142" s="0" t="n">
        <v>0.0129</v>
      </c>
      <c r="S142" s="0" t="n">
        <v>0.0135</v>
      </c>
      <c r="T142" s="0" t="n">
        <v>-1</v>
      </c>
      <c r="U142" s="0" t="n">
        <v>0.0114</v>
      </c>
      <c r="V142" s="0" t="s">
        <v>49</v>
      </c>
      <c r="W142" s="0" t="s">
        <v>49</v>
      </c>
      <c r="X142" s="0" t="s">
        <v>333</v>
      </c>
      <c r="Y142" s="0" t="s">
        <v>219</v>
      </c>
      <c r="Z142" s="0" t="s">
        <v>49</v>
      </c>
      <c r="AA142" s="0" t="s">
        <v>49</v>
      </c>
      <c r="AB142" s="0" t="s">
        <v>49</v>
      </c>
      <c r="AC142" s="0" t="s">
        <v>53</v>
      </c>
      <c r="AD142" s="0" t="s">
        <v>54</v>
      </c>
      <c r="AE142" s="0" t="s">
        <v>1012</v>
      </c>
      <c r="AF142" s="0" t="s">
        <v>1013</v>
      </c>
      <c r="AG142" s="0" t="s">
        <v>1014</v>
      </c>
      <c r="AH142" s="0" t="s">
        <v>49</v>
      </c>
      <c r="AI142" s="0" t="s">
        <v>49</v>
      </c>
      <c r="AJ142" s="0" t="s">
        <v>49</v>
      </c>
      <c r="AK142" s="0" t="s">
        <v>49</v>
      </c>
      <c r="AL142" s="0" t="s">
        <v>49</v>
      </c>
    </row>
    <row r="143" s="2" customFormat="true" ht="15" hidden="false" customHeight="false" outlineLevel="0" collapsed="false">
      <c r="B143" s="2" t="str">
        <f aca="false">HYPERLINK("https://genome.ucsc.edu/cgi-bin/hgTracks?db=hg19&amp;position=chr14%3A65521228%2D65521228", "chr14:65521228")</f>
        <v>chr14:65521228</v>
      </c>
      <c r="C143" s="2" t="s">
        <v>71</v>
      </c>
      <c r="D143" s="2" t="n">
        <v>65521228</v>
      </c>
      <c r="E143" s="2" t="n">
        <v>65521228</v>
      </c>
      <c r="F143" s="2" t="s">
        <v>60</v>
      </c>
      <c r="G143" s="2" t="s">
        <v>61</v>
      </c>
      <c r="H143" s="2" t="s">
        <v>1015</v>
      </c>
      <c r="I143" s="2" t="s">
        <v>515</v>
      </c>
      <c r="J143" s="2" t="s">
        <v>1016</v>
      </c>
      <c r="K143" s="2" t="s">
        <v>49</v>
      </c>
      <c r="L143" s="2" t="s">
        <v>49</v>
      </c>
      <c r="M143" s="2" t="str">
        <f aca="false">HYPERLINK("https://www.genecards.org/Search/Keyword?queryString=%5Baliases%5D(%20CHURC1-FNTB%20)%20OR%20%5Baliases%5D(%20FNTB%20)%20OR%20%5Baliases%5D(%20MAX%20)&amp;keywords=CHURC1-FNTB,FNTB,MAX", "CHURC1-FNTB;FNTB;MAX")</f>
        <v>CHURC1-FNTB;FNTB;MAX</v>
      </c>
      <c r="N143" s="2" t="s">
        <v>510</v>
      </c>
      <c r="O143" s="2" t="s">
        <v>49</v>
      </c>
      <c r="P143" s="2" t="s">
        <v>49</v>
      </c>
      <c r="Q143" s="2" t="n">
        <v>-1</v>
      </c>
      <c r="R143" s="2" t="n">
        <v>-1</v>
      </c>
      <c r="S143" s="2" t="n">
        <v>-1</v>
      </c>
      <c r="T143" s="2" t="n">
        <v>-1</v>
      </c>
      <c r="U143" s="2" t="n">
        <v>-1</v>
      </c>
      <c r="V143" s="2" t="s">
        <v>49</v>
      </c>
      <c r="W143" s="2" t="s">
        <v>49</v>
      </c>
      <c r="X143" s="2" t="s">
        <v>517</v>
      </c>
      <c r="Y143" s="2" t="s">
        <v>219</v>
      </c>
      <c r="Z143" s="2" t="s">
        <v>49</v>
      </c>
      <c r="AA143" s="2" t="s">
        <v>49</v>
      </c>
      <c r="AB143" s="2" t="s">
        <v>49</v>
      </c>
      <c r="AC143" s="2" t="s">
        <v>53</v>
      </c>
      <c r="AD143" s="2" t="s">
        <v>293</v>
      </c>
      <c r="AE143" s="2" t="s">
        <v>1017</v>
      </c>
      <c r="AF143" s="2" t="s">
        <v>1018</v>
      </c>
      <c r="AG143" s="2" t="s">
        <v>1019</v>
      </c>
      <c r="AH143" s="2" t="s">
        <v>49</v>
      </c>
      <c r="AI143" s="2" t="s">
        <v>49</v>
      </c>
      <c r="AJ143" s="2" t="s">
        <v>49</v>
      </c>
      <c r="AK143" s="2" t="s">
        <v>49</v>
      </c>
      <c r="AL143" s="2" t="s">
        <v>49</v>
      </c>
    </row>
    <row r="144" customFormat="false" ht="15" hidden="false" customHeight="false" outlineLevel="0" collapsed="false">
      <c r="B144" s="0" t="str">
        <f aca="false">HYPERLINK("https://genome.ucsc.edu/cgi-bin/hgTracks?db=hg19&amp;position=chr14%3A74527473%2D74527473", "chr14:74527473")</f>
        <v>chr14:74527473</v>
      </c>
      <c r="C144" s="0" t="s">
        <v>71</v>
      </c>
      <c r="D144" s="0" t="n">
        <v>74527473</v>
      </c>
      <c r="E144" s="0" t="n">
        <v>74527473</v>
      </c>
      <c r="F144" s="0" t="s">
        <v>61</v>
      </c>
      <c r="G144" s="0" t="s">
        <v>60</v>
      </c>
      <c r="H144" s="0" t="s">
        <v>1020</v>
      </c>
      <c r="I144" s="0" t="s">
        <v>1021</v>
      </c>
      <c r="J144" s="0" t="s">
        <v>1022</v>
      </c>
      <c r="K144" s="0" t="s">
        <v>49</v>
      </c>
      <c r="L144" s="0" t="s">
        <v>49</v>
      </c>
      <c r="M144" s="0" t="str">
        <f aca="false">HYPERLINK("https://www.genecards.org/Search/Keyword?queryString=%5Baliases%5D(%20ALDH6A1%20)%20OR%20%5Baliases%5D(%20BBOF1%20)%20OR%20%5Baliases%5D(%20CCDC176%20)&amp;keywords=ALDH6A1,BBOF1,CCDC176", "ALDH6A1;BBOF1;CCDC176")</f>
        <v>ALDH6A1;BBOF1;CCDC176</v>
      </c>
      <c r="N144" s="0" t="s">
        <v>283</v>
      </c>
      <c r="O144" s="0" t="s">
        <v>49</v>
      </c>
      <c r="P144" s="0" t="s">
        <v>49</v>
      </c>
      <c r="Q144" s="0" t="n">
        <v>-1</v>
      </c>
      <c r="R144" s="0" t="n">
        <v>-1</v>
      </c>
      <c r="S144" s="0" t="n">
        <v>-1</v>
      </c>
      <c r="T144" s="0" t="n">
        <v>-1</v>
      </c>
      <c r="U144" s="0" t="n">
        <v>-1</v>
      </c>
      <c r="V144" s="0" t="s">
        <v>49</v>
      </c>
      <c r="W144" s="0" t="s">
        <v>49</v>
      </c>
      <c r="X144" s="0" t="s">
        <v>49</v>
      </c>
      <c r="Y144" s="0" t="s">
        <v>49</v>
      </c>
      <c r="Z144" s="0" t="s">
        <v>49</v>
      </c>
      <c r="AA144" s="0" t="s">
        <v>49</v>
      </c>
      <c r="AB144" s="0" t="s">
        <v>49</v>
      </c>
      <c r="AC144" s="0" t="s">
        <v>53</v>
      </c>
      <c r="AD144" s="0" t="s">
        <v>293</v>
      </c>
      <c r="AE144" s="0" t="s">
        <v>1023</v>
      </c>
      <c r="AF144" s="0" t="s">
        <v>1024</v>
      </c>
      <c r="AG144" s="0" t="s">
        <v>1025</v>
      </c>
      <c r="AH144" s="0" t="s">
        <v>1026</v>
      </c>
      <c r="AI144" s="0" t="s">
        <v>49</v>
      </c>
      <c r="AJ144" s="0" t="s">
        <v>49</v>
      </c>
      <c r="AK144" s="0" t="s">
        <v>49</v>
      </c>
      <c r="AL144" s="0" t="s">
        <v>49</v>
      </c>
    </row>
    <row r="145" customFormat="false" ht="15" hidden="false" customHeight="false" outlineLevel="0" collapsed="false">
      <c r="B145" s="0" t="str">
        <f aca="false">HYPERLINK("https://genome.ucsc.edu/cgi-bin/hgTracks?db=hg19&amp;position=chr14%3A75471410%2D75471410", "chr14:75471410")</f>
        <v>chr14:75471410</v>
      </c>
      <c r="C145" s="0" t="s">
        <v>71</v>
      </c>
      <c r="D145" s="0" t="n">
        <v>75471410</v>
      </c>
      <c r="E145" s="0" t="n">
        <v>75471410</v>
      </c>
      <c r="F145" s="0" t="s">
        <v>40</v>
      </c>
      <c r="G145" s="0" t="s">
        <v>61</v>
      </c>
      <c r="H145" s="0" t="s">
        <v>1027</v>
      </c>
      <c r="I145" s="0" t="s">
        <v>1028</v>
      </c>
      <c r="J145" s="0" t="s">
        <v>1029</v>
      </c>
      <c r="K145" s="0" t="s">
        <v>49</v>
      </c>
      <c r="L145" s="0" t="str">
        <f aca="false">HYPERLINK("https://www.ncbi.nlm.nih.gov/snp/rs750033749", "rs750033749")</f>
        <v>rs750033749</v>
      </c>
      <c r="M145" s="0" t="str">
        <f aca="false">HYPERLINK("https://www.genecards.org/Search/Keyword?queryString=%5Baliases%5D(%20EIF2B2%20)&amp;keywords=EIF2B2", "EIF2B2")</f>
        <v>EIF2B2</v>
      </c>
      <c r="N145" s="0" t="s">
        <v>510</v>
      </c>
      <c r="O145" s="0" t="s">
        <v>49</v>
      </c>
      <c r="P145" s="0" t="s">
        <v>49</v>
      </c>
      <c r="Q145" s="0" t="n">
        <v>0.0005886</v>
      </c>
      <c r="R145" s="0" t="n">
        <v>-1</v>
      </c>
      <c r="S145" s="0" t="n">
        <v>-1</v>
      </c>
      <c r="T145" s="0" t="n">
        <v>-1</v>
      </c>
      <c r="U145" s="0" t="n">
        <v>-1</v>
      </c>
      <c r="V145" s="0" t="s">
        <v>49</v>
      </c>
      <c r="W145" s="0" t="s">
        <v>49</v>
      </c>
      <c r="X145" s="0" t="s">
        <v>517</v>
      </c>
      <c r="Y145" s="0" t="s">
        <v>219</v>
      </c>
      <c r="Z145" s="0" t="s">
        <v>49</v>
      </c>
      <c r="AA145" s="0" t="s">
        <v>49</v>
      </c>
      <c r="AB145" s="0" t="s">
        <v>49</v>
      </c>
      <c r="AC145" s="0" t="s">
        <v>53</v>
      </c>
      <c r="AD145" s="0" t="s">
        <v>54</v>
      </c>
      <c r="AE145" s="0" t="s">
        <v>1030</v>
      </c>
      <c r="AF145" s="0" t="s">
        <v>1031</v>
      </c>
      <c r="AG145" s="0" t="s">
        <v>1032</v>
      </c>
      <c r="AH145" s="0" t="s">
        <v>1033</v>
      </c>
      <c r="AI145" s="0" t="s">
        <v>49</v>
      </c>
      <c r="AJ145" s="0" t="s">
        <v>49</v>
      </c>
      <c r="AK145" s="0" t="s">
        <v>49</v>
      </c>
      <c r="AL145" s="0" t="s">
        <v>49</v>
      </c>
    </row>
    <row r="146" customFormat="false" ht="15" hidden="false" customHeight="false" outlineLevel="0" collapsed="false">
      <c r="B146" s="0" t="str">
        <f aca="false">HYPERLINK("https://genome.ucsc.edu/cgi-bin/hgTracks?db=hg19&amp;position=chr14%3A81574845%2D81574845", "chr14:81574845")</f>
        <v>chr14:81574845</v>
      </c>
      <c r="C146" s="0" t="s">
        <v>71</v>
      </c>
      <c r="D146" s="0" t="n">
        <v>81574845</v>
      </c>
      <c r="E146" s="0" t="n">
        <v>81574845</v>
      </c>
      <c r="F146" s="0" t="s">
        <v>190</v>
      </c>
      <c r="G146" s="0" t="s">
        <v>1034</v>
      </c>
      <c r="H146" s="0" t="s">
        <v>1035</v>
      </c>
      <c r="I146" s="0" t="s">
        <v>737</v>
      </c>
      <c r="J146" s="0" t="s">
        <v>1036</v>
      </c>
      <c r="K146" s="0" t="s">
        <v>49</v>
      </c>
      <c r="L146" s="0" t="str">
        <f aca="false">HYPERLINK("https://www.ncbi.nlm.nih.gov/snp/rs567903946", "rs567903946")</f>
        <v>rs567903946</v>
      </c>
      <c r="M146" s="0" t="str">
        <f aca="false">HYPERLINK("https://www.genecards.org/Search/Keyword?queryString=%5Baliases%5D(%20TSHR%20)&amp;keywords=TSHR", "TSHR")</f>
        <v>TSHR</v>
      </c>
      <c r="N146" s="0" t="s">
        <v>283</v>
      </c>
      <c r="O146" s="0" t="s">
        <v>49</v>
      </c>
      <c r="P146" s="0" t="s">
        <v>49</v>
      </c>
      <c r="Q146" s="0" t="n">
        <v>0.015</v>
      </c>
      <c r="R146" s="0" t="n">
        <v>0.0068</v>
      </c>
      <c r="S146" s="0" t="n">
        <v>0.0045</v>
      </c>
      <c r="T146" s="0" t="n">
        <v>-1</v>
      </c>
      <c r="U146" s="0" t="n">
        <v>0.0069</v>
      </c>
      <c r="V146" s="0" t="s">
        <v>49</v>
      </c>
      <c r="W146" s="0" t="s">
        <v>49</v>
      </c>
      <c r="X146" s="0" t="s">
        <v>49</v>
      </c>
      <c r="Y146" s="0" t="s">
        <v>49</v>
      </c>
      <c r="Z146" s="0" t="s">
        <v>49</v>
      </c>
      <c r="AA146" s="0" t="s">
        <v>49</v>
      </c>
      <c r="AB146" s="0" t="s">
        <v>49</v>
      </c>
      <c r="AC146" s="0" t="s">
        <v>231</v>
      </c>
      <c r="AD146" s="0" t="s">
        <v>54</v>
      </c>
      <c r="AE146" s="0" t="s">
        <v>1037</v>
      </c>
      <c r="AF146" s="0" t="s">
        <v>1038</v>
      </c>
      <c r="AG146" s="0" t="s">
        <v>1039</v>
      </c>
      <c r="AH146" s="0" t="s">
        <v>1040</v>
      </c>
      <c r="AI146" s="0" t="s">
        <v>49</v>
      </c>
      <c r="AJ146" s="0" t="s">
        <v>49</v>
      </c>
      <c r="AK146" s="0" t="s">
        <v>49</v>
      </c>
      <c r="AL146" s="0" t="s">
        <v>49</v>
      </c>
    </row>
    <row r="147" customFormat="false" ht="15" hidden="false" customHeight="false" outlineLevel="0" collapsed="false">
      <c r="B147" s="0" t="str">
        <f aca="false">HYPERLINK("https://genome.ucsc.edu/cgi-bin/hgTracks?db=hg19&amp;position=chr14%3A88420109%2D88420109", "chr14:88420109")</f>
        <v>chr14:88420109</v>
      </c>
      <c r="C147" s="0" t="s">
        <v>71</v>
      </c>
      <c r="D147" s="0" t="n">
        <v>88420109</v>
      </c>
      <c r="E147" s="0" t="n">
        <v>88420109</v>
      </c>
      <c r="F147" s="0" t="s">
        <v>60</v>
      </c>
      <c r="G147" s="0" t="s">
        <v>61</v>
      </c>
      <c r="H147" s="0" t="s">
        <v>179</v>
      </c>
      <c r="I147" s="0" t="s">
        <v>272</v>
      </c>
      <c r="J147" s="0" t="s">
        <v>1041</v>
      </c>
      <c r="K147" s="0" t="s">
        <v>49</v>
      </c>
      <c r="L147" s="0" t="s">
        <v>49</v>
      </c>
      <c r="M147" s="0" t="str">
        <f aca="false">HYPERLINK("https://www.genecards.org/Search/Keyword?queryString=%5Baliases%5D(%20GALC%20)&amp;keywords=GALC", "GALC")</f>
        <v>GALC</v>
      </c>
      <c r="N147" s="0" t="s">
        <v>300</v>
      </c>
      <c r="O147" s="0" t="s">
        <v>49</v>
      </c>
      <c r="P147" s="0" t="s">
        <v>49</v>
      </c>
      <c r="Q147" s="0" t="n">
        <v>6.5E-006</v>
      </c>
      <c r="R147" s="0" t="n">
        <v>-1</v>
      </c>
      <c r="S147" s="0" t="n">
        <v>-1</v>
      </c>
      <c r="T147" s="0" t="n">
        <v>-1</v>
      </c>
      <c r="U147" s="0" t="n">
        <v>-1</v>
      </c>
      <c r="V147" s="0" t="s">
        <v>49</v>
      </c>
      <c r="W147" s="0" t="s">
        <v>49</v>
      </c>
      <c r="X147" s="0" t="s">
        <v>49</v>
      </c>
      <c r="Y147" s="0" t="s">
        <v>49</v>
      </c>
      <c r="Z147" s="0" t="s">
        <v>49</v>
      </c>
      <c r="AA147" s="0" t="s">
        <v>49</v>
      </c>
      <c r="AB147" s="0" t="s">
        <v>49</v>
      </c>
      <c r="AC147" s="0" t="s">
        <v>53</v>
      </c>
      <c r="AD147" s="0" t="s">
        <v>54</v>
      </c>
      <c r="AE147" s="0" t="s">
        <v>1042</v>
      </c>
      <c r="AF147" s="0" t="s">
        <v>1043</v>
      </c>
      <c r="AG147" s="0" t="s">
        <v>1044</v>
      </c>
      <c r="AH147" s="0" t="s">
        <v>1045</v>
      </c>
      <c r="AI147" s="0" t="s">
        <v>49</v>
      </c>
      <c r="AJ147" s="0" t="s">
        <v>49</v>
      </c>
      <c r="AK147" s="0" t="s">
        <v>49</v>
      </c>
      <c r="AL147" s="0" t="s">
        <v>49</v>
      </c>
    </row>
    <row r="148" customFormat="false" ht="15" hidden="false" customHeight="false" outlineLevel="0" collapsed="false">
      <c r="B148" s="0" t="str">
        <f aca="false">HYPERLINK("https://genome.ucsc.edu/cgi-bin/hgTracks?db=hg19&amp;position=chr14%3A92537354%2D92537354", "chr14:92537354")</f>
        <v>chr14:92537354</v>
      </c>
      <c r="C148" s="0" t="s">
        <v>71</v>
      </c>
      <c r="D148" s="0" t="n">
        <v>92537354</v>
      </c>
      <c r="E148" s="0" t="n">
        <v>92537354</v>
      </c>
      <c r="F148" s="0" t="s">
        <v>190</v>
      </c>
      <c r="G148" s="0" t="s">
        <v>1046</v>
      </c>
      <c r="H148" s="0" t="s">
        <v>1047</v>
      </c>
      <c r="I148" s="0" t="s">
        <v>87</v>
      </c>
      <c r="J148" s="0" t="s">
        <v>1048</v>
      </c>
      <c r="K148" s="0" t="s">
        <v>49</v>
      </c>
      <c r="L148" s="0" t="s">
        <v>49</v>
      </c>
      <c r="M148" s="0" t="str">
        <f aca="false">HYPERLINK("https://www.genecards.org/Search/Keyword?queryString=%5Baliases%5D(%20ATXN3%20)&amp;keywords=ATXN3", "ATXN3")</f>
        <v>ATXN3</v>
      </c>
      <c r="N148" s="0" t="s">
        <v>45</v>
      </c>
      <c r="O148" s="0" t="s">
        <v>259</v>
      </c>
      <c r="P148" s="0" t="s">
        <v>1049</v>
      </c>
      <c r="Q148" s="0" t="n">
        <v>0.0005175</v>
      </c>
      <c r="R148" s="0" t="n">
        <v>-1</v>
      </c>
      <c r="S148" s="0" t="n">
        <v>-1</v>
      </c>
      <c r="T148" s="0" t="n">
        <v>-1</v>
      </c>
      <c r="U148" s="0" t="n">
        <v>-1</v>
      </c>
      <c r="V148" s="0" t="s">
        <v>49</v>
      </c>
      <c r="W148" s="0" t="s">
        <v>49</v>
      </c>
      <c r="X148" s="0" t="s">
        <v>49</v>
      </c>
      <c r="Y148" s="0" t="s">
        <v>49</v>
      </c>
      <c r="Z148" s="0" t="s">
        <v>49</v>
      </c>
      <c r="AA148" s="0" t="s">
        <v>49</v>
      </c>
      <c r="AB148" s="0" t="s">
        <v>49</v>
      </c>
      <c r="AC148" s="0" t="s">
        <v>53</v>
      </c>
      <c r="AD148" s="0" t="s">
        <v>54</v>
      </c>
      <c r="AE148" s="0" t="s">
        <v>1050</v>
      </c>
      <c r="AF148" s="0" t="s">
        <v>1051</v>
      </c>
      <c r="AG148" s="0" t="s">
        <v>1052</v>
      </c>
      <c r="AH148" s="0" t="s">
        <v>1053</v>
      </c>
      <c r="AI148" s="0" t="s">
        <v>49</v>
      </c>
      <c r="AJ148" s="0" t="s">
        <v>49</v>
      </c>
      <c r="AK148" s="0" t="s">
        <v>49</v>
      </c>
      <c r="AL148" s="0" t="s">
        <v>49</v>
      </c>
    </row>
    <row r="149" customFormat="false" ht="15" hidden="false" customHeight="false" outlineLevel="0" collapsed="false">
      <c r="B149" s="0" t="str">
        <f aca="false">HYPERLINK("https://genome.ucsc.edu/cgi-bin/hgTracks?db=hg19&amp;position=chr14%3A103923579%2D103923579", "chr14:103923579")</f>
        <v>chr14:103923579</v>
      </c>
      <c r="C149" s="0" t="s">
        <v>71</v>
      </c>
      <c r="D149" s="0" t="n">
        <v>103923579</v>
      </c>
      <c r="E149" s="0" t="n">
        <v>103923579</v>
      </c>
      <c r="F149" s="0" t="s">
        <v>61</v>
      </c>
      <c r="G149" s="0" t="s">
        <v>60</v>
      </c>
      <c r="H149" s="0" t="s">
        <v>1054</v>
      </c>
      <c r="I149" s="0" t="s">
        <v>1055</v>
      </c>
      <c r="J149" s="0" t="s">
        <v>1056</v>
      </c>
      <c r="K149" s="0" t="s">
        <v>49</v>
      </c>
      <c r="L149" s="0" t="str">
        <f aca="false">HYPERLINK("https://www.ncbi.nlm.nih.gov/snp/rs45577638", "rs45577638")</f>
        <v>rs45577638</v>
      </c>
      <c r="M149" s="0" t="str">
        <f aca="false">HYPERLINK("https://www.genecards.org/Search/Keyword?queryString=%5Baliases%5D(%20MARK3%20)&amp;keywords=MARK3", "MARK3")</f>
        <v>MARK3</v>
      </c>
      <c r="N149" s="0" t="s">
        <v>510</v>
      </c>
      <c r="O149" s="0" t="s">
        <v>49</v>
      </c>
      <c r="P149" s="0" t="s">
        <v>49</v>
      </c>
      <c r="Q149" s="0" t="n">
        <v>0.0291</v>
      </c>
      <c r="R149" s="0" t="n">
        <v>0.0206</v>
      </c>
      <c r="S149" s="0" t="n">
        <v>0.0178</v>
      </c>
      <c r="T149" s="0" t="n">
        <v>-1</v>
      </c>
      <c r="U149" s="0" t="n">
        <v>0.0288</v>
      </c>
      <c r="V149" s="0" t="s">
        <v>49</v>
      </c>
      <c r="W149" s="0" t="s">
        <v>49</v>
      </c>
      <c r="X149" s="0" t="s">
        <v>333</v>
      </c>
      <c r="Y149" s="0" t="s">
        <v>219</v>
      </c>
      <c r="Z149" s="0" t="s">
        <v>49</v>
      </c>
      <c r="AA149" s="0" t="s">
        <v>49</v>
      </c>
      <c r="AB149" s="0" t="s">
        <v>49</v>
      </c>
      <c r="AC149" s="0" t="s">
        <v>53</v>
      </c>
      <c r="AD149" s="0" t="s">
        <v>54</v>
      </c>
      <c r="AE149" s="0" t="s">
        <v>1057</v>
      </c>
      <c r="AF149" s="0" t="s">
        <v>1058</v>
      </c>
      <c r="AG149" s="0" t="s">
        <v>1059</v>
      </c>
      <c r="AH149" s="0" t="s">
        <v>49</v>
      </c>
      <c r="AI149" s="0" t="s">
        <v>49</v>
      </c>
      <c r="AJ149" s="0" t="s">
        <v>49</v>
      </c>
      <c r="AK149" s="0" t="s">
        <v>49</v>
      </c>
      <c r="AL149" s="0" t="s">
        <v>49</v>
      </c>
    </row>
    <row r="150" customFormat="false" ht="15" hidden="false" customHeight="false" outlineLevel="0" collapsed="false">
      <c r="B150" s="0" t="str">
        <f aca="false">HYPERLINK("https://genome.ucsc.edu/cgi-bin/hgTracks?db=hg19&amp;position=chr15%3A25584247%2D25584247", "chr15:25584247")</f>
        <v>chr15:25584247</v>
      </c>
      <c r="C150" s="0" t="s">
        <v>1060</v>
      </c>
      <c r="D150" s="0" t="n">
        <v>25584247</v>
      </c>
      <c r="E150" s="0" t="n">
        <v>25584247</v>
      </c>
      <c r="F150" s="0" t="s">
        <v>39</v>
      </c>
      <c r="G150" s="0" t="s">
        <v>190</v>
      </c>
      <c r="H150" s="0" t="s">
        <v>1061</v>
      </c>
      <c r="I150" s="0" t="s">
        <v>854</v>
      </c>
      <c r="J150" s="0" t="s">
        <v>1009</v>
      </c>
      <c r="K150" s="0" t="s">
        <v>49</v>
      </c>
      <c r="L150" s="0" t="s">
        <v>49</v>
      </c>
      <c r="M150" s="0" t="str">
        <f aca="false">HYPERLINK("https://www.genecards.org/Search/Keyword?queryString=%5Baliases%5D(%20SNHG14%20)%20OR%20%5Baliases%5D(%20UBE3A%20)&amp;keywords=SNHG14,UBE3A", "SNHG14;UBE3A")</f>
        <v>SNHG14;UBE3A</v>
      </c>
      <c r="N150" s="0" t="s">
        <v>229</v>
      </c>
      <c r="O150" s="0" t="s">
        <v>49</v>
      </c>
      <c r="P150" s="0" t="s">
        <v>1062</v>
      </c>
      <c r="Q150" s="0" t="n">
        <v>-1</v>
      </c>
      <c r="R150" s="0" t="n">
        <v>-1</v>
      </c>
      <c r="S150" s="0" t="n">
        <v>-1</v>
      </c>
      <c r="T150" s="0" t="n">
        <v>-1</v>
      </c>
      <c r="U150" s="0" t="n">
        <v>-1</v>
      </c>
      <c r="V150" s="0" t="s">
        <v>49</v>
      </c>
      <c r="W150" s="0" t="s">
        <v>49</v>
      </c>
      <c r="X150" s="0" t="s">
        <v>49</v>
      </c>
      <c r="Y150" s="0" t="s">
        <v>49</v>
      </c>
      <c r="Z150" s="0" t="s">
        <v>49</v>
      </c>
      <c r="AA150" s="0" t="s">
        <v>49</v>
      </c>
      <c r="AB150" s="0" t="s">
        <v>49</v>
      </c>
      <c r="AC150" s="0" t="s">
        <v>53</v>
      </c>
      <c r="AD150" s="0" t="s">
        <v>220</v>
      </c>
      <c r="AE150" s="0" t="s">
        <v>1063</v>
      </c>
      <c r="AF150" s="0" t="s">
        <v>1064</v>
      </c>
      <c r="AG150" s="0" t="s">
        <v>1065</v>
      </c>
      <c r="AH150" s="0" t="s">
        <v>1066</v>
      </c>
      <c r="AI150" s="0" t="s">
        <v>49</v>
      </c>
      <c r="AJ150" s="0" t="s">
        <v>49</v>
      </c>
      <c r="AK150" s="0" t="s">
        <v>49</v>
      </c>
      <c r="AL150" s="0" t="s">
        <v>49</v>
      </c>
    </row>
    <row r="151" customFormat="false" ht="15" hidden="false" customHeight="false" outlineLevel="0" collapsed="false">
      <c r="B151" s="0" t="str">
        <f aca="false">HYPERLINK("https://genome.ucsc.edu/cgi-bin/hgTracks?db=hg19&amp;position=chr15%3A31515494%2D31515506", "chr15:31515494")</f>
        <v>chr15:31515494</v>
      </c>
      <c r="C151" s="0" t="s">
        <v>1060</v>
      </c>
      <c r="D151" s="0" t="n">
        <v>31515494</v>
      </c>
      <c r="E151" s="0" t="n">
        <v>31515506</v>
      </c>
      <c r="F151" s="0" t="s">
        <v>1067</v>
      </c>
      <c r="G151" s="0" t="s">
        <v>190</v>
      </c>
      <c r="H151" s="0" t="s">
        <v>1068</v>
      </c>
      <c r="I151" s="0" t="s">
        <v>1069</v>
      </c>
      <c r="J151" s="0" t="s">
        <v>1070</v>
      </c>
      <c r="K151" s="0" t="s">
        <v>49</v>
      </c>
      <c r="L151" s="0" t="str">
        <f aca="false">HYPERLINK("https://www.ncbi.nlm.nih.gov/snp/rs556657384", "rs556657384")</f>
        <v>rs556657384</v>
      </c>
      <c r="M151" s="0" t="str">
        <f aca="false">HYPERLINK("https://www.genecards.org/Search/Keyword?queryString=%5Baliases%5D(%20LOC283710%20)&amp;keywords=LOC283710", "LOC283710")</f>
        <v>LOC283710</v>
      </c>
      <c r="N151" s="0" t="s">
        <v>428</v>
      </c>
      <c r="O151" s="0" t="s">
        <v>539</v>
      </c>
      <c r="P151" s="0" t="s">
        <v>1071</v>
      </c>
      <c r="Q151" s="0" t="n">
        <v>0.0172</v>
      </c>
      <c r="R151" s="0" t="n">
        <v>0.0174</v>
      </c>
      <c r="S151" s="0" t="n">
        <v>0.0174</v>
      </c>
      <c r="T151" s="0" t="n">
        <v>-1</v>
      </c>
      <c r="U151" s="0" t="n">
        <v>0.0189</v>
      </c>
      <c r="V151" s="0" t="s">
        <v>49</v>
      </c>
      <c r="W151" s="0" t="s">
        <v>49</v>
      </c>
      <c r="X151" s="0" t="s">
        <v>49</v>
      </c>
      <c r="Y151" s="0" t="s">
        <v>49</v>
      </c>
      <c r="Z151" s="0" t="s">
        <v>49</v>
      </c>
      <c r="AA151" s="0" t="s">
        <v>49</v>
      </c>
      <c r="AB151" s="0" t="s">
        <v>49</v>
      </c>
      <c r="AC151" s="0" t="s">
        <v>53</v>
      </c>
      <c r="AD151" s="0" t="s">
        <v>209</v>
      </c>
      <c r="AE151" s="0" t="s">
        <v>49</v>
      </c>
      <c r="AF151" s="0" t="s">
        <v>49</v>
      </c>
      <c r="AG151" s="0" t="s">
        <v>49</v>
      </c>
      <c r="AH151" s="0" t="s">
        <v>49</v>
      </c>
      <c r="AI151" s="0" t="s">
        <v>49</v>
      </c>
      <c r="AJ151" s="0" t="s">
        <v>49</v>
      </c>
      <c r="AK151" s="0" t="s">
        <v>49</v>
      </c>
      <c r="AL151" s="0" t="s">
        <v>49</v>
      </c>
    </row>
    <row r="152" customFormat="false" ht="15" hidden="false" customHeight="false" outlineLevel="0" collapsed="false">
      <c r="B152" s="0" t="str">
        <f aca="false">HYPERLINK("https://genome.ucsc.edu/cgi-bin/hgTracks?db=hg19&amp;position=chr15%3A31515513%2D31515519", "chr15:31515513")</f>
        <v>chr15:31515513</v>
      </c>
      <c r="C152" s="0" t="s">
        <v>1060</v>
      </c>
      <c r="D152" s="0" t="n">
        <v>31515513</v>
      </c>
      <c r="E152" s="0" t="n">
        <v>31515519</v>
      </c>
      <c r="F152" s="0" t="s">
        <v>1072</v>
      </c>
      <c r="G152" s="0" t="s">
        <v>190</v>
      </c>
      <c r="H152" s="0" t="s">
        <v>1073</v>
      </c>
      <c r="I152" s="0" t="s">
        <v>1074</v>
      </c>
      <c r="J152" s="0" t="s">
        <v>1075</v>
      </c>
      <c r="K152" s="0" t="s">
        <v>49</v>
      </c>
      <c r="L152" s="0" t="str">
        <f aca="false">HYPERLINK("https://www.ncbi.nlm.nih.gov/snp/rs776896435", "rs776896435")</f>
        <v>rs776896435</v>
      </c>
      <c r="M152" s="0" t="str">
        <f aca="false">HYPERLINK("https://www.genecards.org/Search/Keyword?queryString=%5Baliases%5D(%20LOC283710%20)&amp;keywords=LOC283710", "LOC283710")</f>
        <v>LOC283710</v>
      </c>
      <c r="N152" s="0" t="s">
        <v>428</v>
      </c>
      <c r="O152" s="0" t="s">
        <v>205</v>
      </c>
      <c r="P152" s="0" t="s">
        <v>1076</v>
      </c>
      <c r="Q152" s="0" t="n">
        <v>0.0174</v>
      </c>
      <c r="R152" s="0" t="n">
        <v>0.0175</v>
      </c>
      <c r="S152" s="0" t="n">
        <v>0.0174</v>
      </c>
      <c r="T152" s="0" t="n">
        <v>-1</v>
      </c>
      <c r="U152" s="0" t="n">
        <v>0.0189</v>
      </c>
      <c r="V152" s="0" t="s">
        <v>49</v>
      </c>
      <c r="W152" s="0" t="s">
        <v>49</v>
      </c>
      <c r="X152" s="0" t="s">
        <v>49</v>
      </c>
      <c r="Y152" s="0" t="s">
        <v>49</v>
      </c>
      <c r="Z152" s="0" t="s">
        <v>49</v>
      </c>
      <c r="AA152" s="0" t="s">
        <v>49</v>
      </c>
      <c r="AB152" s="0" t="s">
        <v>49</v>
      </c>
      <c r="AC152" s="0" t="s">
        <v>53</v>
      </c>
      <c r="AD152" s="0" t="s">
        <v>209</v>
      </c>
      <c r="AE152" s="0" t="s">
        <v>49</v>
      </c>
      <c r="AF152" s="0" t="s">
        <v>49</v>
      </c>
      <c r="AG152" s="0" t="s">
        <v>49</v>
      </c>
      <c r="AH152" s="0" t="s">
        <v>49</v>
      </c>
      <c r="AI152" s="0" t="s">
        <v>49</v>
      </c>
      <c r="AJ152" s="0" t="s">
        <v>49</v>
      </c>
      <c r="AK152" s="0" t="s">
        <v>49</v>
      </c>
      <c r="AL152" s="0" t="s">
        <v>49</v>
      </c>
    </row>
    <row r="153" customFormat="false" ht="15" hidden="false" customHeight="false" outlineLevel="0" collapsed="false">
      <c r="B153" s="0" t="str">
        <f aca="false">HYPERLINK("https://genome.ucsc.edu/cgi-bin/hgTracks?db=hg19&amp;position=chr15%3A36910450%2D36910450", "chr15:36910450")</f>
        <v>chr15:36910450</v>
      </c>
      <c r="C153" s="0" t="s">
        <v>1060</v>
      </c>
      <c r="D153" s="0" t="n">
        <v>36910450</v>
      </c>
      <c r="E153" s="0" t="n">
        <v>36910450</v>
      </c>
      <c r="F153" s="0" t="s">
        <v>61</v>
      </c>
      <c r="G153" s="0" t="s">
        <v>60</v>
      </c>
      <c r="H153" s="0" t="s">
        <v>1077</v>
      </c>
      <c r="I153" s="0" t="s">
        <v>459</v>
      </c>
      <c r="J153" s="0" t="s">
        <v>1078</v>
      </c>
      <c r="K153" s="0" t="s">
        <v>49</v>
      </c>
      <c r="L153" s="0" t="str">
        <f aca="false">HYPERLINK("https://www.ncbi.nlm.nih.gov/snp/rs78476837", "rs78476837")</f>
        <v>rs78476837</v>
      </c>
      <c r="M153" s="0" t="str">
        <f aca="false">HYPERLINK("https://www.genecards.org/Search/Keyword?queryString=%5Baliases%5D(%20C15orf41%20)&amp;keywords=C15orf41", "C15orf41")</f>
        <v>C15orf41</v>
      </c>
      <c r="N153" s="0" t="s">
        <v>300</v>
      </c>
      <c r="O153" s="0" t="s">
        <v>49</v>
      </c>
      <c r="P153" s="0" t="s">
        <v>49</v>
      </c>
      <c r="Q153" s="0" t="n">
        <v>0.0103</v>
      </c>
      <c r="R153" s="0" t="n">
        <v>0.003</v>
      </c>
      <c r="S153" s="0" t="n">
        <v>0.0039</v>
      </c>
      <c r="T153" s="0" t="n">
        <v>-1</v>
      </c>
      <c r="U153" s="0" t="n">
        <v>0.0025</v>
      </c>
      <c r="V153" s="0" t="s">
        <v>49</v>
      </c>
      <c r="W153" s="0" t="s">
        <v>49</v>
      </c>
      <c r="X153" s="0" t="s">
        <v>49</v>
      </c>
      <c r="Y153" s="0" t="s">
        <v>49</v>
      </c>
      <c r="Z153" s="0" t="s">
        <v>49</v>
      </c>
      <c r="AA153" s="0" t="s">
        <v>49</v>
      </c>
      <c r="AB153" s="0" t="s">
        <v>49</v>
      </c>
      <c r="AC153" s="0" t="s">
        <v>53</v>
      </c>
      <c r="AD153" s="0" t="s">
        <v>209</v>
      </c>
      <c r="AE153" s="0" t="s">
        <v>1079</v>
      </c>
      <c r="AF153" s="0" t="s">
        <v>1080</v>
      </c>
      <c r="AG153" s="0" t="s">
        <v>49</v>
      </c>
      <c r="AH153" s="0" t="s">
        <v>1081</v>
      </c>
      <c r="AI153" s="0" t="s">
        <v>49</v>
      </c>
      <c r="AJ153" s="0" t="s">
        <v>49</v>
      </c>
      <c r="AK153" s="0" t="s">
        <v>49</v>
      </c>
      <c r="AL153" s="0" t="s">
        <v>49</v>
      </c>
    </row>
    <row r="154" customFormat="false" ht="15" hidden="false" customHeight="false" outlineLevel="0" collapsed="false">
      <c r="B154" s="0" t="str">
        <f aca="false">HYPERLINK("https://genome.ucsc.edu/cgi-bin/hgTracks?db=hg19&amp;position=chr15%3A36910965%2D36910965", "chr15:36910965")</f>
        <v>chr15:36910965</v>
      </c>
      <c r="C154" s="0" t="s">
        <v>1060</v>
      </c>
      <c r="D154" s="0" t="n">
        <v>36910965</v>
      </c>
      <c r="E154" s="0" t="n">
        <v>36910965</v>
      </c>
      <c r="F154" s="0" t="s">
        <v>61</v>
      </c>
      <c r="G154" s="0" t="s">
        <v>190</v>
      </c>
      <c r="H154" s="0" t="s">
        <v>1082</v>
      </c>
      <c r="I154" s="0" t="s">
        <v>1083</v>
      </c>
      <c r="J154" s="0" t="s">
        <v>1084</v>
      </c>
      <c r="K154" s="0" t="s">
        <v>49</v>
      </c>
      <c r="L154" s="0" t="s">
        <v>49</v>
      </c>
      <c r="M154" s="0" t="str">
        <f aca="false">HYPERLINK("https://www.genecards.org/Search/Keyword?queryString=%5Baliases%5D(%20C15orf41%20)&amp;keywords=C15orf41", "C15orf41")</f>
        <v>C15orf41</v>
      </c>
      <c r="N154" s="0" t="s">
        <v>300</v>
      </c>
      <c r="O154" s="0" t="s">
        <v>49</v>
      </c>
      <c r="P154" s="0" t="s">
        <v>49</v>
      </c>
      <c r="Q154" s="0" t="n">
        <v>-1</v>
      </c>
      <c r="R154" s="0" t="n">
        <v>-1</v>
      </c>
      <c r="S154" s="0" t="n">
        <v>-1</v>
      </c>
      <c r="T154" s="0" t="n">
        <v>-1</v>
      </c>
      <c r="U154" s="0" t="n">
        <v>-1</v>
      </c>
      <c r="V154" s="0" t="s">
        <v>49</v>
      </c>
      <c r="W154" s="0" t="s">
        <v>49</v>
      </c>
      <c r="X154" s="0" t="s">
        <v>49</v>
      </c>
      <c r="Y154" s="0" t="s">
        <v>49</v>
      </c>
      <c r="Z154" s="0" t="s">
        <v>49</v>
      </c>
      <c r="AA154" s="0" t="s">
        <v>49</v>
      </c>
      <c r="AB154" s="0" t="s">
        <v>49</v>
      </c>
      <c r="AC154" s="0" t="s">
        <v>231</v>
      </c>
      <c r="AD154" s="0" t="s">
        <v>209</v>
      </c>
      <c r="AE154" s="0" t="s">
        <v>1079</v>
      </c>
      <c r="AF154" s="0" t="s">
        <v>1080</v>
      </c>
      <c r="AG154" s="0" t="s">
        <v>49</v>
      </c>
      <c r="AH154" s="0" t="s">
        <v>1081</v>
      </c>
      <c r="AI154" s="0" t="s">
        <v>49</v>
      </c>
      <c r="AJ154" s="0" t="s">
        <v>49</v>
      </c>
      <c r="AK154" s="0" t="s">
        <v>49</v>
      </c>
      <c r="AL154" s="0" t="s">
        <v>49</v>
      </c>
    </row>
    <row r="155" customFormat="false" ht="15" hidden="false" customHeight="false" outlineLevel="0" collapsed="false">
      <c r="B155" s="0" t="str">
        <f aca="false">HYPERLINK("https://genome.ucsc.edu/cgi-bin/hgTracks?db=hg19&amp;position=chr15%3A37186796%2D37186796", "chr15:37186796")</f>
        <v>chr15:37186796</v>
      </c>
      <c r="C155" s="0" t="s">
        <v>1060</v>
      </c>
      <c r="D155" s="0" t="n">
        <v>37186796</v>
      </c>
      <c r="E155" s="0" t="n">
        <v>37186796</v>
      </c>
      <c r="F155" s="0" t="s">
        <v>60</v>
      </c>
      <c r="G155" s="0" t="s">
        <v>61</v>
      </c>
      <c r="H155" s="0" t="s">
        <v>514</v>
      </c>
      <c r="I155" s="0" t="s">
        <v>1028</v>
      </c>
      <c r="J155" s="0" t="s">
        <v>1085</v>
      </c>
      <c r="K155" s="0" t="s">
        <v>49</v>
      </c>
      <c r="L155" s="0" t="str">
        <f aca="false">HYPERLINK("https://www.ncbi.nlm.nih.gov/snp/rs112861228", "rs112861228")</f>
        <v>rs112861228</v>
      </c>
      <c r="M155" s="0" t="str">
        <f aca="false">HYPERLINK("https://www.genecards.org/Search/Keyword?queryString=%5Baliases%5D(%20MEIS2%20)&amp;keywords=MEIS2", "MEIS2")</f>
        <v>MEIS2</v>
      </c>
      <c r="N155" s="0" t="s">
        <v>510</v>
      </c>
      <c r="O155" s="0" t="s">
        <v>49</v>
      </c>
      <c r="P155" s="0" t="s">
        <v>49</v>
      </c>
      <c r="Q155" s="0" t="n">
        <v>0.006</v>
      </c>
      <c r="R155" s="0" t="n">
        <v>0.0049</v>
      </c>
      <c r="S155" s="0" t="n">
        <v>0.0054</v>
      </c>
      <c r="T155" s="0" t="n">
        <v>-1</v>
      </c>
      <c r="U155" s="0" t="n">
        <v>0.0081</v>
      </c>
      <c r="V155" s="0" t="s">
        <v>49</v>
      </c>
      <c r="W155" s="0" t="s">
        <v>49</v>
      </c>
      <c r="X155" s="0" t="s">
        <v>333</v>
      </c>
      <c r="Y155" s="0" t="s">
        <v>219</v>
      </c>
      <c r="Z155" s="0" t="s">
        <v>49</v>
      </c>
      <c r="AA155" s="0" t="s">
        <v>49</v>
      </c>
      <c r="AB155" s="0" t="s">
        <v>49</v>
      </c>
      <c r="AC155" s="0" t="s">
        <v>53</v>
      </c>
      <c r="AD155" s="0" t="s">
        <v>54</v>
      </c>
      <c r="AE155" s="0" t="s">
        <v>1086</v>
      </c>
      <c r="AF155" s="0" t="s">
        <v>1087</v>
      </c>
      <c r="AG155" s="0" t="s">
        <v>1088</v>
      </c>
      <c r="AH155" s="0" t="s">
        <v>49</v>
      </c>
      <c r="AI155" s="0" t="s">
        <v>49</v>
      </c>
      <c r="AJ155" s="0" t="s">
        <v>49</v>
      </c>
      <c r="AK155" s="0" t="s">
        <v>49</v>
      </c>
      <c r="AL155" s="0" t="s">
        <v>49</v>
      </c>
    </row>
    <row r="156" customFormat="false" ht="15" hidden="false" customHeight="false" outlineLevel="0" collapsed="false">
      <c r="B156" s="0" t="str">
        <f aca="false">HYPERLINK("https://genome.ucsc.edu/cgi-bin/hgTracks?db=hg19&amp;position=chr15%3A42111745%2D42111745", "chr15:42111745")</f>
        <v>chr15:42111745</v>
      </c>
      <c r="C156" s="0" t="s">
        <v>1060</v>
      </c>
      <c r="D156" s="0" t="n">
        <v>42111745</v>
      </c>
      <c r="E156" s="0" t="n">
        <v>42111745</v>
      </c>
      <c r="F156" s="0" t="s">
        <v>190</v>
      </c>
      <c r="G156" s="0" t="s">
        <v>1089</v>
      </c>
      <c r="H156" s="0" t="s">
        <v>1090</v>
      </c>
      <c r="I156" s="0" t="s">
        <v>314</v>
      </c>
      <c r="J156" s="0" t="s">
        <v>1091</v>
      </c>
      <c r="K156" s="0" t="s">
        <v>49</v>
      </c>
      <c r="L156" s="0" t="s">
        <v>49</v>
      </c>
      <c r="M156" s="0" t="str">
        <f aca="false">HYPERLINK("https://www.genecards.org/Search/Keyword?queryString=%5Baliases%5D(%20MAPKBP1%20)&amp;keywords=MAPKBP1", "MAPKBP1")</f>
        <v>MAPKBP1</v>
      </c>
      <c r="N156" s="0" t="s">
        <v>549</v>
      </c>
      <c r="O156" s="0" t="s">
        <v>259</v>
      </c>
      <c r="P156" s="0" t="s">
        <v>1092</v>
      </c>
      <c r="Q156" s="0" t="n">
        <v>0.0001229</v>
      </c>
      <c r="R156" s="0" t="n">
        <v>-1</v>
      </c>
      <c r="S156" s="0" t="n">
        <v>-1</v>
      </c>
      <c r="T156" s="0" t="n">
        <v>-1</v>
      </c>
      <c r="U156" s="0" t="n">
        <v>-1</v>
      </c>
      <c r="V156" s="0" t="s">
        <v>49</v>
      </c>
      <c r="W156" s="0" t="s">
        <v>49</v>
      </c>
      <c r="X156" s="0" t="s">
        <v>49</v>
      </c>
      <c r="Y156" s="0" t="s">
        <v>49</v>
      </c>
      <c r="Z156" s="0" t="s">
        <v>49</v>
      </c>
      <c r="AA156" s="0" t="s">
        <v>49</v>
      </c>
      <c r="AB156" s="0" t="s">
        <v>49</v>
      </c>
      <c r="AC156" s="0" t="s">
        <v>53</v>
      </c>
      <c r="AD156" s="0" t="s">
        <v>54</v>
      </c>
      <c r="AE156" s="0" t="s">
        <v>1093</v>
      </c>
      <c r="AF156" s="0" t="s">
        <v>1094</v>
      </c>
      <c r="AG156" s="0" t="s">
        <v>1095</v>
      </c>
      <c r="AH156" s="0" t="s">
        <v>49</v>
      </c>
      <c r="AI156" s="0" t="s">
        <v>49</v>
      </c>
      <c r="AJ156" s="0" t="s">
        <v>49</v>
      </c>
      <c r="AK156" s="0" t="s">
        <v>49</v>
      </c>
      <c r="AL156" s="0" t="s">
        <v>49</v>
      </c>
    </row>
    <row r="157" customFormat="false" ht="15" hidden="false" customHeight="false" outlineLevel="0" collapsed="false">
      <c r="B157" s="0" t="str">
        <f aca="false">HYPERLINK("https://genome.ucsc.edu/cgi-bin/hgTracks?db=hg19&amp;position=chr15%3A50593417%2D50593417", "chr15:50593417")</f>
        <v>chr15:50593417</v>
      </c>
      <c r="C157" s="0" t="s">
        <v>1060</v>
      </c>
      <c r="D157" s="0" t="n">
        <v>50593417</v>
      </c>
      <c r="E157" s="0" t="n">
        <v>50593417</v>
      </c>
      <c r="F157" s="0" t="s">
        <v>39</v>
      </c>
      <c r="G157" s="0" t="s">
        <v>61</v>
      </c>
      <c r="H157" s="0" t="s">
        <v>1096</v>
      </c>
      <c r="I157" s="0" t="s">
        <v>272</v>
      </c>
      <c r="J157" s="0" t="s">
        <v>1097</v>
      </c>
      <c r="K157" s="0" t="s">
        <v>49</v>
      </c>
      <c r="L157" s="0" t="str">
        <f aca="false">HYPERLINK("https://www.ncbi.nlm.nih.gov/snp/rs80042819", "rs80042819")</f>
        <v>rs80042819</v>
      </c>
      <c r="M157" s="0" t="str">
        <f aca="false">HYPERLINK("https://www.genecards.org/Search/Keyword?queryString=%5Baliases%5D(%20GABPB1%20)&amp;keywords=GABPB1", "GABPB1")</f>
        <v>GABPB1</v>
      </c>
      <c r="N157" s="0" t="s">
        <v>196</v>
      </c>
      <c r="O157" s="0" t="s">
        <v>49</v>
      </c>
      <c r="P157" s="0" t="s">
        <v>1098</v>
      </c>
      <c r="Q157" s="0" t="n">
        <v>0.0172</v>
      </c>
      <c r="R157" s="0" t="n">
        <v>0.0037</v>
      </c>
      <c r="S157" s="0" t="n">
        <v>0.0036</v>
      </c>
      <c r="T157" s="0" t="n">
        <v>-1</v>
      </c>
      <c r="U157" s="0" t="n">
        <v>0.0041</v>
      </c>
      <c r="V157" s="0" t="s">
        <v>364</v>
      </c>
      <c r="W157" s="0" t="s">
        <v>333</v>
      </c>
      <c r="X157" s="0" t="s">
        <v>333</v>
      </c>
      <c r="Y157" s="0" t="s">
        <v>390</v>
      </c>
      <c r="Z157" s="0" t="s">
        <v>78</v>
      </c>
      <c r="AA157" s="0" t="s">
        <v>49</v>
      </c>
      <c r="AB157" s="0" t="s">
        <v>49</v>
      </c>
      <c r="AC157" s="0" t="s">
        <v>53</v>
      </c>
      <c r="AD157" s="0" t="s">
        <v>54</v>
      </c>
      <c r="AE157" s="0" t="s">
        <v>1099</v>
      </c>
      <c r="AF157" s="0" t="s">
        <v>1100</v>
      </c>
      <c r="AG157" s="0" t="s">
        <v>1101</v>
      </c>
      <c r="AH157" s="0" t="s">
        <v>49</v>
      </c>
      <c r="AI157" s="0" t="s">
        <v>49</v>
      </c>
      <c r="AJ157" s="0" t="s">
        <v>49</v>
      </c>
      <c r="AK157" s="0" t="s">
        <v>49</v>
      </c>
      <c r="AL157" s="0" t="s">
        <v>49</v>
      </c>
    </row>
    <row r="158" customFormat="false" ht="15" hidden="false" customHeight="false" outlineLevel="0" collapsed="false">
      <c r="B158" s="0" t="str">
        <f aca="false">HYPERLINK("https://genome.ucsc.edu/cgi-bin/hgTracks?db=hg19&amp;position=chr15%3A55841195%2D55841195", "chr15:55841195")</f>
        <v>chr15:55841195</v>
      </c>
      <c r="C158" s="0" t="s">
        <v>1060</v>
      </c>
      <c r="D158" s="0" t="n">
        <v>55841195</v>
      </c>
      <c r="E158" s="0" t="n">
        <v>55841195</v>
      </c>
      <c r="F158" s="0" t="s">
        <v>190</v>
      </c>
      <c r="G158" s="0" t="s">
        <v>61</v>
      </c>
      <c r="H158" s="0" t="s">
        <v>906</v>
      </c>
      <c r="I158" s="0" t="s">
        <v>366</v>
      </c>
      <c r="J158" s="0" t="s">
        <v>1102</v>
      </c>
      <c r="K158" s="0" t="s">
        <v>49</v>
      </c>
      <c r="L158" s="0" t="s">
        <v>49</v>
      </c>
      <c r="M158" s="0" t="str">
        <f aca="false">HYPERLINK("https://www.genecards.org/Search/Keyword?queryString=%5Baliases%5D(%20PYGO1%20)&amp;keywords=PYGO1", "PYGO1")</f>
        <v>PYGO1</v>
      </c>
      <c r="N158" s="0" t="s">
        <v>196</v>
      </c>
      <c r="O158" s="0" t="s">
        <v>49</v>
      </c>
      <c r="P158" s="0" t="s">
        <v>1103</v>
      </c>
      <c r="Q158" s="0" t="n">
        <v>0.0204</v>
      </c>
      <c r="R158" s="0" t="n">
        <v>0.0107</v>
      </c>
      <c r="S158" s="0" t="n">
        <v>0.0077</v>
      </c>
      <c r="T158" s="0" t="n">
        <v>-1</v>
      </c>
      <c r="U158" s="0" t="n">
        <v>0.0288</v>
      </c>
      <c r="V158" s="0" t="s">
        <v>49</v>
      </c>
      <c r="W158" s="0" t="s">
        <v>49</v>
      </c>
      <c r="X158" s="0" t="s">
        <v>49</v>
      </c>
      <c r="Y158" s="0" t="s">
        <v>49</v>
      </c>
      <c r="Z158" s="0" t="s">
        <v>49</v>
      </c>
      <c r="AA158" s="0" t="s">
        <v>49</v>
      </c>
      <c r="AB158" s="0" t="s">
        <v>49</v>
      </c>
      <c r="AC158" s="0" t="s">
        <v>53</v>
      </c>
      <c r="AD158" s="0" t="s">
        <v>54</v>
      </c>
      <c r="AE158" s="0" t="s">
        <v>1104</v>
      </c>
      <c r="AF158" s="0" t="s">
        <v>1105</v>
      </c>
      <c r="AG158" s="0" t="s">
        <v>1106</v>
      </c>
      <c r="AH158" s="0" t="s">
        <v>49</v>
      </c>
      <c r="AI158" s="0" t="s">
        <v>49</v>
      </c>
      <c r="AJ158" s="0" t="s">
        <v>49</v>
      </c>
      <c r="AK158" s="0" t="s">
        <v>49</v>
      </c>
      <c r="AL158" s="0" t="s">
        <v>49</v>
      </c>
    </row>
    <row r="159" customFormat="false" ht="15" hidden="false" customHeight="false" outlineLevel="0" collapsed="false">
      <c r="B159" s="0" t="str">
        <f aca="false">HYPERLINK("https://genome.ucsc.edu/cgi-bin/hgTracks?db=hg19&amp;position=chr15%3A72648740%2D72648740", "chr15:72648740")</f>
        <v>chr15:72648740</v>
      </c>
      <c r="C159" s="0" t="s">
        <v>1060</v>
      </c>
      <c r="D159" s="0" t="n">
        <v>72648740</v>
      </c>
      <c r="E159" s="0" t="n">
        <v>72648740</v>
      </c>
      <c r="F159" s="0" t="s">
        <v>60</v>
      </c>
      <c r="G159" s="0" t="s">
        <v>61</v>
      </c>
      <c r="H159" s="0" t="s">
        <v>1107</v>
      </c>
      <c r="I159" s="0" t="s">
        <v>1108</v>
      </c>
      <c r="J159" s="0" t="s">
        <v>1109</v>
      </c>
      <c r="K159" s="0" t="s">
        <v>49</v>
      </c>
      <c r="L159" s="0" t="str">
        <f aca="false">HYPERLINK("https://www.ncbi.nlm.nih.gov/snp/rs189217224", "rs189217224")</f>
        <v>rs189217224</v>
      </c>
      <c r="M159" s="0" t="str">
        <f aca="false">HYPERLINK("https://www.genecards.org/Search/Keyword?queryString=%5Baliases%5D(%20HEXA%20)&amp;keywords=HEXA", "HEXA")</f>
        <v>HEXA</v>
      </c>
      <c r="N159" s="0" t="s">
        <v>283</v>
      </c>
      <c r="O159" s="0" t="s">
        <v>49</v>
      </c>
      <c r="P159" s="0" t="s">
        <v>49</v>
      </c>
      <c r="Q159" s="0" t="n">
        <v>0.015</v>
      </c>
      <c r="R159" s="0" t="n">
        <v>0.0113</v>
      </c>
      <c r="S159" s="0" t="n">
        <v>0.0089</v>
      </c>
      <c r="T159" s="0" t="n">
        <v>-1</v>
      </c>
      <c r="U159" s="0" t="n">
        <v>0.0176</v>
      </c>
      <c r="V159" s="0" t="s">
        <v>49</v>
      </c>
      <c r="W159" s="0" t="s">
        <v>49</v>
      </c>
      <c r="X159" s="0" t="s">
        <v>218</v>
      </c>
      <c r="Y159" s="0" t="s">
        <v>219</v>
      </c>
      <c r="Z159" s="0" t="s">
        <v>49</v>
      </c>
      <c r="AA159" s="0" t="s">
        <v>49</v>
      </c>
      <c r="AB159" s="0" t="s">
        <v>49</v>
      </c>
      <c r="AC159" s="0" t="s">
        <v>53</v>
      </c>
      <c r="AD159" s="0" t="s">
        <v>209</v>
      </c>
      <c r="AE159" s="0" t="s">
        <v>1110</v>
      </c>
      <c r="AF159" s="0" t="s">
        <v>1111</v>
      </c>
      <c r="AG159" s="0" t="s">
        <v>1112</v>
      </c>
      <c r="AH159" s="0" t="s">
        <v>1113</v>
      </c>
      <c r="AI159" s="0" t="s">
        <v>49</v>
      </c>
      <c r="AJ159" s="0" t="s">
        <v>49</v>
      </c>
      <c r="AK159" s="0" t="s">
        <v>49</v>
      </c>
      <c r="AL159" s="0" t="s">
        <v>49</v>
      </c>
    </row>
    <row r="160" customFormat="false" ht="15" hidden="false" customHeight="false" outlineLevel="0" collapsed="false">
      <c r="B160" s="0" t="str">
        <f aca="false">HYPERLINK("https://genome.ucsc.edu/cgi-bin/hgTracks?db=hg19&amp;position=chr15%3A72649083%2D72649083", "chr15:72649083")</f>
        <v>chr15:72649083</v>
      </c>
      <c r="C160" s="0" t="s">
        <v>1060</v>
      </c>
      <c r="D160" s="0" t="n">
        <v>72649083</v>
      </c>
      <c r="E160" s="0" t="n">
        <v>72649083</v>
      </c>
      <c r="F160" s="0" t="s">
        <v>40</v>
      </c>
      <c r="G160" s="0" t="s">
        <v>39</v>
      </c>
      <c r="H160" s="0" t="s">
        <v>1114</v>
      </c>
      <c r="I160" s="0" t="s">
        <v>958</v>
      </c>
      <c r="J160" s="0" t="s">
        <v>1115</v>
      </c>
      <c r="K160" s="0" t="s">
        <v>49</v>
      </c>
      <c r="L160" s="0" t="str">
        <f aca="false">HYPERLINK("https://www.ncbi.nlm.nih.gov/snp/rs542198652", "rs542198652")</f>
        <v>rs542198652</v>
      </c>
      <c r="M160" s="0" t="str">
        <f aca="false">HYPERLINK("https://www.genecards.org/Search/Keyword?queryString=%5Baliases%5D(%20HEXA%20)&amp;keywords=HEXA", "HEXA")</f>
        <v>HEXA</v>
      </c>
      <c r="N160" s="0" t="s">
        <v>283</v>
      </c>
      <c r="O160" s="0" t="s">
        <v>49</v>
      </c>
      <c r="P160" s="0" t="s">
        <v>49</v>
      </c>
      <c r="Q160" s="0" t="n">
        <v>0.0027</v>
      </c>
      <c r="R160" s="0" t="n">
        <v>0.0031</v>
      </c>
      <c r="S160" s="0" t="n">
        <v>0.0025</v>
      </c>
      <c r="T160" s="0" t="n">
        <v>-1</v>
      </c>
      <c r="U160" s="0" t="n">
        <v>0.0034</v>
      </c>
      <c r="V160" s="0" t="s">
        <v>49</v>
      </c>
      <c r="W160" s="0" t="s">
        <v>49</v>
      </c>
      <c r="X160" s="0" t="s">
        <v>218</v>
      </c>
      <c r="Y160" s="0" t="s">
        <v>219</v>
      </c>
      <c r="Z160" s="0" t="s">
        <v>49</v>
      </c>
      <c r="AA160" s="0" t="s">
        <v>49</v>
      </c>
      <c r="AB160" s="0" t="s">
        <v>49</v>
      </c>
      <c r="AC160" s="0" t="s">
        <v>53</v>
      </c>
      <c r="AD160" s="0" t="s">
        <v>209</v>
      </c>
      <c r="AE160" s="0" t="s">
        <v>1110</v>
      </c>
      <c r="AF160" s="0" t="s">
        <v>1111</v>
      </c>
      <c r="AG160" s="0" t="s">
        <v>1112</v>
      </c>
      <c r="AH160" s="0" t="s">
        <v>1113</v>
      </c>
      <c r="AI160" s="0" t="s">
        <v>49</v>
      </c>
      <c r="AJ160" s="0" t="s">
        <v>49</v>
      </c>
      <c r="AK160" s="0" t="s">
        <v>49</v>
      </c>
      <c r="AL160" s="0" t="s">
        <v>49</v>
      </c>
    </row>
    <row r="161" customFormat="false" ht="15" hidden="false" customHeight="false" outlineLevel="0" collapsed="false">
      <c r="B161" s="0" t="str">
        <f aca="false">HYPERLINK("https://genome.ucsc.edu/cgi-bin/hgTracks?db=hg19&amp;position=chr15%3A90767253%2D90767253", "chr15:90767253")</f>
        <v>chr15:90767253</v>
      </c>
      <c r="C161" s="0" t="s">
        <v>1060</v>
      </c>
      <c r="D161" s="0" t="n">
        <v>90767253</v>
      </c>
      <c r="E161" s="0" t="n">
        <v>90767253</v>
      </c>
      <c r="F161" s="0" t="s">
        <v>60</v>
      </c>
      <c r="G161" s="0" t="s">
        <v>61</v>
      </c>
      <c r="H161" s="0" t="s">
        <v>1116</v>
      </c>
      <c r="I161" s="0" t="s">
        <v>1117</v>
      </c>
      <c r="J161" s="0" t="s">
        <v>1118</v>
      </c>
      <c r="K161" s="0" t="s">
        <v>49</v>
      </c>
      <c r="L161" s="0" t="str">
        <f aca="false">HYPERLINK("https://www.ncbi.nlm.nih.gov/snp/rs117741451", "rs117741451")</f>
        <v>rs117741451</v>
      </c>
      <c r="M161" s="0" t="str">
        <f aca="false">HYPERLINK("https://www.genecards.org/Search/Keyword?queryString=%5Baliases%5D(%20SEMA4B%20)&amp;keywords=SEMA4B", "SEMA4B")</f>
        <v>SEMA4B</v>
      </c>
      <c r="N161" s="0" t="s">
        <v>510</v>
      </c>
      <c r="O161" s="0" t="s">
        <v>49</v>
      </c>
      <c r="P161" s="0" t="s">
        <v>49</v>
      </c>
      <c r="Q161" s="0" t="n">
        <v>0.0179</v>
      </c>
      <c r="R161" s="0" t="n">
        <v>0.0199</v>
      </c>
      <c r="S161" s="0" t="n">
        <v>0.0179</v>
      </c>
      <c r="T161" s="0" t="n">
        <v>-1</v>
      </c>
      <c r="U161" s="0" t="n">
        <v>0.0242</v>
      </c>
      <c r="V161" s="0" t="s">
        <v>49</v>
      </c>
      <c r="W161" s="0" t="s">
        <v>49</v>
      </c>
      <c r="X161" s="0" t="s">
        <v>517</v>
      </c>
      <c r="Y161" s="0" t="s">
        <v>219</v>
      </c>
      <c r="Z161" s="0" t="s">
        <v>49</v>
      </c>
      <c r="AA161" s="0" t="s">
        <v>49</v>
      </c>
      <c r="AB161" s="0" t="s">
        <v>49</v>
      </c>
      <c r="AC161" s="0" t="s">
        <v>53</v>
      </c>
      <c r="AD161" s="0" t="s">
        <v>54</v>
      </c>
      <c r="AE161" s="0" t="s">
        <v>1119</v>
      </c>
      <c r="AF161" s="0" t="s">
        <v>1120</v>
      </c>
      <c r="AG161" s="0" t="s">
        <v>1121</v>
      </c>
      <c r="AH161" s="0" t="s">
        <v>49</v>
      </c>
      <c r="AI161" s="0" t="s">
        <v>49</v>
      </c>
      <c r="AJ161" s="0" t="s">
        <v>49</v>
      </c>
      <c r="AK161" s="0" t="s">
        <v>49</v>
      </c>
      <c r="AL161" s="0" t="s">
        <v>49</v>
      </c>
    </row>
    <row r="162" customFormat="false" ht="15" hidden="false" customHeight="false" outlineLevel="0" collapsed="false">
      <c r="B162" s="0" t="str">
        <f aca="false">HYPERLINK("https://genome.ucsc.edu/cgi-bin/hgTracks?db=hg19&amp;position=chr15%3A99192756%2D99192764", "chr15:99192756")</f>
        <v>chr15:99192756</v>
      </c>
      <c r="C162" s="0" t="s">
        <v>1060</v>
      </c>
      <c r="D162" s="0" t="n">
        <v>99192756</v>
      </c>
      <c r="E162" s="0" t="n">
        <v>99192764</v>
      </c>
      <c r="F162" s="0" t="s">
        <v>1122</v>
      </c>
      <c r="G162" s="0" t="s">
        <v>190</v>
      </c>
      <c r="H162" s="0" t="s">
        <v>1123</v>
      </c>
      <c r="I162" s="0" t="s">
        <v>1124</v>
      </c>
      <c r="J162" s="0" t="s">
        <v>1125</v>
      </c>
      <c r="K162" s="0" t="s">
        <v>49</v>
      </c>
      <c r="L162" s="0" t="s">
        <v>49</v>
      </c>
      <c r="M162" s="0" t="str">
        <f aca="false">HYPERLINK("https://www.genecards.org/Search/Keyword?queryString=%5Baliases%5D(%20IGF1R%20)%20OR%20%5Baliases%5D(%20IRAIN%20)&amp;keywords=IGF1R,IRAIN", "IGF1R;IRAIN")</f>
        <v>IGF1R;IRAIN</v>
      </c>
      <c r="N162" s="0" t="s">
        <v>291</v>
      </c>
      <c r="O162" s="0" t="s">
        <v>49</v>
      </c>
      <c r="P162" s="0" t="s">
        <v>1126</v>
      </c>
      <c r="Q162" s="0" t="n">
        <v>-1</v>
      </c>
      <c r="R162" s="0" t="n">
        <v>-1</v>
      </c>
      <c r="S162" s="0" t="n">
        <v>-1</v>
      </c>
      <c r="T162" s="0" t="n">
        <v>-1</v>
      </c>
      <c r="U162" s="0" t="n">
        <v>-1</v>
      </c>
      <c r="V162" s="0" t="s">
        <v>49</v>
      </c>
      <c r="W162" s="0" t="s">
        <v>49</v>
      </c>
      <c r="X162" s="0" t="s">
        <v>49</v>
      </c>
      <c r="Y162" s="0" t="s">
        <v>49</v>
      </c>
      <c r="Z162" s="0" t="s">
        <v>49</v>
      </c>
      <c r="AA162" s="0" t="s">
        <v>49</v>
      </c>
      <c r="AB162" s="0" t="s">
        <v>49</v>
      </c>
      <c r="AC162" s="0" t="s">
        <v>231</v>
      </c>
      <c r="AD162" s="0" t="s">
        <v>1127</v>
      </c>
      <c r="AE162" s="0" t="s">
        <v>1128</v>
      </c>
      <c r="AF162" s="0" t="s">
        <v>1129</v>
      </c>
      <c r="AG162" s="0" t="s">
        <v>1130</v>
      </c>
      <c r="AH162" s="0" t="s">
        <v>1131</v>
      </c>
      <c r="AI162" s="0" t="s">
        <v>49</v>
      </c>
      <c r="AJ162" s="0" t="s">
        <v>49</v>
      </c>
      <c r="AK162" s="0" t="s">
        <v>49</v>
      </c>
      <c r="AL162" s="0" t="s">
        <v>49</v>
      </c>
    </row>
    <row r="163" customFormat="false" ht="15" hidden="false" customHeight="false" outlineLevel="0" collapsed="false">
      <c r="B163" s="0" t="str">
        <f aca="false">HYPERLINK("https://genome.ucsc.edu/cgi-bin/hgTracks?db=hg19&amp;position=chr15%3A99506444%2D99506444", "chr15:99506444")</f>
        <v>chr15:99506444</v>
      </c>
      <c r="C163" s="0" t="s">
        <v>1060</v>
      </c>
      <c r="D163" s="0" t="n">
        <v>99506444</v>
      </c>
      <c r="E163" s="0" t="n">
        <v>99506444</v>
      </c>
      <c r="F163" s="0" t="s">
        <v>40</v>
      </c>
      <c r="G163" s="0" t="s">
        <v>190</v>
      </c>
      <c r="H163" s="0" t="s">
        <v>1132</v>
      </c>
      <c r="I163" s="0" t="s">
        <v>180</v>
      </c>
      <c r="J163" s="0" t="s">
        <v>1133</v>
      </c>
      <c r="K163" s="0" t="s">
        <v>49</v>
      </c>
      <c r="L163" s="0" t="s">
        <v>49</v>
      </c>
      <c r="M163" s="0" t="str">
        <f aca="false">HYPERLINK("https://www.genecards.org/Search/Keyword?queryString=%5Baliases%5D(%20IGF1R%20)&amp;keywords=IGF1R", "IGF1R")</f>
        <v>IGF1R</v>
      </c>
      <c r="N163" s="0" t="s">
        <v>229</v>
      </c>
      <c r="O163" s="0" t="s">
        <v>49</v>
      </c>
      <c r="P163" s="0" t="s">
        <v>1134</v>
      </c>
      <c r="Q163" s="0" t="n">
        <v>-1</v>
      </c>
      <c r="R163" s="0" t="n">
        <v>-1</v>
      </c>
      <c r="S163" s="0" t="n">
        <v>-1</v>
      </c>
      <c r="T163" s="0" t="n">
        <v>-1</v>
      </c>
      <c r="U163" s="0" t="n">
        <v>-1</v>
      </c>
      <c r="V163" s="0" t="s">
        <v>49</v>
      </c>
      <c r="W163" s="0" t="s">
        <v>49</v>
      </c>
      <c r="X163" s="0" t="s">
        <v>49</v>
      </c>
      <c r="Y163" s="0" t="s">
        <v>49</v>
      </c>
      <c r="Z163" s="0" t="s">
        <v>49</v>
      </c>
      <c r="AA163" s="0" t="s">
        <v>49</v>
      </c>
      <c r="AB163" s="0" t="s">
        <v>49</v>
      </c>
      <c r="AC163" s="0" t="s">
        <v>231</v>
      </c>
      <c r="AD163" s="0" t="s">
        <v>209</v>
      </c>
      <c r="AE163" s="0" t="s">
        <v>1128</v>
      </c>
      <c r="AF163" s="0" t="s">
        <v>1135</v>
      </c>
      <c r="AG163" s="0" t="s">
        <v>1130</v>
      </c>
      <c r="AH163" s="0" t="s">
        <v>1131</v>
      </c>
      <c r="AI163" s="0" t="s">
        <v>49</v>
      </c>
      <c r="AJ163" s="0" t="s">
        <v>49</v>
      </c>
      <c r="AK163" s="0" t="s">
        <v>49</v>
      </c>
      <c r="AL163" s="0" t="s">
        <v>49</v>
      </c>
    </row>
    <row r="164" customFormat="false" ht="15" hidden="false" customHeight="false" outlineLevel="0" collapsed="false">
      <c r="B164" s="0" t="str">
        <f aca="false">HYPERLINK("https://genome.ucsc.edu/cgi-bin/hgTracks?db=hg19&amp;position=chr16%3A5134740%2D5134740", "chr16:5134740")</f>
        <v>chr16:5134740</v>
      </c>
      <c r="C164" s="0" t="s">
        <v>121</v>
      </c>
      <c r="D164" s="0" t="n">
        <v>5134740</v>
      </c>
      <c r="E164" s="0" t="n">
        <v>5134740</v>
      </c>
      <c r="F164" s="0" t="s">
        <v>40</v>
      </c>
      <c r="G164" s="0" t="s">
        <v>60</v>
      </c>
      <c r="H164" s="0" t="s">
        <v>657</v>
      </c>
      <c r="I164" s="0" t="s">
        <v>1083</v>
      </c>
      <c r="J164" s="0" t="s">
        <v>1136</v>
      </c>
      <c r="K164" s="0" t="s">
        <v>49</v>
      </c>
      <c r="L164" s="0" t="str">
        <f aca="false">HYPERLINK("https://www.ncbi.nlm.nih.gov/snp/rs1047764", "rs1047764")</f>
        <v>rs1047764</v>
      </c>
      <c r="M164" s="0" t="str">
        <f aca="false">HYPERLINK("https://www.genecards.org/Search/Keyword?queryString=%5Baliases%5D(%20EEF2KMT%20)%20OR%20%5Baliases%5D(%20FAM86A%20)&amp;keywords=EEF2KMT,FAM86A", "EEF2KMT;FAM86A")</f>
        <v>EEF2KMT;FAM86A</v>
      </c>
      <c r="N164" s="0" t="s">
        <v>1137</v>
      </c>
      <c r="O164" s="0" t="s">
        <v>49</v>
      </c>
      <c r="P164" s="0" t="s">
        <v>1138</v>
      </c>
      <c r="Q164" s="0" t="n">
        <v>0.0014</v>
      </c>
      <c r="R164" s="0" t="n">
        <v>0.0013</v>
      </c>
      <c r="S164" s="0" t="n">
        <v>0.0013</v>
      </c>
      <c r="T164" s="0" t="n">
        <v>-1</v>
      </c>
      <c r="U164" s="0" t="n">
        <v>0.0022</v>
      </c>
      <c r="V164" s="0" t="s">
        <v>49</v>
      </c>
      <c r="W164" s="0" t="s">
        <v>333</v>
      </c>
      <c r="X164" s="0" t="s">
        <v>49</v>
      </c>
      <c r="Y164" s="0" t="s">
        <v>49</v>
      </c>
      <c r="Z164" s="0" t="s">
        <v>49</v>
      </c>
      <c r="AA164" s="0" t="s">
        <v>49</v>
      </c>
      <c r="AB164" s="0" t="s">
        <v>49</v>
      </c>
      <c r="AC164" s="0" t="s">
        <v>53</v>
      </c>
      <c r="AD164" s="0" t="s">
        <v>220</v>
      </c>
      <c r="AE164" s="0" t="s">
        <v>49</v>
      </c>
      <c r="AF164" s="0" t="s">
        <v>1139</v>
      </c>
      <c r="AG164" s="0" t="s">
        <v>1140</v>
      </c>
      <c r="AH164" s="0" t="s">
        <v>49</v>
      </c>
      <c r="AI164" s="0" t="s">
        <v>49</v>
      </c>
      <c r="AJ164" s="0" t="s">
        <v>49</v>
      </c>
      <c r="AK164" s="0" t="s">
        <v>49</v>
      </c>
      <c r="AL164" s="0" t="s">
        <v>120</v>
      </c>
    </row>
    <row r="165" customFormat="false" ht="15" hidden="false" customHeight="false" outlineLevel="0" collapsed="false">
      <c r="B165" s="0" t="str">
        <f aca="false">HYPERLINK("https://genome.ucsc.edu/cgi-bin/hgTracks?db=hg19&amp;position=chr16%3A15219564%2D15219564", "chr16:15219564")</f>
        <v>chr16:15219564</v>
      </c>
      <c r="C165" s="0" t="s">
        <v>121</v>
      </c>
      <c r="D165" s="0" t="n">
        <v>15219564</v>
      </c>
      <c r="E165" s="0" t="n">
        <v>15219564</v>
      </c>
      <c r="F165" s="0" t="s">
        <v>60</v>
      </c>
      <c r="G165" s="0" t="s">
        <v>39</v>
      </c>
      <c r="H165" s="0" t="s">
        <v>1141</v>
      </c>
      <c r="I165" s="0" t="s">
        <v>157</v>
      </c>
      <c r="J165" s="0" t="s">
        <v>1142</v>
      </c>
      <c r="K165" s="0" t="s">
        <v>49</v>
      </c>
      <c r="L165" s="0" t="str">
        <f aca="false">HYPERLINK("https://www.ncbi.nlm.nih.gov/snp/rs200953944", "rs200953944")</f>
        <v>rs200953944</v>
      </c>
      <c r="M165" s="0" t="str">
        <f aca="false">HYPERLINK("https://www.genecards.org/Search/Keyword?queryString=%5Baliases%5D(%20FLJ00285%20)%20OR%20%5Baliases%5D(%20PKD1P6-NPIPP1%20)&amp;keywords=FLJ00285,PKD1P6-NPIPP1", "FLJ00285;PKD1P6-NPIPP1")</f>
        <v>FLJ00285;PKD1P6-NPIPP1</v>
      </c>
      <c r="N165" s="0" t="s">
        <v>428</v>
      </c>
      <c r="O165" s="0" t="s">
        <v>205</v>
      </c>
      <c r="P165" s="0" t="s">
        <v>1143</v>
      </c>
      <c r="Q165" s="0" t="n">
        <v>0.0193</v>
      </c>
      <c r="R165" s="0" t="n">
        <v>0.0175</v>
      </c>
      <c r="S165" s="0" t="n">
        <v>0.0166</v>
      </c>
      <c r="T165" s="0" t="n">
        <v>-1</v>
      </c>
      <c r="U165" s="0" t="n">
        <v>0.0159</v>
      </c>
      <c r="V165" s="0" t="s">
        <v>49</v>
      </c>
      <c r="W165" s="0" t="s">
        <v>49</v>
      </c>
      <c r="X165" s="0" t="s">
        <v>49</v>
      </c>
      <c r="Y165" s="0" t="s">
        <v>49</v>
      </c>
      <c r="Z165" s="0" t="s">
        <v>49</v>
      </c>
      <c r="AA165" s="0" t="s">
        <v>49</v>
      </c>
      <c r="AB165" s="0" t="s">
        <v>49</v>
      </c>
      <c r="AC165" s="0" t="s">
        <v>53</v>
      </c>
      <c r="AD165" s="0" t="s">
        <v>220</v>
      </c>
      <c r="AE165" s="0" t="s">
        <v>49</v>
      </c>
      <c r="AF165" s="0" t="s">
        <v>49</v>
      </c>
      <c r="AG165" s="0" t="s">
        <v>49</v>
      </c>
      <c r="AH165" s="0" t="s">
        <v>49</v>
      </c>
      <c r="AI165" s="0" t="s">
        <v>49</v>
      </c>
      <c r="AJ165" s="0" t="s">
        <v>49</v>
      </c>
      <c r="AK165" s="0" t="s">
        <v>49</v>
      </c>
      <c r="AL165" s="0" t="s">
        <v>49</v>
      </c>
    </row>
    <row r="166" customFormat="false" ht="15" hidden="false" customHeight="false" outlineLevel="0" collapsed="false">
      <c r="B166" s="0" t="str">
        <f aca="false">HYPERLINK("https://genome.ucsc.edu/cgi-bin/hgTracks?db=hg19&amp;position=chr16%3A15818428%2D15818428", "chr16:15818428")</f>
        <v>chr16:15818428</v>
      </c>
      <c r="C166" s="0" t="s">
        <v>121</v>
      </c>
      <c r="D166" s="0" t="n">
        <v>15818428</v>
      </c>
      <c r="E166" s="0" t="n">
        <v>15818428</v>
      </c>
      <c r="F166" s="0" t="s">
        <v>39</v>
      </c>
      <c r="G166" s="0" t="s">
        <v>40</v>
      </c>
      <c r="H166" s="0" t="s">
        <v>1144</v>
      </c>
      <c r="I166" s="0" t="s">
        <v>1145</v>
      </c>
      <c r="J166" s="0" t="s">
        <v>1146</v>
      </c>
      <c r="K166" s="0" t="s">
        <v>49</v>
      </c>
      <c r="L166" s="0" t="str">
        <f aca="false">HYPERLINK("https://www.ncbi.nlm.nih.gov/snp/rs549021277", "rs549021277")</f>
        <v>rs549021277</v>
      </c>
      <c r="M166" s="0" t="str">
        <f aca="false">HYPERLINK("https://www.genecards.org/Search/Keyword?queryString=%5Baliases%5D(%20AX747846%20)%20OR%20%5Baliases%5D(%20NDE1%20)&amp;keywords=AX747846,NDE1", "AX747846;NDE1")</f>
        <v>AX747846;NDE1</v>
      </c>
      <c r="N166" s="0" t="s">
        <v>240</v>
      </c>
      <c r="O166" s="0" t="s">
        <v>49</v>
      </c>
      <c r="P166" s="0" t="s">
        <v>1147</v>
      </c>
      <c r="Q166" s="0" t="n">
        <v>0.0029</v>
      </c>
      <c r="R166" s="0" t="n">
        <v>0.0012</v>
      </c>
      <c r="S166" s="0" t="n">
        <v>0.0018</v>
      </c>
      <c r="T166" s="0" t="n">
        <v>-1</v>
      </c>
      <c r="U166" s="0" t="n">
        <v>0.0041</v>
      </c>
      <c r="V166" s="0" t="s">
        <v>49</v>
      </c>
      <c r="W166" s="0" t="s">
        <v>49</v>
      </c>
      <c r="X166" s="0" t="s">
        <v>49</v>
      </c>
      <c r="Y166" s="0" t="s">
        <v>49</v>
      </c>
      <c r="Z166" s="0" t="s">
        <v>49</v>
      </c>
      <c r="AA166" s="0" t="s">
        <v>49</v>
      </c>
      <c r="AB166" s="0" t="s">
        <v>49</v>
      </c>
      <c r="AC166" s="0" t="s">
        <v>53</v>
      </c>
      <c r="AD166" s="0" t="s">
        <v>220</v>
      </c>
      <c r="AE166" s="0" t="s">
        <v>1148</v>
      </c>
      <c r="AF166" s="0" t="s">
        <v>1149</v>
      </c>
      <c r="AG166" s="0" t="s">
        <v>1150</v>
      </c>
      <c r="AH166" s="0" t="s">
        <v>1151</v>
      </c>
      <c r="AI166" s="0" t="s">
        <v>49</v>
      </c>
      <c r="AJ166" s="0" t="s">
        <v>49</v>
      </c>
      <c r="AK166" s="0" t="s">
        <v>49</v>
      </c>
      <c r="AL166" s="0" t="s">
        <v>49</v>
      </c>
    </row>
    <row r="167" customFormat="false" ht="15" hidden="false" customHeight="false" outlineLevel="0" collapsed="false">
      <c r="B167" s="0" t="str">
        <f aca="false">HYPERLINK("https://genome.ucsc.edu/cgi-bin/hgTracks?db=hg19&amp;position=chr16%3A23224150%2D23224150", "chr16:23224150")</f>
        <v>chr16:23224150</v>
      </c>
      <c r="C167" s="0" t="s">
        <v>121</v>
      </c>
      <c r="D167" s="0" t="n">
        <v>23224150</v>
      </c>
      <c r="E167" s="0" t="n">
        <v>23224150</v>
      </c>
      <c r="F167" s="0" t="s">
        <v>40</v>
      </c>
      <c r="G167" s="0" t="s">
        <v>60</v>
      </c>
      <c r="H167" s="0" t="s">
        <v>1152</v>
      </c>
      <c r="I167" s="0" t="s">
        <v>824</v>
      </c>
      <c r="J167" s="0" t="s">
        <v>1153</v>
      </c>
      <c r="K167" s="0" t="s">
        <v>49</v>
      </c>
      <c r="L167" s="0" t="s">
        <v>49</v>
      </c>
      <c r="M167" s="0" t="str">
        <f aca="false">HYPERLINK("https://www.genecards.org/Search/Keyword?queryString=%5Baliases%5D(%20SCNN1G%20)&amp;keywords=SCNN1G", "SCNN1G")</f>
        <v>SCNN1G</v>
      </c>
      <c r="N167" s="0" t="s">
        <v>283</v>
      </c>
      <c r="O167" s="0" t="s">
        <v>49</v>
      </c>
      <c r="P167" s="0" t="s">
        <v>49</v>
      </c>
      <c r="Q167" s="0" t="n">
        <v>6.5E-006</v>
      </c>
      <c r="R167" s="0" t="n">
        <v>-1</v>
      </c>
      <c r="S167" s="0" t="n">
        <v>-1</v>
      </c>
      <c r="T167" s="0" t="n">
        <v>-1</v>
      </c>
      <c r="U167" s="0" t="n">
        <v>-1</v>
      </c>
      <c r="V167" s="0" t="s">
        <v>49</v>
      </c>
      <c r="W167" s="0" t="s">
        <v>40</v>
      </c>
      <c r="X167" s="0" t="s">
        <v>218</v>
      </c>
      <c r="Y167" s="0" t="s">
        <v>390</v>
      </c>
      <c r="Z167" s="0" t="s">
        <v>49</v>
      </c>
      <c r="AA167" s="0" t="s">
        <v>49</v>
      </c>
      <c r="AB167" s="0" t="s">
        <v>49</v>
      </c>
      <c r="AC167" s="0" t="s">
        <v>53</v>
      </c>
      <c r="AD167" s="0" t="s">
        <v>54</v>
      </c>
      <c r="AE167" s="0" t="s">
        <v>1154</v>
      </c>
      <c r="AF167" s="0" t="s">
        <v>1155</v>
      </c>
      <c r="AG167" s="0" t="s">
        <v>1156</v>
      </c>
      <c r="AH167" s="0" t="s">
        <v>1157</v>
      </c>
      <c r="AI167" s="0" t="s">
        <v>49</v>
      </c>
      <c r="AJ167" s="0" t="s">
        <v>49</v>
      </c>
      <c r="AK167" s="0" t="s">
        <v>49</v>
      </c>
      <c r="AL167" s="0" t="s">
        <v>49</v>
      </c>
    </row>
    <row r="168" s="2" customFormat="true" ht="15" hidden="false" customHeight="false" outlineLevel="0" collapsed="false">
      <c r="B168" s="2" t="str">
        <f aca="false">HYPERLINK("https://genome.ucsc.edu/cgi-bin/hgTracks?db=hg19&amp;position=chr16%3A23634522%2D23634522", "chr16:23634522")</f>
        <v>chr16:23634522</v>
      </c>
      <c r="C168" s="2" t="s">
        <v>121</v>
      </c>
      <c r="D168" s="2" t="n">
        <v>23634522</v>
      </c>
      <c r="E168" s="2" t="n">
        <v>23634522</v>
      </c>
      <c r="F168" s="2" t="s">
        <v>190</v>
      </c>
      <c r="G168" s="2" t="s">
        <v>40</v>
      </c>
      <c r="H168" s="2" t="s">
        <v>1158</v>
      </c>
      <c r="I168" s="2" t="s">
        <v>787</v>
      </c>
      <c r="J168" s="2" t="s">
        <v>1159</v>
      </c>
      <c r="K168" s="2" t="s">
        <v>49</v>
      </c>
      <c r="L168" s="2" t="s">
        <v>49</v>
      </c>
      <c r="M168" s="2" t="str">
        <f aca="false">HYPERLINK("https://www.genecards.org/Search/Keyword?queryString=%5Baliases%5D(%20PALB2%20)&amp;keywords=PALB2", "PALB2")</f>
        <v>PALB2</v>
      </c>
      <c r="N168" s="2" t="s">
        <v>283</v>
      </c>
      <c r="O168" s="2" t="s">
        <v>49</v>
      </c>
      <c r="P168" s="2" t="s">
        <v>49</v>
      </c>
      <c r="Q168" s="2" t="n">
        <v>-1</v>
      </c>
      <c r="R168" s="2" t="n">
        <v>-1</v>
      </c>
      <c r="S168" s="2" t="n">
        <v>-1</v>
      </c>
      <c r="T168" s="2" t="n">
        <v>-1</v>
      </c>
      <c r="U168" s="2" t="n">
        <v>-1</v>
      </c>
      <c r="V168" s="2" t="s">
        <v>49</v>
      </c>
      <c r="W168" s="2" t="s">
        <v>49</v>
      </c>
      <c r="X168" s="2" t="s">
        <v>49</v>
      </c>
      <c r="Y168" s="2" t="s">
        <v>49</v>
      </c>
      <c r="Z168" s="2" t="s">
        <v>49</v>
      </c>
      <c r="AA168" s="2" t="s">
        <v>49</v>
      </c>
      <c r="AB168" s="2" t="s">
        <v>49</v>
      </c>
      <c r="AC168" s="2" t="s">
        <v>231</v>
      </c>
      <c r="AD168" s="2" t="s">
        <v>54</v>
      </c>
      <c r="AE168" s="2" t="s">
        <v>1160</v>
      </c>
      <c r="AF168" s="2" t="s">
        <v>1161</v>
      </c>
      <c r="AG168" s="2" t="s">
        <v>1162</v>
      </c>
      <c r="AH168" s="2" t="s">
        <v>1163</v>
      </c>
      <c r="AI168" s="2" t="s">
        <v>49</v>
      </c>
      <c r="AJ168" s="2" t="s">
        <v>49</v>
      </c>
      <c r="AK168" s="2" t="s">
        <v>49</v>
      </c>
      <c r="AL168" s="2" t="s">
        <v>49</v>
      </c>
    </row>
    <row r="169" customFormat="false" ht="15" hidden="false" customHeight="false" outlineLevel="0" collapsed="false">
      <c r="B169" s="0" t="str">
        <f aca="false">HYPERLINK("https://genome.ucsc.edu/cgi-bin/hgTracks?db=hg19&amp;position=chr16%3A28620025%2D28620025", "chr16:28620025")</f>
        <v>chr16:28620025</v>
      </c>
      <c r="C169" s="0" t="s">
        <v>121</v>
      </c>
      <c r="D169" s="0" t="n">
        <v>28620025</v>
      </c>
      <c r="E169" s="0" t="n">
        <v>28620025</v>
      </c>
      <c r="F169" s="0" t="s">
        <v>40</v>
      </c>
      <c r="G169" s="0" t="s">
        <v>39</v>
      </c>
      <c r="H169" s="0" t="s">
        <v>1164</v>
      </c>
      <c r="I169" s="0" t="s">
        <v>1165</v>
      </c>
      <c r="J169" s="0" t="s">
        <v>1166</v>
      </c>
      <c r="K169" s="0" t="s">
        <v>49</v>
      </c>
      <c r="L169" s="0" t="str">
        <f aca="false">HYPERLINK("https://www.ncbi.nlm.nih.gov/snp/rs12924616", "rs12924616")</f>
        <v>rs12924616</v>
      </c>
      <c r="M169" s="0" t="str">
        <f aca="false">HYPERLINK("https://www.genecards.org/Search/Keyword?queryString=%5Baliases%5D(%20NPIPL1%20)%20OR%20%5Baliases%5D(%20SULT1A1%20)&amp;keywords=NPIPL1,SULT1A1", "NPIPL1;SULT1A1")</f>
        <v>NPIPL1;SULT1A1</v>
      </c>
      <c r="N169" s="0" t="s">
        <v>510</v>
      </c>
      <c r="O169" s="0" t="s">
        <v>49</v>
      </c>
      <c r="P169" s="0" t="s">
        <v>49</v>
      </c>
      <c r="Q169" s="0" t="n">
        <v>0.010744</v>
      </c>
      <c r="R169" s="0" t="n">
        <v>0.0037</v>
      </c>
      <c r="S169" s="0" t="n">
        <v>0.0051</v>
      </c>
      <c r="T169" s="0" t="n">
        <v>-1</v>
      </c>
      <c r="U169" s="0" t="n">
        <v>0.0025</v>
      </c>
      <c r="V169" s="0" t="s">
        <v>49</v>
      </c>
      <c r="W169" s="0" t="s">
        <v>40</v>
      </c>
      <c r="X169" s="0" t="s">
        <v>517</v>
      </c>
      <c r="Y169" s="0" t="s">
        <v>390</v>
      </c>
      <c r="Z169" s="0" t="s">
        <v>49</v>
      </c>
      <c r="AA169" s="0" t="s">
        <v>49</v>
      </c>
      <c r="AB169" s="0" t="s">
        <v>49</v>
      </c>
      <c r="AC169" s="0" t="s">
        <v>53</v>
      </c>
      <c r="AD169" s="0" t="s">
        <v>1127</v>
      </c>
      <c r="AE169" s="0" t="s">
        <v>1167</v>
      </c>
      <c r="AF169" s="0" t="s">
        <v>1168</v>
      </c>
      <c r="AG169" s="0" t="s">
        <v>1169</v>
      </c>
      <c r="AH169" s="0" t="s">
        <v>49</v>
      </c>
      <c r="AI169" s="0" t="s">
        <v>49</v>
      </c>
      <c r="AJ169" s="0" t="s">
        <v>49</v>
      </c>
      <c r="AK169" s="0" t="s">
        <v>49</v>
      </c>
      <c r="AL169" s="0" t="s">
        <v>132</v>
      </c>
    </row>
    <row r="170" customFormat="false" ht="15" hidden="false" customHeight="false" outlineLevel="0" collapsed="false">
      <c r="B170" s="0" t="str">
        <f aca="false">HYPERLINK("https://genome.ucsc.edu/cgi-bin/hgTracks?db=hg19&amp;position=chr16%3A28995521%2D28995521", "chr16:28995521")</f>
        <v>chr16:28995521</v>
      </c>
      <c r="C170" s="0" t="s">
        <v>121</v>
      </c>
      <c r="D170" s="0" t="n">
        <v>28995521</v>
      </c>
      <c r="E170" s="0" t="n">
        <v>28995521</v>
      </c>
      <c r="F170" s="0" t="s">
        <v>39</v>
      </c>
      <c r="G170" s="0" t="s">
        <v>60</v>
      </c>
      <c r="H170" s="0" t="s">
        <v>1170</v>
      </c>
      <c r="I170" s="0" t="s">
        <v>1171</v>
      </c>
      <c r="J170" s="0" t="s">
        <v>1172</v>
      </c>
      <c r="K170" s="0" t="s">
        <v>49</v>
      </c>
      <c r="L170" s="0" t="str">
        <f aca="false">HYPERLINK("https://www.ncbi.nlm.nih.gov/snp/rs375777872", "rs375777872")</f>
        <v>rs375777872</v>
      </c>
      <c r="M170" s="0" t="str">
        <f aca="false">HYPERLINK("https://www.genecards.org/Search/Keyword?queryString=%5Baliases%5D(%20NPIPL1%20)%20OR%20%5Baliases%5D(%20SPNS1%20)&amp;keywords=NPIPL1,SPNS1", "NPIPL1;SPNS1")</f>
        <v>NPIPL1;SPNS1</v>
      </c>
      <c r="N170" s="0" t="s">
        <v>283</v>
      </c>
      <c r="O170" s="0" t="s">
        <v>49</v>
      </c>
      <c r="P170" s="0" t="s">
        <v>49</v>
      </c>
      <c r="Q170" s="0" t="n">
        <v>0.001642</v>
      </c>
      <c r="R170" s="0" t="n">
        <v>0.0011</v>
      </c>
      <c r="S170" s="0" t="n">
        <v>0.001</v>
      </c>
      <c r="T170" s="0" t="n">
        <v>-1</v>
      </c>
      <c r="U170" s="0" t="n">
        <v>0.0011</v>
      </c>
      <c r="V170" s="0" t="s">
        <v>49</v>
      </c>
      <c r="W170" s="0" t="s">
        <v>40</v>
      </c>
      <c r="X170" s="0" t="s">
        <v>517</v>
      </c>
      <c r="Y170" s="0" t="s">
        <v>219</v>
      </c>
      <c r="Z170" s="0" t="s">
        <v>49</v>
      </c>
      <c r="AA170" s="0" t="s">
        <v>49</v>
      </c>
      <c r="AB170" s="0" t="s">
        <v>49</v>
      </c>
      <c r="AC170" s="0" t="s">
        <v>53</v>
      </c>
      <c r="AD170" s="0" t="s">
        <v>1127</v>
      </c>
      <c r="AE170" s="0" t="s">
        <v>1173</v>
      </c>
      <c r="AF170" s="0" t="s">
        <v>1174</v>
      </c>
      <c r="AG170" s="0" t="s">
        <v>1175</v>
      </c>
      <c r="AH170" s="0" t="s">
        <v>49</v>
      </c>
      <c r="AI170" s="0" t="s">
        <v>49</v>
      </c>
      <c r="AJ170" s="0" t="s">
        <v>49</v>
      </c>
      <c r="AK170" s="0" t="s">
        <v>49</v>
      </c>
      <c r="AL170" s="0" t="s">
        <v>49</v>
      </c>
    </row>
    <row r="171" customFormat="false" ht="15" hidden="false" customHeight="false" outlineLevel="0" collapsed="false">
      <c r="B171" s="0" t="str">
        <f aca="false">HYPERLINK("https://genome.ucsc.edu/cgi-bin/hgTracks?db=hg19&amp;position=chr16%3A70896016%2D70896016", "chr16:70896016")</f>
        <v>chr16:70896016</v>
      </c>
      <c r="C171" s="0" t="s">
        <v>121</v>
      </c>
      <c r="D171" s="0" t="n">
        <v>70896016</v>
      </c>
      <c r="E171" s="0" t="n">
        <v>70896016</v>
      </c>
      <c r="F171" s="0" t="s">
        <v>61</v>
      </c>
      <c r="G171" s="0" t="s">
        <v>190</v>
      </c>
      <c r="H171" s="0" t="s">
        <v>1176</v>
      </c>
      <c r="I171" s="0" t="s">
        <v>1177</v>
      </c>
      <c r="J171" s="0" t="s">
        <v>1178</v>
      </c>
      <c r="K171" s="0" t="s">
        <v>49</v>
      </c>
      <c r="L171" s="0" t="str">
        <f aca="false">HYPERLINK("https://www.ncbi.nlm.nih.gov/snp/rs11337008", "rs11337008")</f>
        <v>rs11337008</v>
      </c>
      <c r="M171" s="0" t="str">
        <f aca="false">HYPERLINK("https://www.genecards.org/Search/Keyword?queryString=%5Baliases%5D(%20HYDIN%20)&amp;keywords=HYDIN", "HYDIN")</f>
        <v>HYDIN</v>
      </c>
      <c r="N171" s="0" t="s">
        <v>45</v>
      </c>
      <c r="O171" s="0" t="s">
        <v>539</v>
      </c>
      <c r="P171" s="0" t="s">
        <v>1179</v>
      </c>
      <c r="Q171" s="0" t="n">
        <v>0.0041655</v>
      </c>
      <c r="R171" s="0" t="n">
        <v>-1</v>
      </c>
      <c r="S171" s="0" t="n">
        <v>-1</v>
      </c>
      <c r="T171" s="0" t="n">
        <v>-1</v>
      </c>
      <c r="U171" s="0" t="n">
        <v>-1</v>
      </c>
      <c r="V171" s="0" t="s">
        <v>49</v>
      </c>
      <c r="W171" s="0" t="s">
        <v>49</v>
      </c>
      <c r="X171" s="0" t="s">
        <v>49</v>
      </c>
      <c r="Y171" s="0" t="s">
        <v>49</v>
      </c>
      <c r="Z171" s="0" t="s">
        <v>49</v>
      </c>
      <c r="AA171" s="0" t="s">
        <v>49</v>
      </c>
      <c r="AB171" s="0" t="s">
        <v>49</v>
      </c>
      <c r="AC171" s="0" t="s">
        <v>53</v>
      </c>
      <c r="AD171" s="0" t="s">
        <v>54</v>
      </c>
      <c r="AE171" s="0" t="s">
        <v>49</v>
      </c>
      <c r="AF171" s="0" t="s">
        <v>1180</v>
      </c>
      <c r="AG171" s="0" t="s">
        <v>1181</v>
      </c>
      <c r="AH171" s="0" t="s">
        <v>1182</v>
      </c>
      <c r="AI171" s="0" t="s">
        <v>49</v>
      </c>
      <c r="AJ171" s="0" t="s">
        <v>49</v>
      </c>
      <c r="AK171" s="0" t="s">
        <v>49</v>
      </c>
      <c r="AL171" s="0" t="s">
        <v>132</v>
      </c>
    </row>
    <row r="172" customFormat="false" ht="15" hidden="false" customHeight="false" outlineLevel="0" collapsed="false">
      <c r="B172" s="0" t="str">
        <f aca="false">HYPERLINK("https://genome.ucsc.edu/cgi-bin/hgTracks?db=hg19&amp;position=chr16%3A83159154%2D83159154", "chr16:83159154")</f>
        <v>chr16:83159154</v>
      </c>
      <c r="C172" s="0" t="s">
        <v>121</v>
      </c>
      <c r="D172" s="0" t="n">
        <v>83159154</v>
      </c>
      <c r="E172" s="0" t="n">
        <v>83159154</v>
      </c>
      <c r="F172" s="0" t="s">
        <v>61</v>
      </c>
      <c r="G172" s="0" t="s">
        <v>60</v>
      </c>
      <c r="H172" s="0" t="s">
        <v>1183</v>
      </c>
      <c r="I172" s="0" t="s">
        <v>1184</v>
      </c>
      <c r="J172" s="0" t="s">
        <v>1185</v>
      </c>
      <c r="K172" s="0" t="s">
        <v>49</v>
      </c>
      <c r="L172" s="0" t="str">
        <f aca="false">HYPERLINK("https://www.ncbi.nlm.nih.gov/snp/rs200634279", "rs200634279")</f>
        <v>rs200634279</v>
      </c>
      <c r="M172" s="0" t="str">
        <f aca="false">HYPERLINK("https://www.genecards.org/Search/Keyword?queryString=%5Baliases%5D(%20CDH13%20)&amp;keywords=CDH13", "CDH13")</f>
        <v>CDH13</v>
      </c>
      <c r="N172" s="0" t="s">
        <v>510</v>
      </c>
      <c r="O172" s="0" t="s">
        <v>49</v>
      </c>
      <c r="P172" s="0" t="s">
        <v>49</v>
      </c>
      <c r="Q172" s="0" t="n">
        <v>0.0103</v>
      </c>
      <c r="R172" s="0" t="n">
        <v>0.0095</v>
      </c>
      <c r="S172" s="0" t="n">
        <v>0.0077</v>
      </c>
      <c r="T172" s="0" t="n">
        <v>-1</v>
      </c>
      <c r="U172" s="0" t="n">
        <v>0.0147</v>
      </c>
      <c r="V172" s="0" t="s">
        <v>49</v>
      </c>
      <c r="W172" s="0" t="s">
        <v>49</v>
      </c>
      <c r="X172" s="0" t="s">
        <v>333</v>
      </c>
      <c r="Y172" s="0" t="s">
        <v>219</v>
      </c>
      <c r="Z172" s="0" t="s">
        <v>49</v>
      </c>
      <c r="AA172" s="0" t="s">
        <v>49</v>
      </c>
      <c r="AB172" s="0" t="s">
        <v>49</v>
      </c>
      <c r="AC172" s="0" t="s">
        <v>53</v>
      </c>
      <c r="AD172" s="0" t="s">
        <v>54</v>
      </c>
      <c r="AE172" s="0" t="s">
        <v>1186</v>
      </c>
      <c r="AF172" s="0" t="s">
        <v>1187</v>
      </c>
      <c r="AG172" s="0" t="s">
        <v>1188</v>
      </c>
      <c r="AH172" s="0" t="s">
        <v>49</v>
      </c>
      <c r="AI172" s="0" t="s">
        <v>49</v>
      </c>
      <c r="AJ172" s="0" t="s">
        <v>49</v>
      </c>
      <c r="AK172" s="0" t="s">
        <v>49</v>
      </c>
      <c r="AL172" s="0" t="s">
        <v>49</v>
      </c>
    </row>
    <row r="173" customFormat="false" ht="15" hidden="false" customHeight="false" outlineLevel="0" collapsed="false">
      <c r="B173" s="0" t="str">
        <f aca="false">HYPERLINK("https://genome.ucsc.edu/cgi-bin/hgTracks?db=hg19&amp;position=chr16%3A88808287%2D88808287", "chr16:88808287")</f>
        <v>chr16:88808287</v>
      </c>
      <c r="C173" s="0" t="s">
        <v>121</v>
      </c>
      <c r="D173" s="0" t="n">
        <v>88808287</v>
      </c>
      <c r="E173" s="0" t="n">
        <v>88808287</v>
      </c>
      <c r="F173" s="0" t="s">
        <v>61</v>
      </c>
      <c r="G173" s="0" t="s">
        <v>709</v>
      </c>
      <c r="H173" s="0" t="s">
        <v>1189</v>
      </c>
      <c r="I173" s="0" t="s">
        <v>238</v>
      </c>
      <c r="J173" s="0" t="s">
        <v>1190</v>
      </c>
      <c r="K173" s="0" t="s">
        <v>49</v>
      </c>
      <c r="L173" s="0" t="s">
        <v>49</v>
      </c>
      <c r="M173" s="0" t="str">
        <f aca="false">HYPERLINK("https://www.genecards.org/Search/Keyword?queryString=%5Baliases%5D(%20PIEZO1%20)&amp;keywords=PIEZO1", "PIEZO1")</f>
        <v>PIEZO1</v>
      </c>
      <c r="N173" s="0" t="s">
        <v>283</v>
      </c>
      <c r="O173" s="0" t="s">
        <v>49</v>
      </c>
      <c r="P173" s="0" t="s">
        <v>49</v>
      </c>
      <c r="Q173" s="0" t="n">
        <v>-1</v>
      </c>
      <c r="R173" s="0" t="n">
        <v>-1</v>
      </c>
      <c r="S173" s="0" t="n">
        <v>-1</v>
      </c>
      <c r="T173" s="0" t="n">
        <v>-1</v>
      </c>
      <c r="U173" s="0" t="n">
        <v>-1</v>
      </c>
      <c r="V173" s="0" t="s">
        <v>49</v>
      </c>
      <c r="W173" s="0" t="s">
        <v>49</v>
      </c>
      <c r="X173" s="0" t="s">
        <v>49</v>
      </c>
      <c r="Y173" s="0" t="s">
        <v>49</v>
      </c>
      <c r="Z173" s="0" t="s">
        <v>49</v>
      </c>
      <c r="AA173" s="0" t="s">
        <v>49</v>
      </c>
      <c r="AB173" s="0" t="s">
        <v>49</v>
      </c>
      <c r="AC173" s="0" t="s">
        <v>231</v>
      </c>
      <c r="AD173" s="0" t="s">
        <v>54</v>
      </c>
      <c r="AE173" s="0" t="s">
        <v>1191</v>
      </c>
      <c r="AF173" s="0" t="s">
        <v>1192</v>
      </c>
      <c r="AG173" s="0" t="s">
        <v>1193</v>
      </c>
      <c r="AH173" s="0" t="s">
        <v>1194</v>
      </c>
      <c r="AI173" s="0" t="s">
        <v>822</v>
      </c>
      <c r="AJ173" s="0" t="s">
        <v>49</v>
      </c>
      <c r="AK173" s="0" t="s">
        <v>49</v>
      </c>
      <c r="AL173" s="0" t="s">
        <v>49</v>
      </c>
    </row>
    <row r="174" customFormat="false" ht="15" hidden="false" customHeight="false" outlineLevel="0" collapsed="false">
      <c r="B174" s="0" t="str">
        <f aca="false">HYPERLINK("https://genome.ucsc.edu/cgi-bin/hgTracks?db=hg19&amp;position=chr16%3A89199345%2D89199345", "chr16:89199345")</f>
        <v>chr16:89199345</v>
      </c>
      <c r="C174" s="0" t="s">
        <v>121</v>
      </c>
      <c r="D174" s="0" t="n">
        <v>89199345</v>
      </c>
      <c r="E174" s="0" t="n">
        <v>89199345</v>
      </c>
      <c r="F174" s="0" t="s">
        <v>60</v>
      </c>
      <c r="G174" s="0" t="s">
        <v>61</v>
      </c>
      <c r="H174" s="0" t="s">
        <v>1195</v>
      </c>
      <c r="I174" s="0" t="s">
        <v>606</v>
      </c>
      <c r="J174" s="0" t="s">
        <v>607</v>
      </c>
      <c r="K174" s="0" t="s">
        <v>49</v>
      </c>
      <c r="L174" s="0" t="str">
        <f aca="false">HYPERLINK("https://www.ncbi.nlm.nih.gov/snp/rs72817489", "rs72817489")</f>
        <v>rs72817489</v>
      </c>
      <c r="M174" s="0" t="str">
        <f aca="false">HYPERLINK("https://www.genecards.org/Search/Keyword?queryString=%5Baliases%5D(%20ACSF3%20)&amp;keywords=ACSF3", "ACSF3")</f>
        <v>ACSF3</v>
      </c>
      <c r="N174" s="0" t="s">
        <v>510</v>
      </c>
      <c r="O174" s="0" t="s">
        <v>49</v>
      </c>
      <c r="P174" s="0" t="s">
        <v>49</v>
      </c>
      <c r="Q174" s="0" t="n">
        <v>0.021</v>
      </c>
      <c r="R174" s="0" t="n">
        <v>0.0093</v>
      </c>
      <c r="S174" s="0" t="n">
        <v>0.0083</v>
      </c>
      <c r="T174" s="0" t="n">
        <v>-1</v>
      </c>
      <c r="U174" s="0" t="n">
        <v>0.0091</v>
      </c>
      <c r="V174" s="0" t="s">
        <v>49</v>
      </c>
      <c r="W174" s="0" t="s">
        <v>49</v>
      </c>
      <c r="X174" s="0" t="s">
        <v>517</v>
      </c>
      <c r="Y174" s="0" t="s">
        <v>219</v>
      </c>
      <c r="Z174" s="0" t="s">
        <v>49</v>
      </c>
      <c r="AA174" s="0" t="s">
        <v>49</v>
      </c>
      <c r="AB174" s="0" t="s">
        <v>49</v>
      </c>
      <c r="AC174" s="0" t="s">
        <v>53</v>
      </c>
      <c r="AD174" s="0" t="s">
        <v>54</v>
      </c>
      <c r="AE174" s="0" t="s">
        <v>1196</v>
      </c>
      <c r="AF174" s="0" t="s">
        <v>1197</v>
      </c>
      <c r="AG174" s="0" t="s">
        <v>1198</v>
      </c>
      <c r="AH174" s="0" t="s">
        <v>1199</v>
      </c>
      <c r="AI174" s="0" t="s">
        <v>49</v>
      </c>
      <c r="AJ174" s="0" t="s">
        <v>49</v>
      </c>
      <c r="AK174" s="0" t="s">
        <v>49</v>
      </c>
      <c r="AL174" s="0" t="s">
        <v>49</v>
      </c>
    </row>
    <row r="175" customFormat="false" ht="15" hidden="false" customHeight="false" outlineLevel="0" collapsed="false">
      <c r="B175" s="0" t="str">
        <f aca="false">HYPERLINK("https://genome.ucsc.edu/cgi-bin/hgTracks?db=hg19&amp;position=chr17%3A18832048%2D18832048", "chr17:18832048")</f>
        <v>chr17:18832048</v>
      </c>
      <c r="C175" s="0" t="s">
        <v>59</v>
      </c>
      <c r="D175" s="0" t="n">
        <v>18832048</v>
      </c>
      <c r="E175" s="0" t="n">
        <v>18832048</v>
      </c>
      <c r="F175" s="0" t="s">
        <v>190</v>
      </c>
      <c r="G175" s="0" t="s">
        <v>40</v>
      </c>
      <c r="H175" s="0" t="s">
        <v>1200</v>
      </c>
      <c r="I175" s="0" t="s">
        <v>839</v>
      </c>
      <c r="J175" s="0" t="s">
        <v>1201</v>
      </c>
      <c r="K175" s="0" t="s">
        <v>49</v>
      </c>
      <c r="L175" s="0" t="str">
        <f aca="false">HYPERLINK("https://www.ncbi.nlm.nih.gov/snp/rs528134793", "rs528134793")</f>
        <v>rs528134793</v>
      </c>
      <c r="M175" s="0" t="str">
        <f aca="false">HYPERLINK("https://www.genecards.org/Search/Keyword?queryString=%5Baliases%5D(%20PRPSAP2%20)&amp;keywords=PRPSAP2", "PRPSAP2")</f>
        <v>PRPSAP2</v>
      </c>
      <c r="N175" s="0" t="s">
        <v>549</v>
      </c>
      <c r="O175" s="0" t="s">
        <v>259</v>
      </c>
      <c r="P175" s="0" t="s">
        <v>1202</v>
      </c>
      <c r="Q175" s="0" t="n">
        <v>0.0043</v>
      </c>
      <c r="R175" s="0" t="n">
        <v>-1</v>
      </c>
      <c r="S175" s="0" t="n">
        <v>7.381E-005</v>
      </c>
      <c r="T175" s="0" t="n">
        <v>-1</v>
      </c>
      <c r="U175" s="0" t="n">
        <v>-1</v>
      </c>
      <c r="V175" s="0" t="s">
        <v>49</v>
      </c>
      <c r="W175" s="0" t="s">
        <v>49</v>
      </c>
      <c r="X175" s="0" t="s">
        <v>49</v>
      </c>
      <c r="Y175" s="0" t="s">
        <v>49</v>
      </c>
      <c r="Z175" s="0" t="s">
        <v>49</v>
      </c>
      <c r="AA175" s="0" t="s">
        <v>49</v>
      </c>
      <c r="AB175" s="0" t="s">
        <v>49</v>
      </c>
      <c r="AC175" s="0" t="s">
        <v>53</v>
      </c>
      <c r="AD175" s="0" t="s">
        <v>54</v>
      </c>
      <c r="AE175" s="0" t="s">
        <v>1203</v>
      </c>
      <c r="AF175" s="0" t="s">
        <v>1204</v>
      </c>
      <c r="AG175" s="0" t="s">
        <v>1205</v>
      </c>
      <c r="AH175" s="0" t="s">
        <v>49</v>
      </c>
      <c r="AI175" s="0" t="s">
        <v>49</v>
      </c>
      <c r="AJ175" s="0" t="s">
        <v>49</v>
      </c>
      <c r="AK175" s="0" t="s">
        <v>49</v>
      </c>
      <c r="AL175" s="0" t="s">
        <v>49</v>
      </c>
    </row>
    <row r="176" customFormat="false" ht="15" hidden="false" customHeight="false" outlineLevel="0" collapsed="false">
      <c r="B176" s="0" t="str">
        <f aca="false">HYPERLINK("https://genome.ucsc.edu/cgi-bin/hgTracks?db=hg19&amp;position=chr17%3A27047310%2D27047310", "chr17:27047310")</f>
        <v>chr17:27047310</v>
      </c>
      <c r="C176" s="0" t="s">
        <v>59</v>
      </c>
      <c r="D176" s="0" t="n">
        <v>27047310</v>
      </c>
      <c r="E176" s="0" t="n">
        <v>27047310</v>
      </c>
      <c r="F176" s="0" t="s">
        <v>61</v>
      </c>
      <c r="G176" s="0" t="s">
        <v>60</v>
      </c>
      <c r="H176" s="0" t="s">
        <v>1206</v>
      </c>
      <c r="I176" s="0" t="s">
        <v>1207</v>
      </c>
      <c r="J176" s="0" t="s">
        <v>1208</v>
      </c>
      <c r="K176" s="0" t="s">
        <v>49</v>
      </c>
      <c r="L176" s="0" t="str">
        <f aca="false">HYPERLINK("https://www.ncbi.nlm.nih.gov/snp/rs748923717", "rs748923717")</f>
        <v>rs748923717</v>
      </c>
      <c r="M176" s="0" t="str">
        <f aca="false">HYPERLINK("https://www.genecards.org/Search/Keyword?queryString=%5Baliases%5D(%20RPL23A%20)&amp;keywords=RPL23A", "RPL23A")</f>
        <v>RPL23A</v>
      </c>
      <c r="N176" s="0" t="s">
        <v>549</v>
      </c>
      <c r="O176" s="0" t="s">
        <v>437</v>
      </c>
      <c r="P176" s="0" t="s">
        <v>1209</v>
      </c>
      <c r="Q176" s="0" t="n">
        <v>6.49E-005</v>
      </c>
      <c r="R176" s="0" t="n">
        <v>-1</v>
      </c>
      <c r="S176" s="0" t="n">
        <v>7.354E-005</v>
      </c>
      <c r="T176" s="0" t="n">
        <v>-1</v>
      </c>
      <c r="U176" s="0" t="n">
        <v>-1</v>
      </c>
      <c r="V176" s="0" t="s">
        <v>1210</v>
      </c>
      <c r="W176" s="0" t="s">
        <v>49</v>
      </c>
      <c r="X176" s="0" t="s">
        <v>49</v>
      </c>
      <c r="Y176" s="0" t="s">
        <v>49</v>
      </c>
      <c r="Z176" s="0" t="s">
        <v>151</v>
      </c>
      <c r="AA176" s="0" t="s">
        <v>49</v>
      </c>
      <c r="AB176" s="0" t="s">
        <v>49</v>
      </c>
      <c r="AC176" s="0" t="s">
        <v>53</v>
      </c>
      <c r="AD176" s="0" t="s">
        <v>54</v>
      </c>
      <c r="AE176" s="0" t="s">
        <v>1211</v>
      </c>
      <c r="AF176" s="0" t="s">
        <v>1212</v>
      </c>
      <c r="AG176" s="0" t="s">
        <v>1213</v>
      </c>
      <c r="AH176" s="0" t="s">
        <v>49</v>
      </c>
      <c r="AI176" s="0" t="s">
        <v>49</v>
      </c>
      <c r="AJ176" s="0" t="s">
        <v>49</v>
      </c>
      <c r="AK176" s="0" t="s">
        <v>49</v>
      </c>
      <c r="AL176" s="0" t="s">
        <v>49</v>
      </c>
    </row>
    <row r="177" customFormat="false" ht="15" hidden="false" customHeight="false" outlineLevel="0" collapsed="false">
      <c r="B177" s="0" t="str">
        <f aca="false">HYPERLINK("https://genome.ucsc.edu/cgi-bin/hgTracks?db=hg19&amp;position=chr17%3A36628023%2D36628023", "chr17:36628023")</f>
        <v>chr17:36628023</v>
      </c>
      <c r="C177" s="0" t="s">
        <v>59</v>
      </c>
      <c r="D177" s="0" t="n">
        <v>36628023</v>
      </c>
      <c r="E177" s="0" t="n">
        <v>36628023</v>
      </c>
      <c r="F177" s="0" t="s">
        <v>60</v>
      </c>
      <c r="G177" s="0" t="s">
        <v>61</v>
      </c>
      <c r="H177" s="0" t="s">
        <v>1214</v>
      </c>
      <c r="I177" s="0" t="s">
        <v>1215</v>
      </c>
      <c r="J177" s="0" t="s">
        <v>1216</v>
      </c>
      <c r="K177" s="0" t="s">
        <v>49</v>
      </c>
      <c r="L177" s="0" t="s">
        <v>49</v>
      </c>
      <c r="M177" s="0" t="str">
        <f aca="false">HYPERLINK("https://www.genecards.org/Search/Keyword?queryString=%5Baliases%5D(%20ARHGAP23%20)&amp;keywords=ARHGAP23", "ARHGAP23")</f>
        <v>ARHGAP23</v>
      </c>
      <c r="N177" s="0" t="s">
        <v>510</v>
      </c>
      <c r="O177" s="0" t="s">
        <v>49</v>
      </c>
      <c r="P177" s="0" t="s">
        <v>49</v>
      </c>
      <c r="Q177" s="0" t="n">
        <v>0.0002</v>
      </c>
      <c r="R177" s="0" t="n">
        <v>0.0002</v>
      </c>
      <c r="S177" s="0" t="n">
        <v>0.0003</v>
      </c>
      <c r="T177" s="0" t="n">
        <v>-1</v>
      </c>
      <c r="U177" s="0" t="n">
        <v>0.0004</v>
      </c>
      <c r="V177" s="0" t="s">
        <v>49</v>
      </c>
      <c r="W177" s="0" t="s">
        <v>49</v>
      </c>
      <c r="X177" s="0" t="s">
        <v>333</v>
      </c>
      <c r="Y177" s="0" t="s">
        <v>219</v>
      </c>
      <c r="Z177" s="0" t="s">
        <v>49</v>
      </c>
      <c r="AA177" s="0" t="s">
        <v>49</v>
      </c>
      <c r="AB177" s="0" t="s">
        <v>49</v>
      </c>
      <c r="AC177" s="0" t="s">
        <v>53</v>
      </c>
      <c r="AD177" s="0" t="s">
        <v>54</v>
      </c>
      <c r="AE177" s="0" t="s">
        <v>49</v>
      </c>
      <c r="AF177" s="0" t="s">
        <v>1217</v>
      </c>
      <c r="AG177" s="0" t="s">
        <v>1218</v>
      </c>
      <c r="AH177" s="0" t="s">
        <v>49</v>
      </c>
      <c r="AI177" s="0" t="s">
        <v>49</v>
      </c>
      <c r="AJ177" s="0" t="s">
        <v>49</v>
      </c>
      <c r="AK177" s="0" t="s">
        <v>49</v>
      </c>
      <c r="AL177" s="0" t="s">
        <v>49</v>
      </c>
    </row>
    <row r="178" customFormat="false" ht="15" hidden="false" customHeight="false" outlineLevel="0" collapsed="false">
      <c r="B178" s="0" t="str">
        <f aca="false">HYPERLINK("https://genome.ucsc.edu/cgi-bin/hgTracks?db=hg19&amp;position=chr17%3A37187859%2D37187859", "chr17:37187859")</f>
        <v>chr17:37187859</v>
      </c>
      <c r="C178" s="0" t="s">
        <v>59</v>
      </c>
      <c r="D178" s="0" t="n">
        <v>37187859</v>
      </c>
      <c r="E178" s="0" t="n">
        <v>37187859</v>
      </c>
      <c r="F178" s="0" t="s">
        <v>61</v>
      </c>
      <c r="G178" s="0" t="s">
        <v>39</v>
      </c>
      <c r="H178" s="0" t="s">
        <v>1219</v>
      </c>
      <c r="I178" s="0" t="s">
        <v>1220</v>
      </c>
      <c r="J178" s="0" t="s">
        <v>1221</v>
      </c>
      <c r="K178" s="0" t="s">
        <v>49</v>
      </c>
      <c r="L178" s="0" t="str">
        <f aca="false">HYPERLINK("https://www.ncbi.nlm.nih.gov/snp/rs532276142", "rs532276142")</f>
        <v>rs532276142</v>
      </c>
      <c r="M178" s="0" t="str">
        <f aca="false">HYPERLINK("https://www.genecards.org/Search/Keyword?queryString=%5Baliases%5D(%20LRRC37A11P%20)&amp;keywords=LRRC37A11P", "LRRC37A11P")</f>
        <v>LRRC37A11P</v>
      </c>
      <c r="N178" s="0" t="s">
        <v>1222</v>
      </c>
      <c r="O178" s="0" t="s">
        <v>49</v>
      </c>
      <c r="P178" s="0" t="s">
        <v>1223</v>
      </c>
      <c r="Q178" s="0" t="n">
        <v>0.0034</v>
      </c>
      <c r="R178" s="0" t="n">
        <v>0.0005</v>
      </c>
      <c r="S178" s="0" t="n">
        <v>0.0004</v>
      </c>
      <c r="T178" s="0" t="n">
        <v>-1</v>
      </c>
      <c r="U178" s="0" t="n">
        <v>0.0004</v>
      </c>
      <c r="V178" s="0" t="s">
        <v>49</v>
      </c>
      <c r="W178" s="0" t="s">
        <v>49</v>
      </c>
      <c r="X178" s="0" t="s">
        <v>49</v>
      </c>
      <c r="Y178" s="0" t="s">
        <v>49</v>
      </c>
      <c r="Z178" s="0" t="s">
        <v>49</v>
      </c>
      <c r="AA178" s="0" t="s">
        <v>49</v>
      </c>
      <c r="AB178" s="0" t="s">
        <v>49</v>
      </c>
      <c r="AC178" s="0" t="s">
        <v>53</v>
      </c>
      <c r="AD178" s="0" t="s">
        <v>54</v>
      </c>
      <c r="AE178" s="0" t="s">
        <v>49</v>
      </c>
      <c r="AF178" s="0" t="s">
        <v>1224</v>
      </c>
      <c r="AG178" s="0" t="s">
        <v>49</v>
      </c>
      <c r="AH178" s="0" t="s">
        <v>49</v>
      </c>
      <c r="AI178" s="0" t="s">
        <v>49</v>
      </c>
      <c r="AJ178" s="0" t="s">
        <v>49</v>
      </c>
      <c r="AK178" s="0" t="s">
        <v>49</v>
      </c>
      <c r="AL178" s="0" t="s">
        <v>49</v>
      </c>
    </row>
    <row r="179" customFormat="false" ht="15" hidden="false" customHeight="false" outlineLevel="0" collapsed="false">
      <c r="B179" s="0" t="str">
        <f aca="false">HYPERLINK("https://genome.ucsc.edu/cgi-bin/hgTracks?db=hg19&amp;position=chr17%3A40465858%2D40465858", "chr17:40465858")</f>
        <v>chr17:40465858</v>
      </c>
      <c r="C179" s="0" t="s">
        <v>59</v>
      </c>
      <c r="D179" s="0" t="n">
        <v>40465858</v>
      </c>
      <c r="E179" s="0" t="n">
        <v>40465858</v>
      </c>
      <c r="F179" s="0" t="s">
        <v>61</v>
      </c>
      <c r="G179" s="0" t="s">
        <v>60</v>
      </c>
      <c r="H179" s="0" t="s">
        <v>1225</v>
      </c>
      <c r="I179" s="0" t="s">
        <v>272</v>
      </c>
      <c r="J179" s="0" t="s">
        <v>1041</v>
      </c>
      <c r="K179" s="0" t="s">
        <v>49</v>
      </c>
      <c r="L179" s="0" t="s">
        <v>49</v>
      </c>
      <c r="M179" s="0" t="str">
        <f aca="false">HYPERLINK("https://www.genecards.org/Search/Keyword?queryString=%5Baliases%5D(%20AK024535%20)%20OR%20%5Baliases%5D(%20STAT3%20)&amp;keywords=AK024535,STAT3", "AK024535;STAT3")</f>
        <v>AK024535;STAT3</v>
      </c>
      <c r="N179" s="0" t="s">
        <v>240</v>
      </c>
      <c r="O179" s="0" t="s">
        <v>49</v>
      </c>
      <c r="P179" s="0" t="s">
        <v>1226</v>
      </c>
      <c r="Q179" s="0" t="n">
        <v>-1</v>
      </c>
      <c r="R179" s="0" t="n">
        <v>-1</v>
      </c>
      <c r="S179" s="0" t="n">
        <v>-1</v>
      </c>
      <c r="T179" s="0" t="n">
        <v>-1</v>
      </c>
      <c r="U179" s="0" t="n">
        <v>-1</v>
      </c>
      <c r="V179" s="0" t="s">
        <v>49</v>
      </c>
      <c r="W179" s="0" t="s">
        <v>49</v>
      </c>
      <c r="X179" s="0" t="s">
        <v>49</v>
      </c>
      <c r="Y179" s="0" t="s">
        <v>49</v>
      </c>
      <c r="Z179" s="0" t="s">
        <v>49</v>
      </c>
      <c r="AA179" s="0" t="s">
        <v>49</v>
      </c>
      <c r="AB179" s="0" t="s">
        <v>49</v>
      </c>
      <c r="AC179" s="0" t="s">
        <v>53</v>
      </c>
      <c r="AD179" s="0" t="s">
        <v>220</v>
      </c>
      <c r="AE179" s="0" t="s">
        <v>1227</v>
      </c>
      <c r="AF179" s="0" t="s">
        <v>1228</v>
      </c>
      <c r="AG179" s="0" t="s">
        <v>1229</v>
      </c>
      <c r="AH179" s="0" t="s">
        <v>1230</v>
      </c>
      <c r="AI179" s="0" t="s">
        <v>49</v>
      </c>
      <c r="AJ179" s="0" t="s">
        <v>49</v>
      </c>
      <c r="AK179" s="0" t="s">
        <v>49</v>
      </c>
      <c r="AL179" s="0" t="s">
        <v>49</v>
      </c>
    </row>
    <row r="180" customFormat="false" ht="15" hidden="false" customHeight="false" outlineLevel="0" collapsed="false">
      <c r="B180" s="0" t="str">
        <f aca="false">HYPERLINK("https://genome.ucsc.edu/cgi-bin/hgTracks?db=hg19&amp;position=chr17%3A45286670%2D45286670", "chr17:45286670")</f>
        <v>chr17:45286670</v>
      </c>
      <c r="C180" s="0" t="s">
        <v>59</v>
      </c>
      <c r="D180" s="0" t="n">
        <v>45286670</v>
      </c>
      <c r="E180" s="0" t="n">
        <v>45286670</v>
      </c>
      <c r="F180" s="0" t="s">
        <v>60</v>
      </c>
      <c r="G180" s="0" t="s">
        <v>61</v>
      </c>
      <c r="H180" s="0" t="s">
        <v>1231</v>
      </c>
      <c r="I180" s="0" t="s">
        <v>1232</v>
      </c>
      <c r="J180" s="0" t="s">
        <v>1233</v>
      </c>
      <c r="K180" s="0" t="s">
        <v>49</v>
      </c>
      <c r="L180" s="0" t="str">
        <f aca="false">HYPERLINK("https://www.ncbi.nlm.nih.gov/snp/rs182025742", "rs182025742")</f>
        <v>rs182025742</v>
      </c>
      <c r="M180" s="0" t="str">
        <f aca="false">HYPERLINK("https://www.genecards.org/Search/Keyword?queryString=%5Baliases%5D(%20MYL4%20)&amp;keywords=MYL4", "MYL4")</f>
        <v>MYL4</v>
      </c>
      <c r="N180" s="0" t="s">
        <v>510</v>
      </c>
      <c r="O180" s="0" t="s">
        <v>49</v>
      </c>
      <c r="P180" s="0" t="s">
        <v>49</v>
      </c>
      <c r="Q180" s="0" t="n">
        <v>0.0072</v>
      </c>
      <c r="R180" s="0" t="n">
        <v>0.001</v>
      </c>
      <c r="S180" s="0" t="n">
        <v>0.0008</v>
      </c>
      <c r="T180" s="0" t="n">
        <v>-1</v>
      </c>
      <c r="U180" s="0" t="n">
        <v>0.0018</v>
      </c>
      <c r="V180" s="0" t="s">
        <v>49</v>
      </c>
      <c r="W180" s="0" t="s">
        <v>49</v>
      </c>
      <c r="X180" s="0" t="s">
        <v>333</v>
      </c>
      <c r="Y180" s="0" t="s">
        <v>219</v>
      </c>
      <c r="Z180" s="0" t="s">
        <v>49</v>
      </c>
      <c r="AA180" s="0" t="s">
        <v>49</v>
      </c>
      <c r="AB180" s="0" t="s">
        <v>49</v>
      </c>
      <c r="AC180" s="0" t="s">
        <v>53</v>
      </c>
      <c r="AD180" s="0" t="s">
        <v>54</v>
      </c>
      <c r="AE180" s="0" t="s">
        <v>1234</v>
      </c>
      <c r="AF180" s="0" t="s">
        <v>1235</v>
      </c>
      <c r="AG180" s="0" t="s">
        <v>1236</v>
      </c>
      <c r="AH180" s="0" t="s">
        <v>49</v>
      </c>
      <c r="AI180" s="0" t="s">
        <v>49</v>
      </c>
      <c r="AJ180" s="0" t="s">
        <v>49</v>
      </c>
      <c r="AK180" s="0" t="s">
        <v>49</v>
      </c>
      <c r="AL180" s="0" t="s">
        <v>49</v>
      </c>
    </row>
    <row r="181" customFormat="false" ht="15" hidden="false" customHeight="false" outlineLevel="0" collapsed="false">
      <c r="B181" s="0" t="str">
        <f aca="false">HYPERLINK("https://genome.ucsc.edu/cgi-bin/hgTracks?db=hg19&amp;position=chr17%3A61565728%2D61565728", "chr17:61565728")</f>
        <v>chr17:61565728</v>
      </c>
      <c r="C181" s="0" t="s">
        <v>59</v>
      </c>
      <c r="D181" s="0" t="n">
        <v>61565728</v>
      </c>
      <c r="E181" s="0" t="n">
        <v>61565728</v>
      </c>
      <c r="F181" s="0" t="s">
        <v>61</v>
      </c>
      <c r="G181" s="0" t="s">
        <v>60</v>
      </c>
      <c r="H181" s="0" t="s">
        <v>1237</v>
      </c>
      <c r="I181" s="0" t="s">
        <v>673</v>
      </c>
      <c r="J181" s="0" t="s">
        <v>1238</v>
      </c>
      <c r="K181" s="0" t="s">
        <v>49</v>
      </c>
      <c r="L181" s="0" t="s">
        <v>49</v>
      </c>
      <c r="M181" s="0" t="str">
        <f aca="false">HYPERLINK("https://www.genecards.org/Search/Keyword?queryString=%5Baliases%5D(%20ACE%20)&amp;keywords=ACE", "ACE")</f>
        <v>ACE</v>
      </c>
      <c r="N181" s="0" t="s">
        <v>510</v>
      </c>
      <c r="O181" s="0" t="s">
        <v>49</v>
      </c>
      <c r="P181" s="0" t="s">
        <v>49</v>
      </c>
      <c r="Q181" s="0" t="n">
        <v>0.0042</v>
      </c>
      <c r="R181" s="0" t="n">
        <v>0.0029</v>
      </c>
      <c r="S181" s="0" t="n">
        <v>0.0032</v>
      </c>
      <c r="T181" s="0" t="n">
        <v>-1</v>
      </c>
      <c r="U181" s="0" t="n">
        <v>0.0036</v>
      </c>
      <c r="V181" s="0" t="s">
        <v>49</v>
      </c>
      <c r="W181" s="0" t="s">
        <v>49</v>
      </c>
      <c r="X181" s="0" t="s">
        <v>333</v>
      </c>
      <c r="Y181" s="0" t="s">
        <v>219</v>
      </c>
      <c r="Z181" s="0" t="s">
        <v>49</v>
      </c>
      <c r="AA181" s="0" t="s">
        <v>49</v>
      </c>
      <c r="AB181" s="0" t="s">
        <v>49</v>
      </c>
      <c r="AC181" s="0" t="s">
        <v>53</v>
      </c>
      <c r="AD181" s="0" t="s">
        <v>54</v>
      </c>
      <c r="AE181" s="0" t="s">
        <v>1239</v>
      </c>
      <c r="AF181" s="0" t="s">
        <v>1240</v>
      </c>
      <c r="AG181" s="0" t="s">
        <v>1241</v>
      </c>
      <c r="AH181" s="0" t="s">
        <v>1242</v>
      </c>
      <c r="AI181" s="0" t="s">
        <v>49</v>
      </c>
      <c r="AJ181" s="0" t="s">
        <v>49</v>
      </c>
      <c r="AK181" s="0" t="s">
        <v>49</v>
      </c>
      <c r="AL181" s="0" t="s">
        <v>49</v>
      </c>
    </row>
    <row r="182" customFormat="false" ht="15" hidden="false" customHeight="false" outlineLevel="0" collapsed="false">
      <c r="B182" s="0" t="str">
        <f aca="false">HYPERLINK("https://genome.ucsc.edu/cgi-bin/hgTracks?db=hg19&amp;position=chr17%3A63156785%2D63156785", "chr17:63156785")</f>
        <v>chr17:63156785</v>
      </c>
      <c r="C182" s="0" t="s">
        <v>59</v>
      </c>
      <c r="D182" s="0" t="n">
        <v>63156785</v>
      </c>
      <c r="E182" s="0" t="n">
        <v>63156785</v>
      </c>
      <c r="F182" s="0" t="s">
        <v>60</v>
      </c>
      <c r="G182" s="0" t="s">
        <v>61</v>
      </c>
      <c r="H182" s="0" t="s">
        <v>1243</v>
      </c>
      <c r="I182" s="0" t="s">
        <v>737</v>
      </c>
      <c r="J182" s="0" t="s">
        <v>1244</v>
      </c>
      <c r="K182" s="0" t="s">
        <v>49</v>
      </c>
      <c r="L182" s="0" t="str">
        <f aca="false">HYPERLINK("https://www.ncbi.nlm.nih.gov/snp/rs149332039", "rs149332039")</f>
        <v>rs149332039</v>
      </c>
      <c r="M182" s="0" t="str">
        <f aca="false">HYPERLINK("https://www.genecards.org/Search/Keyword?queryString=%5Baliases%5D(%20RGS9%20)&amp;keywords=RGS9", "RGS9")</f>
        <v>RGS9</v>
      </c>
      <c r="N182" s="0" t="s">
        <v>510</v>
      </c>
      <c r="O182" s="0" t="s">
        <v>49</v>
      </c>
      <c r="P182" s="0" t="s">
        <v>49</v>
      </c>
      <c r="Q182" s="0" t="n">
        <v>0.0187544</v>
      </c>
      <c r="R182" s="0" t="n">
        <v>0.017</v>
      </c>
      <c r="S182" s="0" t="n">
        <v>0.0167</v>
      </c>
      <c r="T182" s="0" t="n">
        <v>-1</v>
      </c>
      <c r="U182" s="0" t="n">
        <v>0.0174</v>
      </c>
      <c r="V182" s="0" t="s">
        <v>49</v>
      </c>
      <c r="W182" s="0" t="s">
        <v>49</v>
      </c>
      <c r="X182" s="0" t="s">
        <v>517</v>
      </c>
      <c r="Y182" s="0" t="s">
        <v>219</v>
      </c>
      <c r="Z182" s="0" t="s">
        <v>49</v>
      </c>
      <c r="AA182" s="0" t="s">
        <v>49</v>
      </c>
      <c r="AB182" s="0" t="s">
        <v>49</v>
      </c>
      <c r="AC182" s="0" t="s">
        <v>53</v>
      </c>
      <c r="AD182" s="0" t="s">
        <v>54</v>
      </c>
      <c r="AE182" s="0" t="s">
        <v>1245</v>
      </c>
      <c r="AF182" s="0" t="s">
        <v>1246</v>
      </c>
      <c r="AG182" s="0" t="s">
        <v>1247</v>
      </c>
      <c r="AH182" s="0" t="s">
        <v>1248</v>
      </c>
      <c r="AI182" s="0" t="s">
        <v>49</v>
      </c>
      <c r="AJ182" s="0" t="s">
        <v>49</v>
      </c>
      <c r="AK182" s="0" t="s">
        <v>49</v>
      </c>
      <c r="AL182" s="0" t="s">
        <v>49</v>
      </c>
    </row>
    <row r="183" customFormat="false" ht="15" hidden="false" customHeight="false" outlineLevel="0" collapsed="false">
      <c r="B183" s="0" t="str">
        <f aca="false">HYPERLINK("https://genome.ucsc.edu/cgi-bin/hgTracks?db=hg19&amp;position=chr17%3A66881204%2D66881204", "chr17:66881204")</f>
        <v>chr17:66881204</v>
      </c>
      <c r="C183" s="0" t="s">
        <v>59</v>
      </c>
      <c r="D183" s="0" t="n">
        <v>66881204</v>
      </c>
      <c r="E183" s="0" t="n">
        <v>66881204</v>
      </c>
      <c r="F183" s="0" t="s">
        <v>40</v>
      </c>
      <c r="G183" s="0" t="s">
        <v>39</v>
      </c>
      <c r="H183" s="0" t="s">
        <v>1249</v>
      </c>
      <c r="I183" s="0" t="s">
        <v>599</v>
      </c>
      <c r="J183" s="0" t="s">
        <v>1250</v>
      </c>
      <c r="K183" s="0" t="s">
        <v>49</v>
      </c>
      <c r="L183" s="0" t="str">
        <f aca="false">HYPERLINK("https://www.ncbi.nlm.nih.gov/snp/rs577694424", "rs577694424")</f>
        <v>rs577694424</v>
      </c>
      <c r="M183" s="0" t="str">
        <f aca="false">HYPERLINK("https://www.genecards.org/Search/Keyword?queryString=%5Baliases%5D(%20ABCA8%20)&amp;keywords=ABCA8", "ABCA8")</f>
        <v>ABCA8</v>
      </c>
      <c r="N183" s="0" t="s">
        <v>510</v>
      </c>
      <c r="O183" s="0" t="s">
        <v>49</v>
      </c>
      <c r="P183" s="0" t="s">
        <v>49</v>
      </c>
      <c r="Q183" s="0" t="n">
        <v>0.0034</v>
      </c>
      <c r="R183" s="0" t="n">
        <v>0.002</v>
      </c>
      <c r="S183" s="0" t="n">
        <v>0.0023</v>
      </c>
      <c r="T183" s="0" t="n">
        <v>-1</v>
      </c>
      <c r="U183" s="0" t="n">
        <v>0.0014</v>
      </c>
      <c r="V183" s="0" t="s">
        <v>49</v>
      </c>
      <c r="W183" s="0" t="s">
        <v>49</v>
      </c>
      <c r="X183" s="0" t="s">
        <v>333</v>
      </c>
      <c r="Y183" s="0" t="s">
        <v>219</v>
      </c>
      <c r="Z183" s="0" t="s">
        <v>49</v>
      </c>
      <c r="AA183" s="0" t="s">
        <v>49</v>
      </c>
      <c r="AB183" s="0" t="s">
        <v>49</v>
      </c>
      <c r="AC183" s="0" t="s">
        <v>53</v>
      </c>
      <c r="AD183" s="0" t="s">
        <v>54</v>
      </c>
      <c r="AE183" s="0" t="s">
        <v>1251</v>
      </c>
      <c r="AF183" s="0" t="s">
        <v>1252</v>
      </c>
      <c r="AG183" s="0" t="s">
        <v>1253</v>
      </c>
      <c r="AH183" s="0" t="s">
        <v>49</v>
      </c>
      <c r="AI183" s="0" t="s">
        <v>49</v>
      </c>
      <c r="AJ183" s="0" t="s">
        <v>49</v>
      </c>
      <c r="AK183" s="0" t="s">
        <v>49</v>
      </c>
      <c r="AL183" s="0" t="s">
        <v>49</v>
      </c>
    </row>
    <row r="184" customFormat="false" ht="15" hidden="false" customHeight="false" outlineLevel="0" collapsed="false">
      <c r="B184" s="0" t="str">
        <f aca="false">HYPERLINK("https://genome.ucsc.edu/cgi-bin/hgTracks?db=hg19&amp;position=chr17%3A76219856%2D76219857", "chr17:76219856")</f>
        <v>chr17:76219856</v>
      </c>
      <c r="C184" s="0" t="s">
        <v>59</v>
      </c>
      <c r="D184" s="0" t="n">
        <v>76219856</v>
      </c>
      <c r="E184" s="0" t="n">
        <v>76219857</v>
      </c>
      <c r="F184" s="0" t="s">
        <v>925</v>
      </c>
      <c r="G184" s="0" t="s">
        <v>190</v>
      </c>
      <c r="H184" s="0" t="s">
        <v>1254</v>
      </c>
      <c r="I184" s="0" t="s">
        <v>673</v>
      </c>
      <c r="J184" s="0" t="s">
        <v>1255</v>
      </c>
      <c r="K184" s="0" t="s">
        <v>49</v>
      </c>
      <c r="L184" s="0" t="str">
        <f aca="false">HYPERLINK("https://www.ncbi.nlm.nih.gov/snp/rs777250034", "rs777250034")</f>
        <v>rs777250034</v>
      </c>
      <c r="M184" s="0" t="str">
        <f aca="false">HYPERLINK("https://www.genecards.org/Search/Keyword?queryString=%5Baliases%5D(%20BIRC5%20)&amp;keywords=BIRC5", "BIRC5")</f>
        <v>BIRC5</v>
      </c>
      <c r="N184" s="0" t="s">
        <v>1256</v>
      </c>
      <c r="O184" s="0" t="s">
        <v>539</v>
      </c>
      <c r="P184" s="0" t="s">
        <v>1257</v>
      </c>
      <c r="Q184" s="0" t="n">
        <v>0.007071</v>
      </c>
      <c r="R184" s="0" t="n">
        <v>0.0029</v>
      </c>
      <c r="S184" s="0" t="n">
        <v>0.0039</v>
      </c>
      <c r="T184" s="0" t="n">
        <v>-1</v>
      </c>
      <c r="U184" s="0" t="n">
        <v>0.004</v>
      </c>
      <c r="V184" s="0" t="s">
        <v>49</v>
      </c>
      <c r="W184" s="0" t="s">
        <v>49</v>
      </c>
      <c r="X184" s="0" t="s">
        <v>49</v>
      </c>
      <c r="Y184" s="0" t="s">
        <v>49</v>
      </c>
      <c r="Z184" s="0" t="s">
        <v>49</v>
      </c>
      <c r="AA184" s="0" t="s">
        <v>49</v>
      </c>
      <c r="AB184" s="0" t="s">
        <v>49</v>
      </c>
      <c r="AC184" s="0" t="s">
        <v>53</v>
      </c>
      <c r="AD184" s="0" t="s">
        <v>54</v>
      </c>
      <c r="AE184" s="0" t="s">
        <v>1258</v>
      </c>
      <c r="AF184" s="0" t="s">
        <v>1259</v>
      </c>
      <c r="AG184" s="0" t="s">
        <v>1260</v>
      </c>
      <c r="AH184" s="0" t="s">
        <v>49</v>
      </c>
      <c r="AI184" s="0" t="s">
        <v>49</v>
      </c>
      <c r="AJ184" s="0" t="s">
        <v>49</v>
      </c>
      <c r="AK184" s="0" t="s">
        <v>49</v>
      </c>
      <c r="AL184" s="0" t="s">
        <v>49</v>
      </c>
    </row>
    <row r="185" customFormat="false" ht="15" hidden="false" customHeight="false" outlineLevel="0" collapsed="false">
      <c r="B185" s="0" t="str">
        <f aca="false">HYPERLINK("https://genome.ucsc.edu/cgi-bin/hgTracks?db=hg19&amp;position=chr17%3A80209608%2D80209608", "chr17:80209608")</f>
        <v>chr17:80209608</v>
      </c>
      <c r="C185" s="0" t="s">
        <v>59</v>
      </c>
      <c r="D185" s="0" t="n">
        <v>80209608</v>
      </c>
      <c r="E185" s="0" t="n">
        <v>80209608</v>
      </c>
      <c r="F185" s="0" t="s">
        <v>40</v>
      </c>
      <c r="G185" s="0" t="s">
        <v>39</v>
      </c>
      <c r="H185" s="0" t="s">
        <v>1261</v>
      </c>
      <c r="I185" s="0" t="s">
        <v>314</v>
      </c>
      <c r="J185" s="0" t="s">
        <v>757</v>
      </c>
      <c r="K185" s="0" t="s">
        <v>49</v>
      </c>
      <c r="L185" s="0" t="str">
        <f aca="false">HYPERLINK("https://www.ncbi.nlm.nih.gov/snp/rs979798862", "rs979798862")</f>
        <v>rs979798862</v>
      </c>
      <c r="M185" s="0" t="str">
        <f aca="false">HYPERLINK("https://www.genecards.org/Search/Keyword?queryString=%5Baliases%5D(%20CSNK1D%20)&amp;keywords=CSNK1D", "CSNK1D")</f>
        <v>CSNK1D</v>
      </c>
      <c r="N185" s="0" t="s">
        <v>300</v>
      </c>
      <c r="O185" s="0" t="s">
        <v>49</v>
      </c>
      <c r="P185" s="0" t="s">
        <v>49</v>
      </c>
      <c r="Q185" s="0" t="n">
        <v>0.0001</v>
      </c>
      <c r="R185" s="0" t="n">
        <v>9.076E-005</v>
      </c>
      <c r="S185" s="0" t="n">
        <v>0.0001</v>
      </c>
      <c r="T185" s="0" t="n">
        <v>-1</v>
      </c>
      <c r="U185" s="0" t="n">
        <v>0.0002</v>
      </c>
      <c r="V185" s="0" t="s">
        <v>49</v>
      </c>
      <c r="W185" s="0" t="s">
        <v>49</v>
      </c>
      <c r="X185" s="0" t="s">
        <v>49</v>
      </c>
      <c r="Y185" s="0" t="s">
        <v>49</v>
      </c>
      <c r="Z185" s="0" t="s">
        <v>49</v>
      </c>
      <c r="AA185" s="0" t="s">
        <v>49</v>
      </c>
      <c r="AB185" s="0" t="s">
        <v>49</v>
      </c>
      <c r="AC185" s="0" t="s">
        <v>53</v>
      </c>
      <c r="AD185" s="0" t="s">
        <v>54</v>
      </c>
      <c r="AE185" s="0" t="s">
        <v>1262</v>
      </c>
      <c r="AF185" s="0" t="s">
        <v>1263</v>
      </c>
      <c r="AG185" s="0" t="s">
        <v>1264</v>
      </c>
      <c r="AH185" s="0" t="s">
        <v>1265</v>
      </c>
      <c r="AI185" s="0" t="s">
        <v>49</v>
      </c>
      <c r="AJ185" s="0" t="s">
        <v>49</v>
      </c>
      <c r="AK185" s="0" t="s">
        <v>49</v>
      </c>
      <c r="AL185" s="0" t="s">
        <v>49</v>
      </c>
    </row>
    <row r="186" customFormat="false" ht="15" hidden="false" customHeight="false" outlineLevel="0" collapsed="false">
      <c r="B186" s="0" t="str">
        <f aca="false">HYPERLINK("https://genome.ucsc.edu/cgi-bin/hgTracks?db=hg19&amp;position=chr17%3A80369180%2D80369180", "chr17:80369180")</f>
        <v>chr17:80369180</v>
      </c>
      <c r="C186" s="0" t="s">
        <v>59</v>
      </c>
      <c r="D186" s="0" t="n">
        <v>80369180</v>
      </c>
      <c r="E186" s="0" t="n">
        <v>80369180</v>
      </c>
      <c r="F186" s="0" t="s">
        <v>39</v>
      </c>
      <c r="G186" s="0" t="s">
        <v>40</v>
      </c>
      <c r="H186" s="0" t="s">
        <v>1266</v>
      </c>
      <c r="I186" s="0" t="s">
        <v>556</v>
      </c>
      <c r="J186" s="0" t="s">
        <v>1267</v>
      </c>
      <c r="K186" s="0" t="s">
        <v>49</v>
      </c>
      <c r="L186" s="0" t="str">
        <f aca="false">HYPERLINK("https://www.ncbi.nlm.nih.gov/snp/rs144753909", "rs144753909")</f>
        <v>rs144753909</v>
      </c>
      <c r="M186" s="0" t="str">
        <f aca="false">HYPERLINK("https://www.genecards.org/Search/Keyword?queryString=%5Baliases%5D(%20OGFOD3%20)&amp;keywords=OGFOD3", "OGFOD3")</f>
        <v>OGFOD3</v>
      </c>
      <c r="N186" s="0" t="s">
        <v>510</v>
      </c>
      <c r="O186" s="0" t="s">
        <v>49</v>
      </c>
      <c r="P186" s="0" t="s">
        <v>49</v>
      </c>
      <c r="Q186" s="0" t="n">
        <v>0.0248</v>
      </c>
      <c r="R186" s="0" t="n">
        <v>0.0267</v>
      </c>
      <c r="S186" s="0" t="n">
        <v>0.0237</v>
      </c>
      <c r="T186" s="0" t="n">
        <v>-1</v>
      </c>
      <c r="U186" s="0" t="n">
        <v>0.0272</v>
      </c>
      <c r="V186" s="0" t="s">
        <v>49</v>
      </c>
      <c r="W186" s="0" t="s">
        <v>49</v>
      </c>
      <c r="X186" s="0" t="s">
        <v>517</v>
      </c>
      <c r="Y186" s="0" t="s">
        <v>219</v>
      </c>
      <c r="Z186" s="0" t="s">
        <v>49</v>
      </c>
      <c r="AA186" s="0" t="s">
        <v>49</v>
      </c>
      <c r="AB186" s="0" t="s">
        <v>49</v>
      </c>
      <c r="AC186" s="0" t="s">
        <v>53</v>
      </c>
      <c r="AD186" s="0" t="s">
        <v>54</v>
      </c>
      <c r="AE186" s="0" t="s">
        <v>1268</v>
      </c>
      <c r="AF186" s="0" t="s">
        <v>1269</v>
      </c>
      <c r="AG186" s="0" t="s">
        <v>49</v>
      </c>
      <c r="AH186" s="0" t="s">
        <v>49</v>
      </c>
      <c r="AI186" s="0" t="s">
        <v>49</v>
      </c>
      <c r="AJ186" s="0" t="s">
        <v>49</v>
      </c>
      <c r="AK186" s="0" t="s">
        <v>49</v>
      </c>
      <c r="AL186" s="0" t="s">
        <v>49</v>
      </c>
    </row>
    <row r="187" customFormat="false" ht="15" hidden="false" customHeight="false" outlineLevel="0" collapsed="false">
      <c r="B187" s="0" t="str">
        <f aca="false">HYPERLINK("https://genome.ucsc.edu/cgi-bin/hgTracks?db=hg19&amp;position=chr18%3A2707510%2D2707510", "chr18:2707510")</f>
        <v>chr18:2707510</v>
      </c>
      <c r="C187" s="0" t="s">
        <v>1270</v>
      </c>
      <c r="D187" s="0" t="n">
        <v>2707510</v>
      </c>
      <c r="E187" s="0" t="n">
        <v>2707510</v>
      </c>
      <c r="F187" s="0" t="s">
        <v>60</v>
      </c>
      <c r="G187" s="0" t="s">
        <v>40</v>
      </c>
      <c r="H187" s="0" t="s">
        <v>434</v>
      </c>
      <c r="I187" s="0" t="s">
        <v>973</v>
      </c>
      <c r="J187" s="0" t="s">
        <v>1271</v>
      </c>
      <c r="K187" s="0" t="s">
        <v>49</v>
      </c>
      <c r="L187" s="0" t="str">
        <f aca="false">HYPERLINK("https://www.ncbi.nlm.nih.gov/snp/rs192545061", "rs192545061")</f>
        <v>rs192545061</v>
      </c>
      <c r="M187" s="0" t="str">
        <f aca="false">HYPERLINK("https://www.genecards.org/Search/Keyword?queryString=%5Baliases%5D(%20SMCHD1%20)&amp;keywords=SMCHD1", "SMCHD1")</f>
        <v>SMCHD1</v>
      </c>
      <c r="N187" s="0" t="s">
        <v>283</v>
      </c>
      <c r="O187" s="0" t="s">
        <v>49</v>
      </c>
      <c r="P187" s="0" t="s">
        <v>49</v>
      </c>
      <c r="Q187" s="0" t="n">
        <v>0.0029</v>
      </c>
      <c r="R187" s="0" t="n">
        <v>0.0014</v>
      </c>
      <c r="S187" s="0" t="n">
        <v>0.0018</v>
      </c>
      <c r="T187" s="0" t="n">
        <v>-1</v>
      </c>
      <c r="U187" s="0" t="n">
        <v>0.0041</v>
      </c>
      <c r="V187" s="0" t="s">
        <v>49</v>
      </c>
      <c r="W187" s="0" t="s">
        <v>49</v>
      </c>
      <c r="X187" s="0" t="s">
        <v>218</v>
      </c>
      <c r="Y187" s="0" t="s">
        <v>219</v>
      </c>
      <c r="Z187" s="0" t="s">
        <v>49</v>
      </c>
      <c r="AA187" s="0" t="s">
        <v>49</v>
      </c>
      <c r="AB187" s="0" t="s">
        <v>49</v>
      </c>
      <c r="AC187" s="0" t="s">
        <v>53</v>
      </c>
      <c r="AD187" s="0" t="s">
        <v>54</v>
      </c>
      <c r="AE187" s="0" t="s">
        <v>1272</v>
      </c>
      <c r="AF187" s="0" t="s">
        <v>1273</v>
      </c>
      <c r="AG187" s="0" t="s">
        <v>1274</v>
      </c>
      <c r="AH187" s="0" t="s">
        <v>1275</v>
      </c>
      <c r="AI187" s="0" t="s">
        <v>49</v>
      </c>
      <c r="AJ187" s="0" t="s">
        <v>49</v>
      </c>
      <c r="AK187" s="0" t="s">
        <v>49</v>
      </c>
      <c r="AL187" s="0" t="s">
        <v>49</v>
      </c>
    </row>
    <row r="188" s="2" customFormat="true" ht="15" hidden="false" customHeight="false" outlineLevel="0" collapsed="false">
      <c r="B188" s="2" t="str">
        <f aca="false">HYPERLINK("https://genome.ucsc.edu/cgi-bin/hgTracks?db=hg19&amp;position=chr18%3A2951449%2D2951449", "chr18:2951449")</f>
        <v>chr18:2951449</v>
      </c>
      <c r="C188" s="2" t="s">
        <v>1270</v>
      </c>
      <c r="D188" s="2" t="n">
        <v>2951449</v>
      </c>
      <c r="E188" s="2" t="n">
        <v>2951449</v>
      </c>
      <c r="F188" s="2" t="s">
        <v>61</v>
      </c>
      <c r="G188" s="2" t="s">
        <v>190</v>
      </c>
      <c r="H188" s="2" t="s">
        <v>1276</v>
      </c>
      <c r="I188" s="2" t="s">
        <v>1277</v>
      </c>
      <c r="J188" s="2" t="s">
        <v>1278</v>
      </c>
      <c r="K188" s="2" t="s">
        <v>49</v>
      </c>
      <c r="L188" s="2" t="s">
        <v>49</v>
      </c>
      <c r="M188" s="2" t="str">
        <f aca="false">HYPERLINK("https://www.genecards.org/Search/Keyword?queryString=%5Baliases%5D(%20LPIN2%20)&amp;keywords=LPIN2", "LPIN2")</f>
        <v>LPIN2</v>
      </c>
      <c r="N188" s="2" t="s">
        <v>283</v>
      </c>
      <c r="O188" s="2" t="s">
        <v>49</v>
      </c>
      <c r="P188" s="2" t="s">
        <v>49</v>
      </c>
      <c r="Q188" s="2" t="n">
        <v>-1</v>
      </c>
      <c r="R188" s="2" t="n">
        <v>-1</v>
      </c>
      <c r="S188" s="2" t="n">
        <v>-1</v>
      </c>
      <c r="T188" s="2" t="n">
        <v>-1</v>
      </c>
      <c r="U188" s="2" t="n">
        <v>-1</v>
      </c>
      <c r="V188" s="2" t="s">
        <v>49</v>
      </c>
      <c r="W188" s="2" t="s">
        <v>49</v>
      </c>
      <c r="X188" s="2" t="s">
        <v>49</v>
      </c>
      <c r="Y188" s="2" t="s">
        <v>49</v>
      </c>
      <c r="Z188" s="2" t="s">
        <v>49</v>
      </c>
      <c r="AA188" s="2" t="s">
        <v>49</v>
      </c>
      <c r="AB188" s="2" t="s">
        <v>49</v>
      </c>
      <c r="AC188" s="2" t="s">
        <v>231</v>
      </c>
      <c r="AD188" s="2" t="s">
        <v>54</v>
      </c>
      <c r="AE188" s="2" t="s">
        <v>1279</v>
      </c>
      <c r="AF188" s="2" t="s">
        <v>1280</v>
      </c>
      <c r="AG188" s="2" t="s">
        <v>1281</v>
      </c>
      <c r="AH188" s="2" t="s">
        <v>1282</v>
      </c>
      <c r="AI188" s="2" t="s">
        <v>49</v>
      </c>
      <c r="AJ188" s="2" t="s">
        <v>49</v>
      </c>
      <c r="AK188" s="2" t="s">
        <v>49</v>
      </c>
      <c r="AL188" s="2" t="s">
        <v>49</v>
      </c>
    </row>
    <row r="189" customFormat="false" ht="15" hidden="false" customHeight="false" outlineLevel="0" collapsed="false">
      <c r="B189" s="0" t="str">
        <f aca="false">HYPERLINK("https://genome.ucsc.edu/cgi-bin/hgTracks?db=hg19&amp;position=chr18%3A8786117%2D8786117", "chr18:8786117")</f>
        <v>chr18:8786117</v>
      </c>
      <c r="C189" s="0" t="s">
        <v>1270</v>
      </c>
      <c r="D189" s="0" t="n">
        <v>8786117</v>
      </c>
      <c r="E189" s="0" t="n">
        <v>8786117</v>
      </c>
      <c r="F189" s="0" t="s">
        <v>190</v>
      </c>
      <c r="G189" s="0" t="s">
        <v>1283</v>
      </c>
      <c r="H189" s="0" t="s">
        <v>1284</v>
      </c>
      <c r="I189" s="0" t="s">
        <v>958</v>
      </c>
      <c r="J189" s="0" t="s">
        <v>1285</v>
      </c>
      <c r="K189" s="0" t="s">
        <v>49</v>
      </c>
      <c r="L189" s="0" t="s">
        <v>49</v>
      </c>
      <c r="M189" s="0" t="str">
        <f aca="false">HYPERLINK("https://www.genecards.org/Search/Keyword?queryString=%5Baliases%5D(%20MTCL1%20)%20OR%20%5Baliases%5D(%20SOGA2%20)&amp;keywords=MTCL1,SOGA2", "MTCL1;SOGA2")</f>
        <v>MTCL1;SOGA2</v>
      </c>
      <c r="N189" s="0" t="s">
        <v>549</v>
      </c>
      <c r="O189" s="0" t="s">
        <v>259</v>
      </c>
      <c r="P189" s="0" t="s">
        <v>1286</v>
      </c>
      <c r="Q189" s="0" t="n">
        <v>0.0252</v>
      </c>
      <c r="R189" s="0" t="n">
        <v>0.0258</v>
      </c>
      <c r="S189" s="0" t="n">
        <v>0.0252</v>
      </c>
      <c r="T189" s="0" t="n">
        <v>-1</v>
      </c>
      <c r="U189" s="0" t="n">
        <v>0.0177</v>
      </c>
      <c r="V189" s="0" t="s">
        <v>49</v>
      </c>
      <c r="W189" s="0" t="s">
        <v>49</v>
      </c>
      <c r="X189" s="0" t="s">
        <v>49</v>
      </c>
      <c r="Y189" s="0" t="s">
        <v>49</v>
      </c>
      <c r="Z189" s="0" t="s">
        <v>49</v>
      </c>
      <c r="AA189" s="0" t="s">
        <v>49</v>
      </c>
      <c r="AB189" s="0" t="s">
        <v>49</v>
      </c>
      <c r="AC189" s="0" t="s">
        <v>231</v>
      </c>
      <c r="AD189" s="0" t="s">
        <v>220</v>
      </c>
      <c r="AE189" s="0" t="s">
        <v>49</v>
      </c>
      <c r="AF189" s="0" t="s">
        <v>1287</v>
      </c>
      <c r="AG189" s="0" t="s">
        <v>1288</v>
      </c>
      <c r="AH189" s="0" t="s">
        <v>49</v>
      </c>
      <c r="AI189" s="0" t="s">
        <v>49</v>
      </c>
      <c r="AJ189" s="0" t="s">
        <v>49</v>
      </c>
      <c r="AK189" s="0" t="s">
        <v>49</v>
      </c>
      <c r="AL189" s="0" t="s">
        <v>49</v>
      </c>
    </row>
    <row r="190" customFormat="false" ht="15" hidden="false" customHeight="false" outlineLevel="0" collapsed="false">
      <c r="B190" s="0" t="str">
        <f aca="false">HYPERLINK("https://genome.ucsc.edu/cgi-bin/hgTracks?db=hg19&amp;position=chr18%3A10726262%2D10726262", "chr18:10726262")</f>
        <v>chr18:10726262</v>
      </c>
      <c r="C190" s="0" t="s">
        <v>1270</v>
      </c>
      <c r="D190" s="0" t="n">
        <v>10726262</v>
      </c>
      <c r="E190" s="0" t="n">
        <v>10726262</v>
      </c>
      <c r="F190" s="0" t="s">
        <v>60</v>
      </c>
      <c r="G190" s="0" t="s">
        <v>39</v>
      </c>
      <c r="H190" s="0" t="s">
        <v>1289</v>
      </c>
      <c r="I190" s="0" t="s">
        <v>1232</v>
      </c>
      <c r="J190" s="0" t="s">
        <v>1290</v>
      </c>
      <c r="K190" s="0" t="s">
        <v>49</v>
      </c>
      <c r="L190" s="0" t="str">
        <f aca="false">HYPERLINK("https://www.ncbi.nlm.nih.gov/snp/rs527558908", "rs527558908")</f>
        <v>rs527558908</v>
      </c>
      <c r="M190" s="0" t="str">
        <f aca="false">HYPERLINK("https://www.genecards.org/Search/Keyword?queryString=%5Baliases%5D(%20PIEZO2%20)&amp;keywords=PIEZO2", "PIEZO2")</f>
        <v>PIEZO2</v>
      </c>
      <c r="N190" s="0" t="s">
        <v>283</v>
      </c>
      <c r="O190" s="0" t="s">
        <v>49</v>
      </c>
      <c r="P190" s="0" t="s">
        <v>49</v>
      </c>
      <c r="Q190" s="0" t="n">
        <v>0.0078</v>
      </c>
      <c r="R190" s="0" t="n">
        <v>0.0041</v>
      </c>
      <c r="S190" s="0" t="n">
        <v>0.004</v>
      </c>
      <c r="T190" s="0" t="n">
        <v>-1</v>
      </c>
      <c r="U190" s="0" t="n">
        <v>0.0042</v>
      </c>
      <c r="V190" s="0" t="s">
        <v>49</v>
      </c>
      <c r="W190" s="0" t="s">
        <v>49</v>
      </c>
      <c r="X190" s="0" t="s">
        <v>49</v>
      </c>
      <c r="Y190" s="0" t="s">
        <v>49</v>
      </c>
      <c r="Z190" s="0" t="s">
        <v>49</v>
      </c>
      <c r="AA190" s="0" t="s">
        <v>49</v>
      </c>
      <c r="AB190" s="0" t="s">
        <v>49</v>
      </c>
      <c r="AC190" s="0" t="s">
        <v>53</v>
      </c>
      <c r="AD190" s="0" t="s">
        <v>54</v>
      </c>
      <c r="AE190" s="0" t="s">
        <v>1291</v>
      </c>
      <c r="AF190" s="0" t="s">
        <v>1292</v>
      </c>
      <c r="AG190" s="0" t="s">
        <v>1293</v>
      </c>
      <c r="AH190" s="0" t="s">
        <v>1294</v>
      </c>
      <c r="AI190" s="0" t="s">
        <v>49</v>
      </c>
      <c r="AJ190" s="0" t="s">
        <v>49</v>
      </c>
      <c r="AK190" s="0" t="s">
        <v>49</v>
      </c>
      <c r="AL190" s="0" t="s">
        <v>49</v>
      </c>
    </row>
    <row r="191" customFormat="false" ht="15" hidden="false" customHeight="false" outlineLevel="0" collapsed="false">
      <c r="B191" s="0" t="str">
        <f aca="false">HYPERLINK("https://genome.ucsc.edu/cgi-bin/hgTracks?db=hg19&amp;position=chr18%3A47349398%2D47349398", "chr18:47349398")</f>
        <v>chr18:47349398</v>
      </c>
      <c r="C191" s="0" t="s">
        <v>1270</v>
      </c>
      <c r="D191" s="0" t="n">
        <v>47349398</v>
      </c>
      <c r="E191" s="0" t="n">
        <v>47349398</v>
      </c>
      <c r="F191" s="0" t="s">
        <v>40</v>
      </c>
      <c r="G191" s="0" t="s">
        <v>60</v>
      </c>
      <c r="H191" s="0" t="s">
        <v>99</v>
      </c>
      <c r="I191" s="0" t="s">
        <v>1295</v>
      </c>
      <c r="J191" s="0" t="s">
        <v>1296</v>
      </c>
      <c r="K191" s="0" t="s">
        <v>49</v>
      </c>
      <c r="L191" s="0" t="s">
        <v>49</v>
      </c>
      <c r="M191" s="0" t="str">
        <f aca="false">HYPERLINK("https://www.genecards.org/Search/Keyword?queryString=%5Baliases%5D(%20MYO5B%20)%20OR%20%5Baliases%5D(%20SNHG22%20)&amp;keywords=MYO5B,SNHG22", "MYO5B;SNHG22")</f>
        <v>MYO5B;SNHG22</v>
      </c>
      <c r="N191" s="0" t="s">
        <v>229</v>
      </c>
      <c r="O191" s="0" t="s">
        <v>49</v>
      </c>
      <c r="P191" s="0" t="s">
        <v>1297</v>
      </c>
      <c r="Q191" s="0" t="n">
        <v>0.0021</v>
      </c>
      <c r="R191" s="0" t="n">
        <v>-1</v>
      </c>
      <c r="S191" s="0" t="n">
        <v>-1</v>
      </c>
      <c r="T191" s="0" t="n">
        <v>-1</v>
      </c>
      <c r="U191" s="0" t="n">
        <v>-1</v>
      </c>
      <c r="V191" s="0" t="s">
        <v>49</v>
      </c>
      <c r="W191" s="0" t="s">
        <v>49</v>
      </c>
      <c r="X191" s="0" t="s">
        <v>49</v>
      </c>
      <c r="Y191" s="0" t="s">
        <v>49</v>
      </c>
      <c r="Z191" s="0" t="s">
        <v>49</v>
      </c>
      <c r="AA191" s="0" t="s">
        <v>49</v>
      </c>
      <c r="AB191" s="0" t="s">
        <v>49</v>
      </c>
      <c r="AC191" s="0" t="s">
        <v>53</v>
      </c>
      <c r="AD191" s="0" t="s">
        <v>1298</v>
      </c>
      <c r="AE191" s="0" t="s">
        <v>1299</v>
      </c>
      <c r="AF191" s="0" t="s">
        <v>1300</v>
      </c>
      <c r="AG191" s="0" t="s">
        <v>1301</v>
      </c>
      <c r="AH191" s="0" t="s">
        <v>1302</v>
      </c>
      <c r="AI191" s="0" t="s">
        <v>49</v>
      </c>
      <c r="AJ191" s="0" t="s">
        <v>49</v>
      </c>
      <c r="AK191" s="0" t="s">
        <v>49</v>
      </c>
      <c r="AL191" s="0" t="s">
        <v>49</v>
      </c>
    </row>
    <row r="192" customFormat="false" ht="15" hidden="false" customHeight="false" outlineLevel="0" collapsed="false">
      <c r="B192" s="0" t="str">
        <f aca="false">HYPERLINK("https://genome.ucsc.edu/cgi-bin/hgTracks?db=hg19&amp;position=chr18%3A47349401%2D47349401", "chr18:47349401")</f>
        <v>chr18:47349401</v>
      </c>
      <c r="C192" s="0" t="s">
        <v>1270</v>
      </c>
      <c r="D192" s="0" t="n">
        <v>47349401</v>
      </c>
      <c r="E192" s="0" t="n">
        <v>47349401</v>
      </c>
      <c r="F192" s="0" t="s">
        <v>40</v>
      </c>
      <c r="G192" s="0" t="s">
        <v>39</v>
      </c>
      <c r="H192" s="0" t="s">
        <v>99</v>
      </c>
      <c r="I192" s="0" t="s">
        <v>1295</v>
      </c>
      <c r="J192" s="0" t="s">
        <v>1296</v>
      </c>
      <c r="K192" s="0" t="s">
        <v>49</v>
      </c>
      <c r="L192" s="0" t="s">
        <v>49</v>
      </c>
      <c r="M192" s="0" t="str">
        <f aca="false">HYPERLINK("https://www.genecards.org/Search/Keyword?queryString=%5Baliases%5D(%20MYO5B%20)%20OR%20%5Baliases%5D(%20SNHG22%20)&amp;keywords=MYO5B,SNHG22", "MYO5B;SNHG22")</f>
        <v>MYO5B;SNHG22</v>
      </c>
      <c r="N192" s="0" t="s">
        <v>229</v>
      </c>
      <c r="O192" s="0" t="s">
        <v>49</v>
      </c>
      <c r="P192" s="0" t="s">
        <v>1303</v>
      </c>
      <c r="Q192" s="0" t="n">
        <v>0.0021</v>
      </c>
      <c r="R192" s="0" t="n">
        <v>-1</v>
      </c>
      <c r="S192" s="0" t="n">
        <v>-1</v>
      </c>
      <c r="T192" s="0" t="n">
        <v>-1</v>
      </c>
      <c r="U192" s="0" t="n">
        <v>-1</v>
      </c>
      <c r="V192" s="0" t="s">
        <v>49</v>
      </c>
      <c r="W192" s="0" t="s">
        <v>49</v>
      </c>
      <c r="X192" s="0" t="s">
        <v>49</v>
      </c>
      <c r="Y192" s="0" t="s">
        <v>49</v>
      </c>
      <c r="Z192" s="0" t="s">
        <v>49</v>
      </c>
      <c r="AA192" s="0" t="s">
        <v>49</v>
      </c>
      <c r="AB192" s="0" t="s">
        <v>49</v>
      </c>
      <c r="AC192" s="0" t="s">
        <v>53</v>
      </c>
      <c r="AD192" s="0" t="s">
        <v>1298</v>
      </c>
      <c r="AE192" s="0" t="s">
        <v>1299</v>
      </c>
      <c r="AF192" s="0" t="s">
        <v>1300</v>
      </c>
      <c r="AG192" s="0" t="s">
        <v>1301</v>
      </c>
      <c r="AH192" s="0" t="s">
        <v>1302</v>
      </c>
      <c r="AI192" s="0" t="s">
        <v>49</v>
      </c>
      <c r="AJ192" s="0" t="s">
        <v>49</v>
      </c>
      <c r="AK192" s="0" t="s">
        <v>49</v>
      </c>
      <c r="AL192" s="0" t="s">
        <v>49</v>
      </c>
    </row>
    <row r="193" customFormat="false" ht="15" hidden="false" customHeight="false" outlineLevel="0" collapsed="false">
      <c r="B193" s="0" t="str">
        <f aca="false">HYPERLINK("https://genome.ucsc.edu/cgi-bin/hgTracks?db=hg19&amp;position=chr18%3A47352599%2D47352599", "chr18:47352599")</f>
        <v>chr18:47352599</v>
      </c>
      <c r="C193" s="0" t="s">
        <v>1270</v>
      </c>
      <c r="D193" s="0" t="n">
        <v>47352599</v>
      </c>
      <c r="E193" s="0" t="n">
        <v>47352599</v>
      </c>
      <c r="F193" s="0" t="s">
        <v>60</v>
      </c>
      <c r="G193" s="0" t="s">
        <v>40</v>
      </c>
      <c r="H193" s="0" t="s">
        <v>1304</v>
      </c>
      <c r="I193" s="0" t="s">
        <v>1305</v>
      </c>
      <c r="J193" s="0" t="s">
        <v>1306</v>
      </c>
      <c r="K193" s="0" t="s">
        <v>49</v>
      </c>
      <c r="L193" s="0" t="s">
        <v>49</v>
      </c>
      <c r="M193" s="0" t="str">
        <f aca="false">HYPERLINK("https://www.genecards.org/Search/Keyword?queryString=%5Baliases%5D(%20MYO5B%20)%20OR%20%5Baliases%5D(%20SNHG22%20)&amp;keywords=MYO5B,SNHG22", "MYO5B;SNHG22")</f>
        <v>MYO5B;SNHG22</v>
      </c>
      <c r="N193" s="0" t="s">
        <v>229</v>
      </c>
      <c r="O193" s="0" t="s">
        <v>49</v>
      </c>
      <c r="P193" s="0" t="s">
        <v>1307</v>
      </c>
      <c r="Q193" s="0" t="n">
        <v>0.010476</v>
      </c>
      <c r="R193" s="0" t="n">
        <v>0.0007</v>
      </c>
      <c r="S193" s="0" t="n">
        <v>0.0007</v>
      </c>
      <c r="T193" s="0" t="n">
        <v>-1</v>
      </c>
      <c r="U193" s="0" t="n">
        <v>0.0012</v>
      </c>
      <c r="V193" s="0" t="s">
        <v>49</v>
      </c>
      <c r="W193" s="0" t="s">
        <v>49</v>
      </c>
      <c r="X193" s="0" t="s">
        <v>49</v>
      </c>
      <c r="Y193" s="0" t="s">
        <v>49</v>
      </c>
      <c r="Z193" s="0" t="s">
        <v>49</v>
      </c>
      <c r="AA193" s="0" t="s">
        <v>49</v>
      </c>
      <c r="AB193" s="0" t="s">
        <v>49</v>
      </c>
      <c r="AC193" s="0" t="s">
        <v>53</v>
      </c>
      <c r="AD193" s="0" t="s">
        <v>1298</v>
      </c>
      <c r="AE193" s="0" t="s">
        <v>1299</v>
      </c>
      <c r="AF193" s="0" t="s">
        <v>1300</v>
      </c>
      <c r="AG193" s="0" t="s">
        <v>1301</v>
      </c>
      <c r="AH193" s="0" t="s">
        <v>1302</v>
      </c>
      <c r="AI193" s="0" t="s">
        <v>49</v>
      </c>
      <c r="AJ193" s="0" t="s">
        <v>49</v>
      </c>
      <c r="AK193" s="0" t="s">
        <v>49</v>
      </c>
      <c r="AL193" s="0" t="s">
        <v>49</v>
      </c>
    </row>
    <row r="194" customFormat="false" ht="15" hidden="false" customHeight="false" outlineLevel="0" collapsed="false">
      <c r="B194" s="0" t="str">
        <f aca="false">HYPERLINK("https://genome.ucsc.edu/cgi-bin/hgTracks?db=hg19&amp;position=chr18%3A47352785%2D47352785", "chr18:47352785")</f>
        <v>chr18:47352785</v>
      </c>
      <c r="C194" s="0" t="s">
        <v>1270</v>
      </c>
      <c r="D194" s="0" t="n">
        <v>47352785</v>
      </c>
      <c r="E194" s="0" t="n">
        <v>47352785</v>
      </c>
      <c r="F194" s="0" t="s">
        <v>61</v>
      </c>
      <c r="G194" s="0" t="s">
        <v>39</v>
      </c>
      <c r="H194" s="0" t="s">
        <v>1308</v>
      </c>
      <c r="I194" s="0" t="s">
        <v>1309</v>
      </c>
      <c r="J194" s="0" t="s">
        <v>1310</v>
      </c>
      <c r="K194" s="0" t="s">
        <v>49</v>
      </c>
      <c r="L194" s="0" t="str">
        <f aca="false">HYPERLINK("https://www.ncbi.nlm.nih.gov/snp/rs1058553", "rs1058553")</f>
        <v>rs1058553</v>
      </c>
      <c r="M194" s="0" t="str">
        <f aca="false">HYPERLINK("https://www.genecards.org/Search/Keyword?queryString=%5Baliases%5D(%20MYO5B%20)%20OR%20%5Baliases%5D(%20SNHG22%20)&amp;keywords=MYO5B,SNHG22", "MYO5B;SNHG22")</f>
        <v>MYO5B;SNHG22</v>
      </c>
      <c r="N194" s="0" t="s">
        <v>229</v>
      </c>
      <c r="O194" s="0" t="s">
        <v>49</v>
      </c>
      <c r="P194" s="0" t="s">
        <v>1311</v>
      </c>
      <c r="Q194" s="0" t="n">
        <v>0.0258</v>
      </c>
      <c r="R194" s="0" t="n">
        <v>0.0014</v>
      </c>
      <c r="S194" s="0" t="n">
        <v>0.0021</v>
      </c>
      <c r="T194" s="0" t="n">
        <v>-1</v>
      </c>
      <c r="U194" s="0" t="n">
        <v>0.0049</v>
      </c>
      <c r="V194" s="0" t="s">
        <v>49</v>
      </c>
      <c r="W194" s="0" t="s">
        <v>49</v>
      </c>
      <c r="X194" s="0" t="s">
        <v>49</v>
      </c>
      <c r="Y194" s="0" t="s">
        <v>49</v>
      </c>
      <c r="Z194" s="0" t="s">
        <v>49</v>
      </c>
      <c r="AA194" s="0" t="s">
        <v>49</v>
      </c>
      <c r="AB194" s="0" t="s">
        <v>49</v>
      </c>
      <c r="AC194" s="0" t="s">
        <v>53</v>
      </c>
      <c r="AD194" s="0" t="s">
        <v>1298</v>
      </c>
      <c r="AE194" s="0" t="s">
        <v>1299</v>
      </c>
      <c r="AF194" s="0" t="s">
        <v>1300</v>
      </c>
      <c r="AG194" s="0" t="s">
        <v>1301</v>
      </c>
      <c r="AH194" s="0" t="s">
        <v>1302</v>
      </c>
      <c r="AI194" s="0" t="s">
        <v>49</v>
      </c>
      <c r="AJ194" s="0" t="s">
        <v>49</v>
      </c>
      <c r="AK194" s="0" t="s">
        <v>49</v>
      </c>
      <c r="AL194" s="0" t="s">
        <v>49</v>
      </c>
    </row>
    <row r="195" customFormat="false" ht="15" hidden="false" customHeight="false" outlineLevel="0" collapsed="false">
      <c r="B195" s="0" t="str">
        <f aca="false">HYPERLINK("https://genome.ucsc.edu/cgi-bin/hgTracks?db=hg19&amp;position=chr18%3A47489575%2D47489575", "chr18:47489575")</f>
        <v>chr18:47489575</v>
      </c>
      <c r="C195" s="0" t="s">
        <v>1270</v>
      </c>
      <c r="D195" s="0" t="n">
        <v>47489575</v>
      </c>
      <c r="E195" s="0" t="n">
        <v>47489575</v>
      </c>
      <c r="F195" s="0" t="s">
        <v>40</v>
      </c>
      <c r="G195" s="0" t="s">
        <v>39</v>
      </c>
      <c r="H195" s="0" t="s">
        <v>529</v>
      </c>
      <c r="I195" s="0" t="s">
        <v>1312</v>
      </c>
      <c r="J195" s="0" t="s">
        <v>1313</v>
      </c>
      <c r="K195" s="0" t="s">
        <v>49</v>
      </c>
      <c r="L195" s="0" t="str">
        <f aca="false">HYPERLINK("https://www.ncbi.nlm.nih.gov/snp/rs117996919", "rs117996919")</f>
        <v>rs117996919</v>
      </c>
      <c r="M195" s="0" t="str">
        <f aca="false">HYPERLINK("https://www.genecards.org/Search/Keyword?queryString=%5Baliases%5D(%20MYO5B%20)&amp;keywords=MYO5B", "MYO5B")</f>
        <v>MYO5B</v>
      </c>
      <c r="N195" s="0" t="s">
        <v>510</v>
      </c>
      <c r="O195" s="0" t="s">
        <v>49</v>
      </c>
      <c r="P195" s="0" t="s">
        <v>49</v>
      </c>
      <c r="Q195" s="0" t="n">
        <v>0.0119</v>
      </c>
      <c r="R195" s="0" t="n">
        <v>0.0013</v>
      </c>
      <c r="S195" s="0" t="n">
        <v>0.0013</v>
      </c>
      <c r="T195" s="0" t="n">
        <v>-1</v>
      </c>
      <c r="U195" s="0" t="n">
        <v>0.0008</v>
      </c>
      <c r="V195" s="0" t="s">
        <v>49</v>
      </c>
      <c r="W195" s="0" t="s">
        <v>49</v>
      </c>
      <c r="X195" s="0" t="s">
        <v>333</v>
      </c>
      <c r="Y195" s="0" t="s">
        <v>219</v>
      </c>
      <c r="Z195" s="0" t="s">
        <v>49</v>
      </c>
      <c r="AA195" s="0" t="s">
        <v>49</v>
      </c>
      <c r="AB195" s="0" t="s">
        <v>49</v>
      </c>
      <c r="AC195" s="0" t="s">
        <v>53</v>
      </c>
      <c r="AD195" s="0" t="s">
        <v>289</v>
      </c>
      <c r="AE195" s="0" t="s">
        <v>1299</v>
      </c>
      <c r="AF195" s="0" t="s">
        <v>1314</v>
      </c>
      <c r="AG195" s="0" t="s">
        <v>1301</v>
      </c>
      <c r="AH195" s="0" t="s">
        <v>1302</v>
      </c>
      <c r="AI195" s="0" t="s">
        <v>49</v>
      </c>
      <c r="AJ195" s="0" t="s">
        <v>49</v>
      </c>
      <c r="AK195" s="0" t="s">
        <v>49</v>
      </c>
      <c r="AL195" s="0" t="s">
        <v>49</v>
      </c>
    </row>
    <row r="196" customFormat="false" ht="15" hidden="false" customHeight="false" outlineLevel="0" collapsed="false">
      <c r="B196" s="0" t="str">
        <f aca="false">HYPERLINK("https://genome.ucsc.edu/cgi-bin/hgTracks?db=hg19&amp;position=chr18%3A50929100%2D50929100", "chr18:50929100")</f>
        <v>chr18:50929100</v>
      </c>
      <c r="C196" s="0" t="s">
        <v>1270</v>
      </c>
      <c r="D196" s="0" t="n">
        <v>50929100</v>
      </c>
      <c r="E196" s="0" t="n">
        <v>50929100</v>
      </c>
      <c r="F196" s="0" t="s">
        <v>61</v>
      </c>
      <c r="G196" s="0" t="s">
        <v>60</v>
      </c>
      <c r="H196" s="0" t="s">
        <v>458</v>
      </c>
      <c r="I196" s="0" t="s">
        <v>973</v>
      </c>
      <c r="J196" s="0" t="s">
        <v>1315</v>
      </c>
      <c r="K196" s="0" t="s">
        <v>49</v>
      </c>
      <c r="L196" s="0" t="str">
        <f aca="false">HYPERLINK("https://www.ncbi.nlm.nih.gov/snp/rs529002405", "rs529002405")</f>
        <v>rs529002405</v>
      </c>
      <c r="M196" s="0" t="str">
        <f aca="false">HYPERLINK("https://www.genecards.org/Search/Keyword?queryString=%5Baliases%5D(%20DCC%20)&amp;keywords=DCC", "DCC")</f>
        <v>DCC</v>
      </c>
      <c r="N196" s="0" t="s">
        <v>510</v>
      </c>
      <c r="O196" s="0" t="s">
        <v>49</v>
      </c>
      <c r="P196" s="0" t="s">
        <v>49</v>
      </c>
      <c r="Q196" s="0" t="n">
        <v>0.0034</v>
      </c>
      <c r="R196" s="0" t="n">
        <v>0.0007</v>
      </c>
      <c r="S196" s="0" t="n">
        <v>0.0006</v>
      </c>
      <c r="T196" s="0" t="n">
        <v>-1</v>
      </c>
      <c r="U196" s="0" t="n">
        <v>0.0002</v>
      </c>
      <c r="V196" s="0" t="s">
        <v>49</v>
      </c>
      <c r="W196" s="0" t="s">
        <v>49</v>
      </c>
      <c r="X196" s="0" t="s">
        <v>517</v>
      </c>
      <c r="Y196" s="0" t="s">
        <v>219</v>
      </c>
      <c r="Z196" s="0" t="s">
        <v>49</v>
      </c>
      <c r="AA196" s="0" t="s">
        <v>49</v>
      </c>
      <c r="AB196" s="0" t="s">
        <v>49</v>
      </c>
      <c r="AC196" s="0" t="s">
        <v>53</v>
      </c>
      <c r="AD196" s="0" t="s">
        <v>54</v>
      </c>
      <c r="AE196" s="0" t="s">
        <v>1316</v>
      </c>
      <c r="AF196" s="0" t="s">
        <v>1317</v>
      </c>
      <c r="AG196" s="0" t="s">
        <v>1318</v>
      </c>
      <c r="AH196" s="0" t="s">
        <v>1319</v>
      </c>
      <c r="AI196" s="0" t="s">
        <v>49</v>
      </c>
      <c r="AJ196" s="0" t="s">
        <v>49</v>
      </c>
      <c r="AK196" s="0" t="s">
        <v>49</v>
      </c>
      <c r="AL196" s="0" t="s">
        <v>49</v>
      </c>
    </row>
    <row r="197" customFormat="false" ht="15" hidden="false" customHeight="false" outlineLevel="0" collapsed="false">
      <c r="B197" s="0" t="str">
        <f aca="false">HYPERLINK("https://genome.ucsc.edu/cgi-bin/hgTracks?db=hg19&amp;position=chr18%3A56363570%2D56363570", "chr18:56363570")</f>
        <v>chr18:56363570</v>
      </c>
      <c r="C197" s="0" t="s">
        <v>1270</v>
      </c>
      <c r="D197" s="0" t="n">
        <v>56363570</v>
      </c>
      <c r="E197" s="0" t="n">
        <v>56363570</v>
      </c>
      <c r="F197" s="0" t="s">
        <v>190</v>
      </c>
      <c r="G197" s="0" t="s">
        <v>40</v>
      </c>
      <c r="H197" s="0" t="s">
        <v>1320</v>
      </c>
      <c r="I197" s="0" t="s">
        <v>701</v>
      </c>
      <c r="J197" s="0" t="s">
        <v>1321</v>
      </c>
      <c r="K197" s="0" t="s">
        <v>49</v>
      </c>
      <c r="L197" s="0" t="s">
        <v>49</v>
      </c>
      <c r="M197" s="0" t="str">
        <f aca="false">HYPERLINK("https://www.genecards.org/Search/Keyword?queryString=%5Baliases%5D(%20MALT1%20)&amp;keywords=MALT1", "MALT1")</f>
        <v>MALT1</v>
      </c>
      <c r="N197" s="0" t="s">
        <v>283</v>
      </c>
      <c r="O197" s="0" t="s">
        <v>49</v>
      </c>
      <c r="P197" s="0" t="s">
        <v>49</v>
      </c>
      <c r="Q197" s="0" t="n">
        <v>-1</v>
      </c>
      <c r="R197" s="0" t="n">
        <v>-1</v>
      </c>
      <c r="S197" s="0" t="n">
        <v>-1</v>
      </c>
      <c r="T197" s="0" t="n">
        <v>-1</v>
      </c>
      <c r="U197" s="0" t="n">
        <v>-1</v>
      </c>
      <c r="V197" s="0" t="s">
        <v>49</v>
      </c>
      <c r="W197" s="0" t="s">
        <v>49</v>
      </c>
      <c r="X197" s="0" t="s">
        <v>49</v>
      </c>
      <c r="Y197" s="0" t="s">
        <v>49</v>
      </c>
      <c r="Z197" s="0" t="s">
        <v>49</v>
      </c>
      <c r="AA197" s="0" t="s">
        <v>49</v>
      </c>
      <c r="AB197" s="0" t="s">
        <v>49</v>
      </c>
      <c r="AC197" s="0" t="s">
        <v>231</v>
      </c>
      <c r="AD197" s="0" t="s">
        <v>54</v>
      </c>
      <c r="AE197" s="0" t="s">
        <v>1322</v>
      </c>
      <c r="AF197" s="0" t="s">
        <v>1323</v>
      </c>
      <c r="AG197" s="0" t="s">
        <v>1324</v>
      </c>
      <c r="AH197" s="0" t="s">
        <v>1325</v>
      </c>
      <c r="AI197" s="0" t="s">
        <v>49</v>
      </c>
      <c r="AJ197" s="0" t="s">
        <v>49</v>
      </c>
      <c r="AK197" s="0" t="s">
        <v>49</v>
      </c>
      <c r="AL197" s="0" t="s">
        <v>49</v>
      </c>
    </row>
    <row r="198" customFormat="false" ht="15" hidden="false" customHeight="false" outlineLevel="0" collapsed="false">
      <c r="B198" s="0" t="str">
        <f aca="false">HYPERLINK("https://genome.ucsc.edu/cgi-bin/hgTracks?db=hg19&amp;position=chr18%3A77478117%2D77478117", "chr18:77478117")</f>
        <v>chr18:77478117</v>
      </c>
      <c r="C198" s="0" t="s">
        <v>1270</v>
      </c>
      <c r="D198" s="0" t="n">
        <v>77478117</v>
      </c>
      <c r="E198" s="0" t="n">
        <v>77478117</v>
      </c>
      <c r="F198" s="0" t="s">
        <v>60</v>
      </c>
      <c r="G198" s="0" t="s">
        <v>61</v>
      </c>
      <c r="H198" s="0" t="s">
        <v>1326</v>
      </c>
      <c r="I198" s="0" t="s">
        <v>1108</v>
      </c>
      <c r="J198" s="0" t="s">
        <v>1327</v>
      </c>
      <c r="K198" s="0" t="s">
        <v>49</v>
      </c>
      <c r="L198" s="0" t="str">
        <f aca="false">HYPERLINK("https://www.ncbi.nlm.nih.gov/snp/rs113163503", "rs113163503")</f>
        <v>rs113163503</v>
      </c>
      <c r="M198" s="0" t="str">
        <f aca="false">HYPERLINK("https://www.genecards.org/Search/Keyword?queryString=%5Baliases%5D(%20CTDP1%20)&amp;keywords=CTDP1", "CTDP1")</f>
        <v>CTDP1</v>
      </c>
      <c r="N198" s="0" t="s">
        <v>510</v>
      </c>
      <c r="O198" s="0" t="s">
        <v>49</v>
      </c>
      <c r="P198" s="0" t="s">
        <v>49</v>
      </c>
      <c r="Q198" s="0" t="n">
        <v>0.0184</v>
      </c>
      <c r="R198" s="0" t="n">
        <v>0.0135</v>
      </c>
      <c r="S198" s="0" t="n">
        <v>0.0146</v>
      </c>
      <c r="T198" s="0" t="n">
        <v>-1</v>
      </c>
      <c r="U198" s="0" t="n">
        <v>0.0118</v>
      </c>
      <c r="V198" s="0" t="s">
        <v>49</v>
      </c>
      <c r="W198" s="0" t="s">
        <v>49</v>
      </c>
      <c r="X198" s="0" t="s">
        <v>333</v>
      </c>
      <c r="Y198" s="0" t="s">
        <v>219</v>
      </c>
      <c r="Z198" s="0" t="s">
        <v>49</v>
      </c>
      <c r="AA198" s="0" t="s">
        <v>49</v>
      </c>
      <c r="AB198" s="0" t="s">
        <v>49</v>
      </c>
      <c r="AC198" s="0" t="s">
        <v>53</v>
      </c>
      <c r="AD198" s="0" t="s">
        <v>54</v>
      </c>
      <c r="AE198" s="0" t="s">
        <v>1328</v>
      </c>
      <c r="AF198" s="0" t="s">
        <v>1329</v>
      </c>
      <c r="AG198" s="0" t="s">
        <v>1330</v>
      </c>
      <c r="AH198" s="0" t="s">
        <v>1331</v>
      </c>
      <c r="AI198" s="0" t="s">
        <v>49</v>
      </c>
      <c r="AJ198" s="0" t="s">
        <v>49</v>
      </c>
      <c r="AK198" s="0" t="s">
        <v>49</v>
      </c>
      <c r="AL198" s="0" t="s">
        <v>49</v>
      </c>
    </row>
    <row r="199" customFormat="false" ht="15" hidden="false" customHeight="false" outlineLevel="0" collapsed="false">
      <c r="B199" s="0" t="str">
        <f aca="false">HYPERLINK("https://genome.ucsc.edu/cgi-bin/hgTracks?db=hg19&amp;position=chr19%3A3121466%2D3121469", "chr19:3121466")</f>
        <v>chr19:3121466</v>
      </c>
      <c r="C199" s="0" t="s">
        <v>143</v>
      </c>
      <c r="D199" s="0" t="n">
        <v>3121466</v>
      </c>
      <c r="E199" s="0" t="n">
        <v>3121469</v>
      </c>
      <c r="F199" s="0" t="s">
        <v>1332</v>
      </c>
      <c r="G199" s="0" t="s">
        <v>709</v>
      </c>
      <c r="H199" s="0" t="s">
        <v>1333</v>
      </c>
      <c r="I199" s="0" t="s">
        <v>1001</v>
      </c>
      <c r="J199" s="0" t="s">
        <v>1334</v>
      </c>
      <c r="K199" s="0" t="s">
        <v>49</v>
      </c>
      <c r="L199" s="0" t="s">
        <v>49</v>
      </c>
      <c r="M199" s="0" t="str">
        <f aca="false">HYPERLINK("https://www.genecards.org/Search/Keyword?queryString=%5Baliases%5D(%20GNA11%20)&amp;keywords=GNA11", "GNA11")</f>
        <v>GNA11</v>
      </c>
      <c r="N199" s="0" t="s">
        <v>1335</v>
      </c>
      <c r="O199" s="0" t="s">
        <v>49</v>
      </c>
      <c r="P199" s="0" t="s">
        <v>1336</v>
      </c>
      <c r="Q199" s="0" t="n">
        <v>-1</v>
      </c>
      <c r="R199" s="0" t="n">
        <v>-1</v>
      </c>
      <c r="S199" s="0" t="n">
        <v>-1</v>
      </c>
      <c r="T199" s="0" t="n">
        <v>-1</v>
      </c>
      <c r="U199" s="0" t="n">
        <v>-1</v>
      </c>
      <c r="V199" s="0" t="s">
        <v>49</v>
      </c>
      <c r="W199" s="0" t="s">
        <v>49</v>
      </c>
      <c r="X199" s="0" t="s">
        <v>49</v>
      </c>
      <c r="Y199" s="0" t="s">
        <v>49</v>
      </c>
      <c r="Z199" s="0" t="s">
        <v>49</v>
      </c>
      <c r="AA199" s="0" t="s">
        <v>49</v>
      </c>
      <c r="AB199" s="0" t="s">
        <v>49</v>
      </c>
      <c r="AC199" s="0" t="s">
        <v>231</v>
      </c>
      <c r="AD199" s="0" t="s">
        <v>54</v>
      </c>
      <c r="AE199" s="0" t="s">
        <v>1337</v>
      </c>
      <c r="AF199" s="0" t="s">
        <v>1338</v>
      </c>
      <c r="AG199" s="0" t="s">
        <v>1339</v>
      </c>
      <c r="AH199" s="0" t="s">
        <v>1340</v>
      </c>
      <c r="AI199" s="0" t="s">
        <v>822</v>
      </c>
      <c r="AJ199" s="0" t="s">
        <v>49</v>
      </c>
      <c r="AK199" s="0" t="s">
        <v>49</v>
      </c>
      <c r="AL199" s="0" t="s">
        <v>49</v>
      </c>
    </row>
    <row r="200" customFormat="false" ht="15" hidden="false" customHeight="false" outlineLevel="0" collapsed="false">
      <c r="B200" s="0" t="str">
        <f aca="false">HYPERLINK("https://genome.ucsc.edu/cgi-bin/hgTracks?db=hg19&amp;position=chr19%3A8186067%2D8186067", "chr19:8186067")</f>
        <v>chr19:8186067</v>
      </c>
      <c r="C200" s="0" t="s">
        <v>143</v>
      </c>
      <c r="D200" s="0" t="n">
        <v>8186067</v>
      </c>
      <c r="E200" s="0" t="n">
        <v>8186067</v>
      </c>
      <c r="F200" s="0" t="s">
        <v>39</v>
      </c>
      <c r="G200" s="0" t="s">
        <v>40</v>
      </c>
      <c r="H200" s="0" t="s">
        <v>1341</v>
      </c>
      <c r="I200" s="0" t="s">
        <v>1069</v>
      </c>
      <c r="J200" s="0" t="s">
        <v>1342</v>
      </c>
      <c r="K200" s="0" t="s">
        <v>49</v>
      </c>
      <c r="L200" s="0" t="str">
        <f aca="false">HYPERLINK("https://www.ncbi.nlm.nih.gov/snp/rs1035861290", "rs1035861290")</f>
        <v>rs1035861290</v>
      </c>
      <c r="M200" s="0" t="str">
        <f aca="false">HYPERLINK("https://www.genecards.org/Search/Keyword?queryString=%5Baliases%5D(%20FBN3%20)&amp;keywords=FBN3", "FBN3")</f>
        <v>FBN3</v>
      </c>
      <c r="N200" s="0" t="s">
        <v>510</v>
      </c>
      <c r="O200" s="0" t="s">
        <v>49</v>
      </c>
      <c r="P200" s="0" t="s">
        <v>49</v>
      </c>
      <c r="Q200" s="0" t="n">
        <v>0.0014</v>
      </c>
      <c r="R200" s="0" t="n">
        <v>0.002</v>
      </c>
      <c r="S200" s="0" t="n">
        <v>0.0015</v>
      </c>
      <c r="T200" s="0" t="n">
        <v>-1</v>
      </c>
      <c r="U200" s="0" t="n">
        <v>0.0036</v>
      </c>
      <c r="V200" s="0" t="s">
        <v>49</v>
      </c>
      <c r="W200" s="0" t="s">
        <v>49</v>
      </c>
      <c r="X200" s="0" t="s">
        <v>517</v>
      </c>
      <c r="Y200" s="0" t="s">
        <v>219</v>
      </c>
      <c r="Z200" s="0" t="s">
        <v>49</v>
      </c>
      <c r="AA200" s="0" t="s">
        <v>49</v>
      </c>
      <c r="AB200" s="0" t="s">
        <v>49</v>
      </c>
      <c r="AC200" s="0" t="s">
        <v>53</v>
      </c>
      <c r="AD200" s="0" t="s">
        <v>54</v>
      </c>
      <c r="AE200" s="0" t="s">
        <v>1343</v>
      </c>
      <c r="AF200" s="0" t="s">
        <v>1344</v>
      </c>
      <c r="AG200" s="0" t="s">
        <v>1345</v>
      </c>
      <c r="AH200" s="0" t="s">
        <v>49</v>
      </c>
      <c r="AI200" s="0" t="s">
        <v>49</v>
      </c>
      <c r="AJ200" s="0" t="s">
        <v>49</v>
      </c>
      <c r="AK200" s="0" t="s">
        <v>49</v>
      </c>
      <c r="AL200" s="0" t="s">
        <v>49</v>
      </c>
    </row>
    <row r="201" customFormat="false" ht="15" hidden="false" customHeight="false" outlineLevel="0" collapsed="false">
      <c r="B201" s="0" t="str">
        <f aca="false">HYPERLINK("https://genome.ucsc.edu/cgi-bin/hgTracks?db=hg19&amp;position=chr19%3A9006442%2D9006442", "chr19:9006442")</f>
        <v>chr19:9006442</v>
      </c>
      <c r="C201" s="0" t="s">
        <v>143</v>
      </c>
      <c r="D201" s="0" t="n">
        <v>9006442</v>
      </c>
      <c r="E201" s="0" t="n">
        <v>9006442</v>
      </c>
      <c r="F201" s="0" t="s">
        <v>61</v>
      </c>
      <c r="G201" s="0" t="s">
        <v>40</v>
      </c>
      <c r="H201" s="0" t="s">
        <v>1346</v>
      </c>
      <c r="I201" s="0" t="s">
        <v>1347</v>
      </c>
      <c r="J201" s="0" t="s">
        <v>1348</v>
      </c>
      <c r="K201" s="0" t="s">
        <v>49</v>
      </c>
      <c r="L201" s="0" t="str">
        <f aca="false">HYPERLINK("https://www.ncbi.nlm.nih.gov/snp/rs757047885", "rs757047885")</f>
        <v>rs757047885</v>
      </c>
      <c r="M201" s="0" t="str">
        <f aca="false">HYPERLINK("https://www.genecards.org/Search/Keyword?queryString=%5Baliases%5D(%20MUC16%20)&amp;keywords=MUC16", "MUC16")</f>
        <v>MUC16</v>
      </c>
      <c r="N201" s="0" t="s">
        <v>510</v>
      </c>
      <c r="O201" s="0" t="s">
        <v>49</v>
      </c>
      <c r="P201" s="0" t="s">
        <v>49</v>
      </c>
      <c r="Q201" s="0" t="n">
        <v>0.0172</v>
      </c>
      <c r="R201" s="0" t="n">
        <v>0.0189</v>
      </c>
      <c r="S201" s="0" t="n">
        <v>0.0172</v>
      </c>
      <c r="T201" s="0" t="n">
        <v>-1</v>
      </c>
      <c r="U201" s="0" t="n">
        <v>0.0143</v>
      </c>
      <c r="V201" s="0" t="s">
        <v>49</v>
      </c>
      <c r="W201" s="0" t="s">
        <v>49</v>
      </c>
      <c r="X201" s="0" t="s">
        <v>333</v>
      </c>
      <c r="Y201" s="0" t="s">
        <v>219</v>
      </c>
      <c r="Z201" s="0" t="s">
        <v>49</v>
      </c>
      <c r="AA201" s="0" t="s">
        <v>49</v>
      </c>
      <c r="AB201" s="0" t="s">
        <v>49</v>
      </c>
      <c r="AC201" s="0" t="s">
        <v>53</v>
      </c>
      <c r="AD201" s="0" t="s">
        <v>209</v>
      </c>
      <c r="AE201" s="0" t="s">
        <v>49</v>
      </c>
      <c r="AF201" s="0" t="s">
        <v>1349</v>
      </c>
      <c r="AG201" s="0" t="s">
        <v>1350</v>
      </c>
      <c r="AH201" s="0" t="s">
        <v>49</v>
      </c>
      <c r="AI201" s="0" t="s">
        <v>49</v>
      </c>
      <c r="AJ201" s="0" t="s">
        <v>49</v>
      </c>
      <c r="AK201" s="0" t="s">
        <v>49</v>
      </c>
      <c r="AL201" s="0" t="s">
        <v>49</v>
      </c>
    </row>
    <row r="202" customFormat="false" ht="15" hidden="false" customHeight="false" outlineLevel="0" collapsed="false">
      <c r="B202" s="0" t="str">
        <f aca="false">HYPERLINK("https://genome.ucsc.edu/cgi-bin/hgTracks?db=hg19&amp;position=chr19%3A9059276%2D9059276", "chr19:9059276")</f>
        <v>chr19:9059276</v>
      </c>
      <c r="C202" s="0" t="s">
        <v>143</v>
      </c>
      <c r="D202" s="0" t="n">
        <v>9059276</v>
      </c>
      <c r="E202" s="0" t="n">
        <v>9059276</v>
      </c>
      <c r="F202" s="0" t="s">
        <v>60</v>
      </c>
      <c r="G202" s="0" t="s">
        <v>190</v>
      </c>
      <c r="H202" s="0" t="s">
        <v>1351</v>
      </c>
      <c r="I202" s="0" t="s">
        <v>1352</v>
      </c>
      <c r="J202" s="0" t="s">
        <v>1353</v>
      </c>
      <c r="K202" s="0" t="s">
        <v>49</v>
      </c>
      <c r="L202" s="0" t="s">
        <v>49</v>
      </c>
      <c r="M202" s="0" t="str">
        <f aca="false">HYPERLINK("https://www.genecards.org/Search/Keyword?queryString=%5Baliases%5D(%20MUC16%20)&amp;keywords=MUC16", "MUC16")</f>
        <v>MUC16</v>
      </c>
      <c r="N202" s="0" t="s">
        <v>45</v>
      </c>
      <c r="O202" s="0" t="s">
        <v>539</v>
      </c>
      <c r="P202" s="0" t="s">
        <v>1354</v>
      </c>
      <c r="Q202" s="0" t="n">
        <v>-1</v>
      </c>
      <c r="R202" s="0" t="n">
        <v>-1</v>
      </c>
      <c r="S202" s="0" t="n">
        <v>-1</v>
      </c>
      <c r="T202" s="0" t="n">
        <v>-1</v>
      </c>
      <c r="U202" s="0" t="n">
        <v>-1</v>
      </c>
      <c r="V202" s="0" t="s">
        <v>49</v>
      </c>
      <c r="W202" s="0" t="s">
        <v>49</v>
      </c>
      <c r="X202" s="0" t="s">
        <v>49</v>
      </c>
      <c r="Y202" s="0" t="s">
        <v>49</v>
      </c>
      <c r="Z202" s="0" t="s">
        <v>49</v>
      </c>
      <c r="AA202" s="0" t="s">
        <v>49</v>
      </c>
      <c r="AB202" s="0" t="s">
        <v>49</v>
      </c>
      <c r="AC202" s="0" t="s">
        <v>53</v>
      </c>
      <c r="AD202" s="0" t="s">
        <v>209</v>
      </c>
      <c r="AE202" s="0" t="s">
        <v>49</v>
      </c>
      <c r="AF202" s="0" t="s">
        <v>1349</v>
      </c>
      <c r="AG202" s="0" t="s">
        <v>1350</v>
      </c>
      <c r="AH202" s="0" t="s">
        <v>49</v>
      </c>
      <c r="AI202" s="0" t="s">
        <v>49</v>
      </c>
      <c r="AJ202" s="0" t="s">
        <v>49</v>
      </c>
      <c r="AK202" s="0" t="s">
        <v>49</v>
      </c>
      <c r="AL202" s="0" t="s">
        <v>49</v>
      </c>
    </row>
    <row r="203" customFormat="false" ht="15" hidden="false" customHeight="false" outlineLevel="0" collapsed="false">
      <c r="B203" s="0" t="str">
        <f aca="false">HYPERLINK("https://genome.ucsc.edu/cgi-bin/hgTracks?db=hg19&amp;position=chr19%3A10108154%2D10108154", "chr19:10108154")</f>
        <v>chr19:10108154</v>
      </c>
      <c r="C203" s="0" t="s">
        <v>143</v>
      </c>
      <c r="D203" s="0" t="n">
        <v>10108154</v>
      </c>
      <c r="E203" s="0" t="n">
        <v>10108154</v>
      </c>
      <c r="F203" s="0" t="s">
        <v>60</v>
      </c>
      <c r="G203" s="0" t="s">
        <v>39</v>
      </c>
      <c r="H203" s="0" t="s">
        <v>1355</v>
      </c>
      <c r="I203" s="0" t="s">
        <v>227</v>
      </c>
      <c r="J203" s="0" t="s">
        <v>1356</v>
      </c>
      <c r="K203" s="0" t="s">
        <v>49</v>
      </c>
      <c r="L203" s="0" t="str">
        <f aca="false">HYPERLINK("https://www.ncbi.nlm.nih.gov/snp/rs73007105", "rs73007105")</f>
        <v>rs73007105</v>
      </c>
      <c r="M203" s="0" t="str">
        <f aca="false">HYPERLINK("https://www.genecards.org/Search/Keyword?queryString=%5Baliases%5D(%20COL5A3%20)&amp;keywords=COL5A3", "COL5A3")</f>
        <v>COL5A3</v>
      </c>
      <c r="N203" s="0" t="s">
        <v>510</v>
      </c>
      <c r="O203" s="0" t="s">
        <v>49</v>
      </c>
      <c r="P203" s="0" t="s">
        <v>49</v>
      </c>
      <c r="Q203" s="0" t="n">
        <v>0.0268</v>
      </c>
      <c r="R203" s="0" t="n">
        <v>0.0145</v>
      </c>
      <c r="S203" s="0" t="n">
        <v>0.0146</v>
      </c>
      <c r="T203" s="0" t="n">
        <v>-1</v>
      </c>
      <c r="U203" s="0" t="n">
        <v>0.0178</v>
      </c>
      <c r="V203" s="0" t="s">
        <v>49</v>
      </c>
      <c r="W203" s="0" t="s">
        <v>49</v>
      </c>
      <c r="X203" s="0" t="s">
        <v>517</v>
      </c>
      <c r="Y203" s="0" t="s">
        <v>219</v>
      </c>
      <c r="Z203" s="0" t="s">
        <v>49</v>
      </c>
      <c r="AA203" s="0" t="s">
        <v>49</v>
      </c>
      <c r="AB203" s="0" t="s">
        <v>49</v>
      </c>
      <c r="AC203" s="0" t="s">
        <v>53</v>
      </c>
      <c r="AD203" s="0" t="s">
        <v>54</v>
      </c>
      <c r="AE203" s="0" t="s">
        <v>1357</v>
      </c>
      <c r="AF203" s="0" t="s">
        <v>1358</v>
      </c>
      <c r="AG203" s="0" t="s">
        <v>1359</v>
      </c>
      <c r="AH203" s="0" t="s">
        <v>49</v>
      </c>
      <c r="AI203" s="0" t="s">
        <v>49</v>
      </c>
      <c r="AJ203" s="0" t="s">
        <v>49</v>
      </c>
      <c r="AK203" s="0" t="s">
        <v>49</v>
      </c>
      <c r="AL203" s="0" t="s">
        <v>49</v>
      </c>
    </row>
    <row r="204" customFormat="false" ht="15" hidden="false" customHeight="false" outlineLevel="0" collapsed="false">
      <c r="B204" s="0" t="str">
        <f aca="false">HYPERLINK("https://genome.ucsc.edu/cgi-bin/hgTracks?db=hg19&amp;position=chr19%3A10428510%2D10428510", "chr19:10428510")</f>
        <v>chr19:10428510</v>
      </c>
      <c r="C204" s="0" t="s">
        <v>143</v>
      </c>
      <c r="D204" s="0" t="n">
        <v>10428510</v>
      </c>
      <c r="E204" s="0" t="n">
        <v>10428510</v>
      </c>
      <c r="F204" s="0" t="s">
        <v>39</v>
      </c>
      <c r="G204" s="0" t="s">
        <v>40</v>
      </c>
      <c r="H204" s="0" t="s">
        <v>1360</v>
      </c>
      <c r="I204" s="0" t="s">
        <v>1312</v>
      </c>
      <c r="J204" s="0" t="s">
        <v>1361</v>
      </c>
      <c r="K204" s="0" t="s">
        <v>49</v>
      </c>
      <c r="L204" s="0" t="str">
        <f aca="false">HYPERLINK("https://www.ncbi.nlm.nih.gov/snp/rs892924730", "rs892924730")</f>
        <v>rs892924730</v>
      </c>
      <c r="M204" s="0" t="str">
        <f aca="false">HYPERLINK("https://www.genecards.org/Search/Keyword?queryString=%5Baliases%5D(%20RAVER1%20)&amp;keywords=RAVER1", "RAVER1")</f>
        <v>RAVER1</v>
      </c>
      <c r="N204" s="0" t="s">
        <v>510</v>
      </c>
      <c r="O204" s="0" t="s">
        <v>49</v>
      </c>
      <c r="P204" s="0" t="s">
        <v>49</v>
      </c>
      <c r="Q204" s="0" t="n">
        <v>0.000883</v>
      </c>
      <c r="R204" s="0" t="n">
        <v>0.0005</v>
      </c>
      <c r="S204" s="0" t="n">
        <v>0.0004</v>
      </c>
      <c r="T204" s="0" t="n">
        <v>-1</v>
      </c>
      <c r="U204" s="0" t="n">
        <v>-1</v>
      </c>
      <c r="V204" s="0" t="s">
        <v>49</v>
      </c>
      <c r="W204" s="0" t="s">
        <v>49</v>
      </c>
      <c r="X204" s="0" t="s">
        <v>333</v>
      </c>
      <c r="Y204" s="0" t="s">
        <v>219</v>
      </c>
      <c r="Z204" s="0" t="s">
        <v>49</v>
      </c>
      <c r="AA204" s="0" t="s">
        <v>49</v>
      </c>
      <c r="AB204" s="0" t="s">
        <v>49</v>
      </c>
      <c r="AC204" s="0" t="s">
        <v>53</v>
      </c>
      <c r="AD204" s="0" t="s">
        <v>54</v>
      </c>
      <c r="AE204" s="0" t="s">
        <v>1362</v>
      </c>
      <c r="AF204" s="0" t="s">
        <v>1363</v>
      </c>
      <c r="AG204" s="0" t="s">
        <v>1364</v>
      </c>
      <c r="AH204" s="0" t="s">
        <v>49</v>
      </c>
      <c r="AI204" s="0" t="s">
        <v>49</v>
      </c>
      <c r="AJ204" s="0" t="s">
        <v>49</v>
      </c>
      <c r="AK204" s="0" t="s">
        <v>49</v>
      </c>
      <c r="AL204" s="0" t="s">
        <v>49</v>
      </c>
    </row>
    <row r="205" customFormat="false" ht="15" hidden="false" customHeight="false" outlineLevel="0" collapsed="false">
      <c r="B205" s="0" t="str">
        <f aca="false">HYPERLINK("https://genome.ucsc.edu/cgi-bin/hgTracks?db=hg19&amp;position=chr19%3A20981871%2D20981871", "chr19:20981871")</f>
        <v>chr19:20981871</v>
      </c>
      <c r="C205" s="0" t="s">
        <v>143</v>
      </c>
      <c r="D205" s="0" t="n">
        <v>20981871</v>
      </c>
      <c r="E205" s="0" t="n">
        <v>20981871</v>
      </c>
      <c r="F205" s="0" t="s">
        <v>39</v>
      </c>
      <c r="G205" s="0" t="s">
        <v>190</v>
      </c>
      <c r="H205" s="0" t="s">
        <v>1365</v>
      </c>
      <c r="I205" s="0" t="s">
        <v>1232</v>
      </c>
      <c r="J205" s="0" t="s">
        <v>1233</v>
      </c>
      <c r="K205" s="0" t="s">
        <v>49</v>
      </c>
      <c r="L205" s="0" t="str">
        <f aca="false">HYPERLINK("https://www.ncbi.nlm.nih.gov/snp/rs74172370", "rs74172370")</f>
        <v>rs74172370</v>
      </c>
      <c r="M205" s="0" t="str">
        <f aca="false">HYPERLINK("https://www.genecards.org/Search/Keyword?queryString=%5Baliases%5D(%20ZNF66%20)&amp;keywords=ZNF66", "ZNF66")</f>
        <v>ZNF66</v>
      </c>
      <c r="N205" s="0" t="s">
        <v>1366</v>
      </c>
      <c r="O205" s="0" t="s">
        <v>205</v>
      </c>
      <c r="P205" s="0" t="s">
        <v>1367</v>
      </c>
      <c r="Q205" s="0" t="n">
        <v>0.0037</v>
      </c>
      <c r="R205" s="0" t="n">
        <v>0.0021</v>
      </c>
      <c r="S205" s="0" t="n">
        <v>0.0008</v>
      </c>
      <c r="T205" s="0" t="n">
        <v>-1</v>
      </c>
      <c r="U205" s="0" t="n">
        <v>0.0024</v>
      </c>
      <c r="V205" s="0" t="s">
        <v>49</v>
      </c>
      <c r="W205" s="0" t="s">
        <v>49</v>
      </c>
      <c r="X205" s="0" t="s">
        <v>49</v>
      </c>
      <c r="Y205" s="0" t="s">
        <v>49</v>
      </c>
      <c r="Z205" s="0" t="s">
        <v>49</v>
      </c>
      <c r="AA205" s="0" t="s">
        <v>49</v>
      </c>
      <c r="AB205" s="0" t="s">
        <v>49</v>
      </c>
      <c r="AC205" s="0" t="s">
        <v>53</v>
      </c>
      <c r="AD205" s="0" t="s">
        <v>54</v>
      </c>
      <c r="AE205" s="0" t="s">
        <v>1368</v>
      </c>
      <c r="AF205" s="0" t="s">
        <v>1369</v>
      </c>
      <c r="AG205" s="0" t="s">
        <v>1370</v>
      </c>
      <c r="AH205" s="0" t="s">
        <v>49</v>
      </c>
      <c r="AI205" s="0" t="s">
        <v>49</v>
      </c>
      <c r="AJ205" s="0" t="s">
        <v>49</v>
      </c>
      <c r="AK205" s="0" t="s">
        <v>49</v>
      </c>
      <c r="AL205" s="0" t="s">
        <v>49</v>
      </c>
    </row>
    <row r="206" customFormat="false" ht="15" hidden="false" customHeight="false" outlineLevel="0" collapsed="false">
      <c r="B206" s="0" t="str">
        <f aca="false">HYPERLINK("https://genome.ucsc.edu/cgi-bin/hgTracks?db=hg19&amp;position=chr19%3A21909774%2D21909774", "chr19:21909774")</f>
        <v>chr19:21909774</v>
      </c>
      <c r="C206" s="0" t="s">
        <v>143</v>
      </c>
      <c r="D206" s="0" t="n">
        <v>21909774</v>
      </c>
      <c r="E206" s="0" t="n">
        <v>21909774</v>
      </c>
      <c r="F206" s="0" t="s">
        <v>190</v>
      </c>
      <c r="G206" s="0" t="s">
        <v>1371</v>
      </c>
      <c r="H206" s="0" t="s">
        <v>1372</v>
      </c>
      <c r="I206" s="0" t="s">
        <v>100</v>
      </c>
      <c r="J206" s="0" t="s">
        <v>1373</v>
      </c>
      <c r="K206" s="0" t="s">
        <v>49</v>
      </c>
      <c r="L206" s="0" t="str">
        <f aca="false">HYPERLINK("https://www.ncbi.nlm.nih.gov/snp/rs752633317", "rs752633317")</f>
        <v>rs752633317</v>
      </c>
      <c r="M206" s="0" t="str">
        <f aca="false">HYPERLINK("https://www.genecards.org/Search/Keyword?queryString=%5Baliases%5D(%20ZNF100%20)&amp;keywords=ZNF100", "ZNF100")</f>
        <v>ZNF100</v>
      </c>
      <c r="N206" s="0" t="s">
        <v>45</v>
      </c>
      <c r="O206" s="0" t="s">
        <v>259</v>
      </c>
      <c r="P206" s="0" t="s">
        <v>1374</v>
      </c>
      <c r="Q206" s="0" t="n">
        <v>0.0014</v>
      </c>
      <c r="R206" s="0" t="n">
        <v>0.0013</v>
      </c>
      <c r="S206" s="0" t="n">
        <v>0.001</v>
      </c>
      <c r="T206" s="0" t="n">
        <v>-1</v>
      </c>
      <c r="U206" s="0" t="n">
        <v>0.0013</v>
      </c>
      <c r="V206" s="0" t="s">
        <v>49</v>
      </c>
      <c r="W206" s="0" t="s">
        <v>49</v>
      </c>
      <c r="X206" s="0" t="s">
        <v>49</v>
      </c>
      <c r="Y206" s="0" t="s">
        <v>49</v>
      </c>
      <c r="Z206" s="0" t="s">
        <v>49</v>
      </c>
      <c r="AA206" s="0" t="s">
        <v>49</v>
      </c>
      <c r="AB206" s="0" t="s">
        <v>49</v>
      </c>
      <c r="AC206" s="0" t="s">
        <v>53</v>
      </c>
      <c r="AD206" s="0" t="s">
        <v>54</v>
      </c>
      <c r="AE206" s="0" t="s">
        <v>1375</v>
      </c>
      <c r="AF206" s="0" t="s">
        <v>1376</v>
      </c>
      <c r="AG206" s="0" t="s">
        <v>794</v>
      </c>
      <c r="AH206" s="0" t="s">
        <v>49</v>
      </c>
      <c r="AI206" s="0" t="s">
        <v>49</v>
      </c>
      <c r="AJ206" s="0" t="s">
        <v>49</v>
      </c>
      <c r="AK206" s="0" t="s">
        <v>49</v>
      </c>
      <c r="AL206" s="0" t="s">
        <v>120</v>
      </c>
    </row>
    <row r="207" customFormat="false" ht="15" hidden="false" customHeight="false" outlineLevel="0" collapsed="false">
      <c r="B207" s="0" t="str">
        <f aca="false">HYPERLINK("https://genome.ucsc.edu/cgi-bin/hgTracks?db=hg19&amp;position=chr19%3A32851306%2D32851306", "chr19:32851306")</f>
        <v>chr19:32851306</v>
      </c>
      <c r="C207" s="0" t="s">
        <v>143</v>
      </c>
      <c r="D207" s="0" t="n">
        <v>32851306</v>
      </c>
      <c r="E207" s="0" t="n">
        <v>32851306</v>
      </c>
      <c r="F207" s="0" t="s">
        <v>40</v>
      </c>
      <c r="G207" s="0" t="s">
        <v>60</v>
      </c>
      <c r="H207" s="0" t="s">
        <v>1377</v>
      </c>
      <c r="I207" s="0" t="s">
        <v>1215</v>
      </c>
      <c r="J207" s="0" t="s">
        <v>1378</v>
      </c>
      <c r="K207" s="0" t="s">
        <v>49</v>
      </c>
      <c r="L207" s="0" t="str">
        <f aca="false">HYPERLINK("https://www.ncbi.nlm.nih.gov/snp/rs149398225", "rs149398225")</f>
        <v>rs149398225</v>
      </c>
      <c r="M207" s="0" t="str">
        <f aca="false">HYPERLINK("https://www.genecards.org/Search/Keyword?queryString=%5Baliases%5D(%20ZNF507%20)&amp;keywords=ZNF507", "ZNF507")</f>
        <v>ZNF507</v>
      </c>
      <c r="N207" s="0" t="s">
        <v>510</v>
      </c>
      <c r="O207" s="0" t="s">
        <v>49</v>
      </c>
      <c r="P207" s="0" t="s">
        <v>49</v>
      </c>
      <c r="Q207" s="0" t="n">
        <v>0.0294</v>
      </c>
      <c r="R207" s="0" t="n">
        <v>0.0344</v>
      </c>
      <c r="S207" s="0" t="n">
        <v>0.0289</v>
      </c>
      <c r="T207" s="0" t="n">
        <v>-1</v>
      </c>
      <c r="U207" s="0" t="n">
        <v>0.0448</v>
      </c>
      <c r="V207" s="0" t="s">
        <v>49</v>
      </c>
      <c r="W207" s="0" t="s">
        <v>49</v>
      </c>
      <c r="X207" s="0" t="s">
        <v>333</v>
      </c>
      <c r="Y207" s="0" t="s">
        <v>219</v>
      </c>
      <c r="Z207" s="0" t="s">
        <v>49</v>
      </c>
      <c r="AA207" s="0" t="s">
        <v>49</v>
      </c>
      <c r="AB207" s="0" t="s">
        <v>49</v>
      </c>
      <c r="AC207" s="0" t="s">
        <v>53</v>
      </c>
      <c r="AD207" s="0" t="s">
        <v>54</v>
      </c>
      <c r="AE207" s="0" t="s">
        <v>1379</v>
      </c>
      <c r="AF207" s="0" t="s">
        <v>1380</v>
      </c>
      <c r="AG207" s="0" t="s">
        <v>794</v>
      </c>
      <c r="AH207" s="0" t="s">
        <v>49</v>
      </c>
      <c r="AI207" s="0" t="s">
        <v>49</v>
      </c>
      <c r="AJ207" s="0" t="s">
        <v>49</v>
      </c>
      <c r="AK207" s="0" t="s">
        <v>49</v>
      </c>
      <c r="AL207" s="0" t="s">
        <v>49</v>
      </c>
    </row>
    <row r="208" customFormat="false" ht="15" hidden="false" customHeight="false" outlineLevel="0" collapsed="false">
      <c r="B208" s="0" t="str">
        <f aca="false">HYPERLINK("https://genome.ucsc.edu/cgi-bin/hgTracks?db=hg19&amp;position=chr19%3A36037765%2D36037765", "chr19:36037765")</f>
        <v>chr19:36037765</v>
      </c>
      <c r="C208" s="0" t="s">
        <v>143</v>
      </c>
      <c r="D208" s="0" t="n">
        <v>36037765</v>
      </c>
      <c r="E208" s="0" t="n">
        <v>36037765</v>
      </c>
      <c r="F208" s="0" t="s">
        <v>60</v>
      </c>
      <c r="G208" s="0" t="s">
        <v>61</v>
      </c>
      <c r="H208" s="0" t="s">
        <v>1381</v>
      </c>
      <c r="I208" s="0" t="s">
        <v>804</v>
      </c>
      <c r="J208" s="0" t="s">
        <v>1382</v>
      </c>
      <c r="K208" s="0" t="s">
        <v>49</v>
      </c>
      <c r="L208" s="0" t="str">
        <f aca="false">HYPERLINK("https://www.ncbi.nlm.nih.gov/snp/rs867460839", "rs867460839")</f>
        <v>rs867460839</v>
      </c>
      <c r="M208" s="0" t="str">
        <f aca="false">HYPERLINK("https://www.genecards.org/Search/Keyword?queryString=%5Baliases%5D(%20TMEM147%20)&amp;keywords=TMEM147", "TMEM147")</f>
        <v>TMEM147</v>
      </c>
      <c r="N208" s="0" t="s">
        <v>510</v>
      </c>
      <c r="O208" s="0" t="s">
        <v>49</v>
      </c>
      <c r="P208" s="0" t="s">
        <v>49</v>
      </c>
      <c r="Q208" s="0" t="n">
        <v>-1</v>
      </c>
      <c r="R208" s="0" t="n">
        <v>-1</v>
      </c>
      <c r="S208" s="0" t="n">
        <v>-1</v>
      </c>
      <c r="T208" s="0" t="n">
        <v>-1</v>
      </c>
      <c r="U208" s="0" t="n">
        <v>-1</v>
      </c>
      <c r="V208" s="0" t="s">
        <v>49</v>
      </c>
      <c r="W208" s="0" t="s">
        <v>49</v>
      </c>
      <c r="X208" s="0" t="s">
        <v>333</v>
      </c>
      <c r="Y208" s="0" t="s">
        <v>219</v>
      </c>
      <c r="Z208" s="0" t="s">
        <v>49</v>
      </c>
      <c r="AA208" s="0" t="s">
        <v>49</v>
      </c>
      <c r="AB208" s="0" t="s">
        <v>49</v>
      </c>
      <c r="AC208" s="0" t="s">
        <v>53</v>
      </c>
      <c r="AD208" s="0" t="s">
        <v>54</v>
      </c>
      <c r="AE208" s="0" t="s">
        <v>1383</v>
      </c>
      <c r="AF208" s="0" t="s">
        <v>1384</v>
      </c>
      <c r="AG208" s="0" t="s">
        <v>49</v>
      </c>
      <c r="AH208" s="0" t="s">
        <v>49</v>
      </c>
      <c r="AI208" s="0" t="s">
        <v>49</v>
      </c>
      <c r="AJ208" s="0" t="s">
        <v>49</v>
      </c>
      <c r="AK208" s="0" t="s">
        <v>49</v>
      </c>
      <c r="AL208" s="0" t="s">
        <v>49</v>
      </c>
    </row>
    <row r="209" customFormat="false" ht="15" hidden="false" customHeight="false" outlineLevel="0" collapsed="false">
      <c r="B209" s="0" t="str">
        <f aca="false">HYPERLINK("https://genome.ucsc.edu/cgi-bin/hgTracks?db=hg19&amp;position=chr19%3A37398753%2D37398753", "chr19:37398753")</f>
        <v>chr19:37398753</v>
      </c>
      <c r="C209" s="0" t="s">
        <v>143</v>
      </c>
      <c r="D209" s="0" t="n">
        <v>37398753</v>
      </c>
      <c r="E209" s="0" t="n">
        <v>37398753</v>
      </c>
      <c r="F209" s="0" t="s">
        <v>40</v>
      </c>
      <c r="G209" s="0" t="s">
        <v>39</v>
      </c>
      <c r="H209" s="0" t="s">
        <v>1385</v>
      </c>
      <c r="I209" s="0" t="s">
        <v>1386</v>
      </c>
      <c r="J209" s="0" t="s">
        <v>1387</v>
      </c>
      <c r="K209" s="0" t="s">
        <v>49</v>
      </c>
      <c r="L209" s="0" t="str">
        <f aca="false">HYPERLINK("https://www.ncbi.nlm.nih.gov/snp/rs115305220", "rs115305220")</f>
        <v>rs115305220</v>
      </c>
      <c r="M209" s="0" t="str">
        <f aca="false">HYPERLINK("https://www.genecards.org/Search/Keyword?queryString=%5Baliases%5D(%20ZNF829%20)&amp;keywords=ZNF829", "ZNF829")</f>
        <v>ZNF829</v>
      </c>
      <c r="N209" s="0" t="s">
        <v>1388</v>
      </c>
      <c r="O209" s="0" t="s">
        <v>49</v>
      </c>
      <c r="P209" s="0" t="s">
        <v>1389</v>
      </c>
      <c r="Q209" s="0" t="n">
        <v>0.0275</v>
      </c>
      <c r="R209" s="0" t="n">
        <v>0.0126</v>
      </c>
      <c r="S209" s="0" t="n">
        <v>0.0125</v>
      </c>
      <c r="T209" s="0" t="n">
        <v>-1</v>
      </c>
      <c r="U209" s="0" t="n">
        <v>0.0137</v>
      </c>
      <c r="V209" s="0" t="s">
        <v>49</v>
      </c>
      <c r="W209" s="0" t="s">
        <v>49</v>
      </c>
      <c r="X209" s="0" t="s">
        <v>517</v>
      </c>
      <c r="Y209" s="0" t="s">
        <v>219</v>
      </c>
      <c r="Z209" s="0" t="s">
        <v>49</v>
      </c>
      <c r="AA209" s="0" t="s">
        <v>49</v>
      </c>
      <c r="AB209" s="0" t="s">
        <v>49</v>
      </c>
      <c r="AC209" s="0" t="s">
        <v>53</v>
      </c>
      <c r="AD209" s="0" t="s">
        <v>54</v>
      </c>
      <c r="AE209" s="0" t="s">
        <v>1390</v>
      </c>
      <c r="AF209" s="0" t="s">
        <v>1391</v>
      </c>
      <c r="AG209" s="0" t="s">
        <v>794</v>
      </c>
      <c r="AH209" s="0" t="s">
        <v>49</v>
      </c>
      <c r="AI209" s="0" t="s">
        <v>49</v>
      </c>
      <c r="AJ209" s="0" t="s">
        <v>49</v>
      </c>
      <c r="AK209" s="0" t="s">
        <v>49</v>
      </c>
      <c r="AL209" s="0" t="s">
        <v>49</v>
      </c>
    </row>
    <row r="210" customFormat="false" ht="15" hidden="false" customHeight="false" outlineLevel="0" collapsed="false">
      <c r="B210" s="0" t="str">
        <f aca="false">HYPERLINK("https://genome.ucsc.edu/cgi-bin/hgTracks?db=hg19&amp;position=chr19%3A39395634%2D39395634", "chr19:39395634")</f>
        <v>chr19:39395634</v>
      </c>
      <c r="C210" s="0" t="s">
        <v>143</v>
      </c>
      <c r="D210" s="0" t="n">
        <v>39395634</v>
      </c>
      <c r="E210" s="0" t="n">
        <v>39395634</v>
      </c>
      <c r="F210" s="0" t="s">
        <v>39</v>
      </c>
      <c r="G210" s="0" t="s">
        <v>60</v>
      </c>
      <c r="H210" s="0" t="s">
        <v>1392</v>
      </c>
      <c r="I210" s="0" t="s">
        <v>193</v>
      </c>
      <c r="J210" s="0" t="s">
        <v>1393</v>
      </c>
      <c r="K210" s="0" t="s">
        <v>49</v>
      </c>
      <c r="L210" s="0" t="str">
        <f aca="false">HYPERLINK("https://www.ncbi.nlm.nih.gov/snp/rs111943225", "rs111943225")</f>
        <v>rs111943225</v>
      </c>
      <c r="M210" s="0" t="str">
        <f aca="false">HYPERLINK("https://www.genecards.org/Search/Keyword?queryString=%5Baliases%5D(%20NFKBIB%20)&amp;keywords=NFKBIB", "NFKBIB")</f>
        <v>NFKBIB</v>
      </c>
      <c r="N210" s="0" t="s">
        <v>510</v>
      </c>
      <c r="O210" s="0" t="s">
        <v>49</v>
      </c>
      <c r="P210" s="0" t="s">
        <v>49</v>
      </c>
      <c r="Q210" s="0" t="n">
        <v>0.0099</v>
      </c>
      <c r="R210" s="0" t="n">
        <v>0.0086</v>
      </c>
      <c r="S210" s="0" t="n">
        <v>0.0083</v>
      </c>
      <c r="T210" s="0" t="n">
        <v>-1</v>
      </c>
      <c r="U210" s="0" t="n">
        <v>0.0109</v>
      </c>
      <c r="V210" s="0" t="s">
        <v>49</v>
      </c>
      <c r="W210" s="0" t="s">
        <v>49</v>
      </c>
      <c r="X210" s="0" t="s">
        <v>517</v>
      </c>
      <c r="Y210" s="0" t="s">
        <v>219</v>
      </c>
      <c r="Z210" s="0" t="s">
        <v>49</v>
      </c>
      <c r="AA210" s="0" t="s">
        <v>49</v>
      </c>
      <c r="AB210" s="0" t="s">
        <v>49</v>
      </c>
      <c r="AC210" s="0" t="s">
        <v>53</v>
      </c>
      <c r="AD210" s="0" t="s">
        <v>54</v>
      </c>
      <c r="AE210" s="0" t="s">
        <v>1394</v>
      </c>
      <c r="AF210" s="0" t="s">
        <v>1395</v>
      </c>
      <c r="AG210" s="0" t="s">
        <v>1396</v>
      </c>
      <c r="AH210" s="0" t="s">
        <v>49</v>
      </c>
      <c r="AI210" s="0" t="s">
        <v>49</v>
      </c>
      <c r="AJ210" s="0" t="s">
        <v>49</v>
      </c>
      <c r="AK210" s="0" t="s">
        <v>49</v>
      </c>
      <c r="AL210" s="0" t="s">
        <v>49</v>
      </c>
    </row>
    <row r="211" customFormat="false" ht="15" hidden="false" customHeight="false" outlineLevel="0" collapsed="false">
      <c r="B211" s="0" t="str">
        <f aca="false">HYPERLINK("https://genome.ucsc.edu/cgi-bin/hgTracks?db=hg19&amp;position=chr19%3A41283050%2D41283050", "chr19:41283050")</f>
        <v>chr19:41283050</v>
      </c>
      <c r="C211" s="0" t="s">
        <v>143</v>
      </c>
      <c r="D211" s="0" t="n">
        <v>41283050</v>
      </c>
      <c r="E211" s="0" t="n">
        <v>41283050</v>
      </c>
      <c r="F211" s="0" t="s">
        <v>61</v>
      </c>
      <c r="G211" s="0" t="s">
        <v>60</v>
      </c>
      <c r="H211" s="0" t="s">
        <v>1397</v>
      </c>
      <c r="I211" s="0" t="s">
        <v>947</v>
      </c>
      <c r="J211" s="0" t="s">
        <v>1398</v>
      </c>
      <c r="K211" s="0" t="s">
        <v>49</v>
      </c>
      <c r="L211" s="0" t="s">
        <v>49</v>
      </c>
      <c r="M211" s="0" t="str">
        <f aca="false">HYPERLINK("https://www.genecards.org/Search/Keyword?queryString=%5Baliases%5D(%20MIA-RAB4B%20)&amp;keywords=MIA-RAB4B", "MIA-RAB4B")</f>
        <v>MIA-RAB4B</v>
      </c>
      <c r="N211" s="0" t="s">
        <v>283</v>
      </c>
      <c r="O211" s="0" t="s">
        <v>49</v>
      </c>
      <c r="P211" s="0" t="s">
        <v>49</v>
      </c>
      <c r="Q211" s="0" t="n">
        <v>-1</v>
      </c>
      <c r="R211" s="0" t="n">
        <v>-1</v>
      </c>
      <c r="S211" s="0" t="n">
        <v>-1</v>
      </c>
      <c r="T211" s="0" t="n">
        <v>-1</v>
      </c>
      <c r="U211" s="0" t="n">
        <v>-1</v>
      </c>
      <c r="V211" s="0" t="s">
        <v>49</v>
      </c>
      <c r="W211" s="0" t="s">
        <v>49</v>
      </c>
      <c r="X211" s="0" t="s">
        <v>517</v>
      </c>
      <c r="Y211" s="0" t="s">
        <v>219</v>
      </c>
      <c r="Z211" s="0" t="s">
        <v>49</v>
      </c>
      <c r="AA211" s="0" t="s">
        <v>49</v>
      </c>
      <c r="AB211" s="0" t="s">
        <v>49</v>
      </c>
      <c r="AC211" s="0" t="s">
        <v>53</v>
      </c>
      <c r="AD211" s="0" t="s">
        <v>54</v>
      </c>
      <c r="AE211" s="0" t="s">
        <v>49</v>
      </c>
      <c r="AF211" s="0" t="s">
        <v>1399</v>
      </c>
      <c r="AG211" s="0" t="s">
        <v>49</v>
      </c>
      <c r="AH211" s="0" t="s">
        <v>49</v>
      </c>
      <c r="AI211" s="0" t="s">
        <v>49</v>
      </c>
      <c r="AJ211" s="0" t="s">
        <v>49</v>
      </c>
      <c r="AK211" s="0" t="s">
        <v>49</v>
      </c>
      <c r="AL211" s="0" t="s">
        <v>49</v>
      </c>
    </row>
    <row r="212" customFormat="false" ht="15" hidden="false" customHeight="false" outlineLevel="0" collapsed="false">
      <c r="B212" s="0" t="str">
        <f aca="false">HYPERLINK("https://genome.ucsc.edu/cgi-bin/hgTracks?db=hg19&amp;position=chr19%3A46273484%2D46273507", "chr19:46273484")</f>
        <v>chr19:46273484</v>
      </c>
      <c r="C212" s="0" t="s">
        <v>143</v>
      </c>
      <c r="D212" s="0" t="n">
        <v>46273484</v>
      </c>
      <c r="E212" s="0" t="n">
        <v>46273507</v>
      </c>
      <c r="F212" s="0" t="s">
        <v>1400</v>
      </c>
      <c r="G212" s="0" t="s">
        <v>190</v>
      </c>
      <c r="H212" s="0" t="s">
        <v>1401</v>
      </c>
      <c r="I212" s="0" t="s">
        <v>1232</v>
      </c>
      <c r="J212" s="0" t="s">
        <v>1402</v>
      </c>
      <c r="K212" s="0" t="s">
        <v>49</v>
      </c>
      <c r="L212" s="0" t="s">
        <v>49</v>
      </c>
      <c r="M212" s="0" t="str">
        <f aca="false">HYPERLINK("https://www.genecards.org/Search/Keyword?queryString=%5Baliases%5D(%20DM1-AS%20)%20OR%20%5Baliases%5D(%20DMPK%20)&amp;keywords=DM1-AS,DMPK", "DM1-AS;DMPK")</f>
        <v>DM1-AS;DMPK</v>
      </c>
      <c r="N212" s="0" t="s">
        <v>229</v>
      </c>
      <c r="O212" s="0" t="s">
        <v>49</v>
      </c>
      <c r="P212" s="0" t="s">
        <v>1403</v>
      </c>
      <c r="Q212" s="0" t="n">
        <v>-1</v>
      </c>
      <c r="R212" s="0" t="n">
        <v>-1</v>
      </c>
      <c r="S212" s="0" t="n">
        <v>-1</v>
      </c>
      <c r="T212" s="0" t="n">
        <v>-1</v>
      </c>
      <c r="U212" s="0" t="n">
        <v>-1</v>
      </c>
      <c r="V212" s="0" t="s">
        <v>49</v>
      </c>
      <c r="W212" s="0" t="s">
        <v>49</v>
      </c>
      <c r="X212" s="0" t="s">
        <v>49</v>
      </c>
      <c r="Y212" s="0" t="s">
        <v>49</v>
      </c>
      <c r="Z212" s="0" t="s">
        <v>49</v>
      </c>
      <c r="AA212" s="0" t="s">
        <v>49</v>
      </c>
      <c r="AB212" s="0" t="s">
        <v>49</v>
      </c>
      <c r="AC212" s="0" t="s">
        <v>231</v>
      </c>
      <c r="AD212" s="0" t="s">
        <v>220</v>
      </c>
      <c r="AE212" s="0" t="s">
        <v>1404</v>
      </c>
      <c r="AF212" s="0" t="s">
        <v>1405</v>
      </c>
      <c r="AG212" s="0" t="s">
        <v>1406</v>
      </c>
      <c r="AH212" s="0" t="s">
        <v>1407</v>
      </c>
      <c r="AI212" s="0" t="s">
        <v>822</v>
      </c>
      <c r="AJ212" s="0" t="s">
        <v>49</v>
      </c>
      <c r="AK212" s="0" t="s">
        <v>49</v>
      </c>
      <c r="AL212" s="0" t="s">
        <v>49</v>
      </c>
    </row>
    <row r="213" customFormat="false" ht="15" hidden="false" customHeight="false" outlineLevel="0" collapsed="false">
      <c r="B213" s="0" t="str">
        <f aca="false">HYPERLINK("https://genome.ucsc.edu/cgi-bin/hgTracks?db=hg19&amp;position=chr19%3A47341949%2D47341949", "chr19:47341949")</f>
        <v>chr19:47341949</v>
      </c>
      <c r="C213" s="0" t="s">
        <v>143</v>
      </c>
      <c r="D213" s="0" t="n">
        <v>47341949</v>
      </c>
      <c r="E213" s="0" t="n">
        <v>47341949</v>
      </c>
      <c r="F213" s="0" t="s">
        <v>39</v>
      </c>
      <c r="G213" s="0" t="s">
        <v>40</v>
      </c>
      <c r="H213" s="0" t="s">
        <v>1408</v>
      </c>
      <c r="I213" s="0" t="s">
        <v>1409</v>
      </c>
      <c r="J213" s="0" t="s">
        <v>1410</v>
      </c>
      <c r="K213" s="0" t="s">
        <v>49</v>
      </c>
      <c r="L213" s="0" t="str">
        <f aca="false">HYPERLINK("https://www.ncbi.nlm.nih.gov/snp/rs200237364", "rs200237364")</f>
        <v>rs200237364</v>
      </c>
      <c r="M213" s="0" t="str">
        <f aca="false">HYPERLINK("https://www.genecards.org/Search/Keyword?queryString=%5Baliases%5D(%20AP2S1%20)&amp;keywords=AP2S1", "AP2S1")</f>
        <v>AP2S1</v>
      </c>
      <c r="N213" s="0" t="s">
        <v>510</v>
      </c>
      <c r="O213" s="0" t="s">
        <v>49</v>
      </c>
      <c r="P213" s="0" t="s">
        <v>49</v>
      </c>
      <c r="Q213" s="0" t="n">
        <v>0.021</v>
      </c>
      <c r="R213" s="0" t="n">
        <v>0.0154</v>
      </c>
      <c r="S213" s="0" t="n">
        <v>0.0122</v>
      </c>
      <c r="T213" s="0" t="n">
        <v>-1</v>
      </c>
      <c r="U213" s="0" t="n">
        <v>0.0255</v>
      </c>
      <c r="V213" s="0" t="s">
        <v>49</v>
      </c>
      <c r="W213" s="0" t="s">
        <v>49</v>
      </c>
      <c r="X213" s="0" t="s">
        <v>517</v>
      </c>
      <c r="Y213" s="0" t="s">
        <v>219</v>
      </c>
      <c r="Z213" s="0" t="s">
        <v>49</v>
      </c>
      <c r="AA213" s="0" t="s">
        <v>49</v>
      </c>
      <c r="AB213" s="0" t="s">
        <v>49</v>
      </c>
      <c r="AC213" s="0" t="s">
        <v>53</v>
      </c>
      <c r="AD213" s="0" t="s">
        <v>54</v>
      </c>
      <c r="AE213" s="0" t="s">
        <v>1411</v>
      </c>
      <c r="AF213" s="0" t="s">
        <v>1412</v>
      </c>
      <c r="AG213" s="0" t="s">
        <v>1413</v>
      </c>
      <c r="AH213" s="0" t="s">
        <v>1414</v>
      </c>
      <c r="AI213" s="0" t="s">
        <v>49</v>
      </c>
      <c r="AJ213" s="0" t="s">
        <v>49</v>
      </c>
      <c r="AK213" s="0" t="s">
        <v>49</v>
      </c>
      <c r="AL213" s="0" t="s">
        <v>120</v>
      </c>
    </row>
    <row r="214" customFormat="false" ht="15" hidden="false" customHeight="false" outlineLevel="0" collapsed="false">
      <c r="B214" s="0" t="str">
        <f aca="false">HYPERLINK("https://genome.ucsc.edu/cgi-bin/hgTracks?db=hg19&amp;position=chr19%3A49704098%2D49704098", "chr19:49704098")</f>
        <v>chr19:49704098</v>
      </c>
      <c r="C214" s="0" t="s">
        <v>143</v>
      </c>
      <c r="D214" s="0" t="n">
        <v>49704098</v>
      </c>
      <c r="E214" s="0" t="n">
        <v>49704098</v>
      </c>
      <c r="F214" s="0" t="s">
        <v>60</v>
      </c>
      <c r="G214" s="0" t="s">
        <v>61</v>
      </c>
      <c r="H214" s="0" t="s">
        <v>1415</v>
      </c>
      <c r="I214" s="0" t="s">
        <v>1416</v>
      </c>
      <c r="J214" s="0" t="s">
        <v>1417</v>
      </c>
      <c r="K214" s="0" t="s">
        <v>49</v>
      </c>
      <c r="L214" s="0" t="str">
        <f aca="false">HYPERLINK("https://www.ncbi.nlm.nih.gov/snp/rs750969563", "rs750969563")</f>
        <v>rs750969563</v>
      </c>
      <c r="M214" s="0" t="str">
        <f aca="false">HYPERLINK("https://www.genecards.org/Search/Keyword?queryString=%5Baliases%5D(%20TRPM4%20)&amp;keywords=TRPM4", "TRPM4")</f>
        <v>TRPM4</v>
      </c>
      <c r="N214" s="0" t="s">
        <v>510</v>
      </c>
      <c r="O214" s="0" t="s">
        <v>49</v>
      </c>
      <c r="P214" s="0" t="s">
        <v>49</v>
      </c>
      <c r="Q214" s="0" t="n">
        <v>0.000233388</v>
      </c>
      <c r="R214" s="0" t="n">
        <v>-1</v>
      </c>
      <c r="S214" s="0" t="n">
        <v>-1</v>
      </c>
      <c r="T214" s="0" t="n">
        <v>-1</v>
      </c>
      <c r="U214" s="0" t="n">
        <v>-1</v>
      </c>
      <c r="V214" s="0" t="s">
        <v>49</v>
      </c>
      <c r="W214" s="0" t="s">
        <v>49</v>
      </c>
      <c r="X214" s="0" t="s">
        <v>333</v>
      </c>
      <c r="Y214" s="0" t="s">
        <v>219</v>
      </c>
      <c r="Z214" s="0" t="s">
        <v>49</v>
      </c>
      <c r="AA214" s="0" t="s">
        <v>49</v>
      </c>
      <c r="AB214" s="0" t="s">
        <v>49</v>
      </c>
      <c r="AC214" s="0" t="s">
        <v>53</v>
      </c>
      <c r="AD214" s="0" t="s">
        <v>54</v>
      </c>
      <c r="AE214" s="0" t="s">
        <v>1418</v>
      </c>
      <c r="AF214" s="0" t="s">
        <v>1419</v>
      </c>
      <c r="AG214" s="0" t="s">
        <v>1420</v>
      </c>
      <c r="AH214" s="0" t="s">
        <v>1421</v>
      </c>
      <c r="AI214" s="0" t="s">
        <v>49</v>
      </c>
      <c r="AJ214" s="0" t="s">
        <v>49</v>
      </c>
      <c r="AK214" s="0" t="s">
        <v>49</v>
      </c>
      <c r="AL214" s="0" t="s">
        <v>49</v>
      </c>
    </row>
    <row r="215" customFormat="false" ht="15" hidden="false" customHeight="false" outlineLevel="0" collapsed="false">
      <c r="B215" s="0" t="str">
        <f aca="false">HYPERLINK("https://genome.ucsc.edu/cgi-bin/hgTracks?db=hg19&amp;position=chr19%3A50369787%2D50369787", "chr19:50369787")</f>
        <v>chr19:50369787</v>
      </c>
      <c r="C215" s="0" t="s">
        <v>143</v>
      </c>
      <c r="D215" s="0" t="n">
        <v>50369787</v>
      </c>
      <c r="E215" s="0" t="n">
        <v>50369787</v>
      </c>
      <c r="F215" s="0" t="s">
        <v>40</v>
      </c>
      <c r="G215" s="0" t="s">
        <v>39</v>
      </c>
      <c r="H215" s="0" t="s">
        <v>1422</v>
      </c>
      <c r="I215" s="0" t="s">
        <v>1423</v>
      </c>
      <c r="J215" s="0" t="s">
        <v>1424</v>
      </c>
      <c r="K215" s="0" t="s">
        <v>49</v>
      </c>
      <c r="L215" s="0" t="str">
        <f aca="false">HYPERLINK("https://www.ncbi.nlm.nih.gov/snp/rs3739172", "rs3739172")</f>
        <v>rs3739172</v>
      </c>
      <c r="M215" s="0" t="str">
        <f aca="false">HYPERLINK("https://www.genecards.org/Search/Keyword?queryString=%5Baliases%5D(%20PNKP%20)&amp;keywords=PNKP", "PNKP")</f>
        <v>PNKP</v>
      </c>
      <c r="N215" s="0" t="s">
        <v>1425</v>
      </c>
      <c r="O215" s="0" t="s">
        <v>49</v>
      </c>
      <c r="P215" s="0" t="s">
        <v>1426</v>
      </c>
      <c r="Q215" s="0" t="n">
        <v>0.0249392</v>
      </c>
      <c r="R215" s="0" t="n">
        <v>0.0186</v>
      </c>
      <c r="S215" s="0" t="n">
        <v>0.0187</v>
      </c>
      <c r="T215" s="0" t="n">
        <v>-1</v>
      </c>
      <c r="U215" s="0" t="n">
        <v>0.0159</v>
      </c>
      <c r="V215" s="0" t="s">
        <v>49</v>
      </c>
      <c r="W215" s="0" t="s">
        <v>40</v>
      </c>
      <c r="X215" s="0" t="s">
        <v>218</v>
      </c>
      <c r="Y215" s="0" t="s">
        <v>390</v>
      </c>
      <c r="Z215" s="0" t="s">
        <v>49</v>
      </c>
      <c r="AA215" s="0" t="s">
        <v>49</v>
      </c>
      <c r="AB215" s="0" t="s">
        <v>49</v>
      </c>
      <c r="AC215" s="0" t="s">
        <v>53</v>
      </c>
      <c r="AD215" s="0" t="s">
        <v>54</v>
      </c>
      <c r="AE215" s="0" t="s">
        <v>1427</v>
      </c>
      <c r="AF215" s="0" t="s">
        <v>1428</v>
      </c>
      <c r="AG215" s="0" t="s">
        <v>1429</v>
      </c>
      <c r="AH215" s="0" t="s">
        <v>1430</v>
      </c>
      <c r="AI215" s="0" t="s">
        <v>49</v>
      </c>
      <c r="AJ215" s="0" t="s">
        <v>49</v>
      </c>
      <c r="AK215" s="0" t="s">
        <v>49</v>
      </c>
      <c r="AL215" s="0" t="s">
        <v>49</v>
      </c>
    </row>
    <row r="216" customFormat="false" ht="15" hidden="false" customHeight="false" outlineLevel="0" collapsed="false">
      <c r="B216" s="0" t="str">
        <f aca="false">HYPERLINK("https://genome.ucsc.edu/cgi-bin/hgTracks?db=hg19&amp;position=chr19%3A54698081%2D54698082", "chr19:54698081")</f>
        <v>chr19:54698081</v>
      </c>
      <c r="C216" s="0" t="s">
        <v>143</v>
      </c>
      <c r="D216" s="0" t="n">
        <v>54698081</v>
      </c>
      <c r="E216" s="0" t="n">
        <v>54698082</v>
      </c>
      <c r="F216" s="0" t="s">
        <v>1431</v>
      </c>
      <c r="G216" s="0" t="s">
        <v>190</v>
      </c>
      <c r="H216" s="0" t="s">
        <v>1432</v>
      </c>
      <c r="I216" s="0" t="s">
        <v>1433</v>
      </c>
      <c r="J216" s="0" t="s">
        <v>1434</v>
      </c>
      <c r="K216" s="0" t="s">
        <v>49</v>
      </c>
      <c r="L216" s="0" t="str">
        <f aca="false">HYPERLINK("https://www.ncbi.nlm.nih.gov/snp/rs139312527", "rs139312527")</f>
        <v>rs139312527</v>
      </c>
      <c r="M216" s="0" t="str">
        <f aca="false">HYPERLINK("https://www.genecards.org/Search/Keyword?queryString=%5Baliases%5D(%20TSEN34%20)&amp;keywords=TSEN34", "TSEN34")</f>
        <v>TSEN34</v>
      </c>
      <c r="N216" s="0" t="s">
        <v>240</v>
      </c>
      <c r="O216" s="0" t="s">
        <v>49</v>
      </c>
      <c r="P216" s="0" t="s">
        <v>1435</v>
      </c>
      <c r="Q216" s="0" t="n">
        <v>0.013255</v>
      </c>
      <c r="R216" s="0" t="n">
        <v>0.0066</v>
      </c>
      <c r="S216" s="0" t="n">
        <v>0.0022</v>
      </c>
      <c r="T216" s="0" t="n">
        <v>-1</v>
      </c>
      <c r="U216" s="0" t="n">
        <v>0.0071</v>
      </c>
      <c r="V216" s="0" t="s">
        <v>49</v>
      </c>
      <c r="W216" s="0" t="s">
        <v>49</v>
      </c>
      <c r="X216" s="0" t="s">
        <v>49</v>
      </c>
      <c r="Y216" s="0" t="s">
        <v>49</v>
      </c>
      <c r="Z216" s="0" t="s">
        <v>49</v>
      </c>
      <c r="AA216" s="0" t="s">
        <v>49</v>
      </c>
      <c r="AB216" s="0" t="s">
        <v>49</v>
      </c>
      <c r="AC216" s="0" t="s">
        <v>53</v>
      </c>
      <c r="AD216" s="0" t="s">
        <v>54</v>
      </c>
      <c r="AE216" s="0" t="s">
        <v>1436</v>
      </c>
      <c r="AF216" s="0" t="s">
        <v>1437</v>
      </c>
      <c r="AG216" s="0" t="s">
        <v>1438</v>
      </c>
      <c r="AH216" s="0" t="s">
        <v>1439</v>
      </c>
      <c r="AI216" s="0" t="s">
        <v>49</v>
      </c>
      <c r="AJ216" s="0" t="s">
        <v>49</v>
      </c>
      <c r="AK216" s="0" t="s">
        <v>49</v>
      </c>
      <c r="AL216" s="0" t="s">
        <v>49</v>
      </c>
    </row>
    <row r="217" customFormat="false" ht="15" hidden="false" customHeight="false" outlineLevel="0" collapsed="false">
      <c r="B217" s="0" t="str">
        <f aca="false">HYPERLINK("https://genome.ucsc.edu/cgi-bin/hgTracks?db=hg19&amp;position=chr19%3A55251011%2D55251011", "chr19:55251011")</f>
        <v>chr19:55251011</v>
      </c>
      <c r="C217" s="0" t="s">
        <v>143</v>
      </c>
      <c r="D217" s="0" t="n">
        <v>55251011</v>
      </c>
      <c r="E217" s="0" t="n">
        <v>55251011</v>
      </c>
      <c r="F217" s="0" t="s">
        <v>60</v>
      </c>
      <c r="G217" s="0" t="s">
        <v>61</v>
      </c>
      <c r="H217" s="0" t="s">
        <v>1440</v>
      </c>
      <c r="I217" s="0" t="s">
        <v>1441</v>
      </c>
      <c r="J217" s="0" t="s">
        <v>1442</v>
      </c>
      <c r="K217" s="0" t="s">
        <v>49</v>
      </c>
      <c r="L217" s="0" t="str">
        <f aca="false">HYPERLINK("https://www.ncbi.nlm.nih.gov/snp/rs752059971", "rs752059971")</f>
        <v>rs752059971</v>
      </c>
      <c r="M217" s="0" t="str">
        <f aca="false">HYPERLINK("https://www.genecards.org/Search/Keyword?queryString=%5Baliases%5D(%20KIR2DL1%20)%20OR%20%5Baliases%5D(%20KIR2DL3%20)&amp;keywords=KIR2DL1,KIR2DL3", "KIR2DL1;KIR2DL3")</f>
        <v>KIR2DL1;KIR2DL3</v>
      </c>
      <c r="N217" s="0" t="s">
        <v>283</v>
      </c>
      <c r="O217" s="0" t="s">
        <v>49</v>
      </c>
      <c r="P217" s="0" t="s">
        <v>49</v>
      </c>
      <c r="Q217" s="0" t="n">
        <v>0.0025</v>
      </c>
      <c r="R217" s="0" t="n">
        <v>0.0025</v>
      </c>
      <c r="S217" s="0" t="n">
        <v>0.0036</v>
      </c>
      <c r="T217" s="0" t="n">
        <v>-1</v>
      </c>
      <c r="U217" s="0" t="n">
        <v>0.0048</v>
      </c>
      <c r="V217" s="0" t="s">
        <v>49</v>
      </c>
      <c r="W217" s="0" t="s">
        <v>49</v>
      </c>
      <c r="X217" s="0" t="s">
        <v>517</v>
      </c>
      <c r="Y217" s="0" t="s">
        <v>219</v>
      </c>
      <c r="Z217" s="0" t="s">
        <v>49</v>
      </c>
      <c r="AA217" s="0" t="s">
        <v>49</v>
      </c>
      <c r="AB217" s="0" t="s">
        <v>49</v>
      </c>
      <c r="AC217" s="0" t="s">
        <v>53</v>
      </c>
      <c r="AD217" s="0" t="s">
        <v>1443</v>
      </c>
      <c r="AE217" s="0" t="s">
        <v>1444</v>
      </c>
      <c r="AF217" s="0" t="s">
        <v>1445</v>
      </c>
      <c r="AG217" s="0" t="s">
        <v>1446</v>
      </c>
      <c r="AH217" s="0" t="s">
        <v>49</v>
      </c>
      <c r="AI217" s="0" t="s">
        <v>49</v>
      </c>
      <c r="AJ217" s="0" t="s">
        <v>49</v>
      </c>
      <c r="AK217" s="0" t="s">
        <v>49</v>
      </c>
      <c r="AL217" s="0" t="s">
        <v>132</v>
      </c>
    </row>
    <row r="218" customFormat="false" ht="15" hidden="false" customHeight="false" outlineLevel="0" collapsed="false">
      <c r="B218" s="0" t="str">
        <f aca="false">HYPERLINK("https://genome.ucsc.edu/cgi-bin/hgTracks?db=hg19&amp;position=chr19%3A55251066%2D55251066", "chr19:55251066")</f>
        <v>chr19:55251066</v>
      </c>
      <c r="C218" s="0" t="s">
        <v>143</v>
      </c>
      <c r="D218" s="0" t="n">
        <v>55251066</v>
      </c>
      <c r="E218" s="0" t="n">
        <v>55251066</v>
      </c>
      <c r="F218" s="0" t="s">
        <v>60</v>
      </c>
      <c r="G218" s="0" t="s">
        <v>61</v>
      </c>
      <c r="H218" s="0" t="s">
        <v>1447</v>
      </c>
      <c r="I218" s="0" t="s">
        <v>1448</v>
      </c>
      <c r="J218" s="0" t="s">
        <v>1449</v>
      </c>
      <c r="K218" s="0" t="s">
        <v>49</v>
      </c>
      <c r="L218" s="0" t="str">
        <f aca="false">HYPERLINK("https://www.ncbi.nlm.nih.gov/snp/rs28579215", "rs28579215")</f>
        <v>rs28579215</v>
      </c>
      <c r="M218" s="0" t="str">
        <f aca="false">HYPERLINK("https://www.genecards.org/Search/Keyword?queryString=%5Baliases%5D(%20KIR2DL1%20)%20OR%20%5Baliases%5D(%20KIR2DL3%20)&amp;keywords=KIR2DL1,KIR2DL3", "KIR2DL1;KIR2DL3")</f>
        <v>KIR2DL1;KIR2DL3</v>
      </c>
      <c r="N218" s="0" t="s">
        <v>283</v>
      </c>
      <c r="O218" s="0" t="s">
        <v>49</v>
      </c>
      <c r="P218" s="0" t="s">
        <v>49</v>
      </c>
      <c r="Q218" s="0" t="n">
        <v>0.0159</v>
      </c>
      <c r="R218" s="0" t="n">
        <v>0.0108</v>
      </c>
      <c r="S218" s="0" t="n">
        <v>0.0138</v>
      </c>
      <c r="T218" s="0" t="n">
        <v>-1</v>
      </c>
      <c r="U218" s="0" t="n">
        <v>0.0145</v>
      </c>
      <c r="V218" s="0" t="s">
        <v>49</v>
      </c>
      <c r="W218" s="0" t="s">
        <v>49</v>
      </c>
      <c r="X218" s="0" t="s">
        <v>333</v>
      </c>
      <c r="Y218" s="0" t="s">
        <v>219</v>
      </c>
      <c r="Z218" s="0" t="s">
        <v>49</v>
      </c>
      <c r="AA218" s="0" t="s">
        <v>49</v>
      </c>
      <c r="AB218" s="0" t="s">
        <v>49</v>
      </c>
      <c r="AC218" s="0" t="s">
        <v>53</v>
      </c>
      <c r="AD218" s="0" t="s">
        <v>1443</v>
      </c>
      <c r="AE218" s="0" t="s">
        <v>1444</v>
      </c>
      <c r="AF218" s="0" t="s">
        <v>1445</v>
      </c>
      <c r="AG218" s="0" t="s">
        <v>1446</v>
      </c>
      <c r="AH218" s="0" t="s">
        <v>49</v>
      </c>
      <c r="AI218" s="0" t="s">
        <v>822</v>
      </c>
      <c r="AJ218" s="0" t="s">
        <v>49</v>
      </c>
      <c r="AK218" s="0" t="s">
        <v>49</v>
      </c>
      <c r="AL218" s="0" t="s">
        <v>49</v>
      </c>
    </row>
    <row r="219" customFormat="false" ht="15" hidden="false" customHeight="false" outlineLevel="0" collapsed="false">
      <c r="B219" s="0" t="str">
        <f aca="false">HYPERLINK("https://genome.ucsc.edu/cgi-bin/hgTracks?db=hg19&amp;position=chr19%3A55263749%2D55263749", "chr19:55263749")</f>
        <v>chr19:55263749</v>
      </c>
      <c r="C219" s="0" t="s">
        <v>143</v>
      </c>
      <c r="D219" s="0" t="n">
        <v>55263749</v>
      </c>
      <c r="E219" s="0" t="n">
        <v>55263749</v>
      </c>
      <c r="F219" s="0" t="s">
        <v>39</v>
      </c>
      <c r="G219" s="0" t="s">
        <v>61</v>
      </c>
      <c r="H219" s="0" t="s">
        <v>1450</v>
      </c>
      <c r="I219" s="0" t="s">
        <v>265</v>
      </c>
      <c r="J219" s="0" t="s">
        <v>980</v>
      </c>
      <c r="K219" s="0" t="s">
        <v>49</v>
      </c>
      <c r="L219" s="0" t="s">
        <v>49</v>
      </c>
      <c r="M219" s="0" t="str">
        <f aca="false">HYPERLINK("https://www.genecards.org/Search/Keyword?queryString=%5Baliases%5D(%20KIR2DL1%20)%20OR%20%5Baliases%5D(%20KIR2DL3%20)&amp;keywords=KIR2DL1,KIR2DL3", "KIR2DL1;KIR2DL3")</f>
        <v>KIR2DL1;KIR2DL3</v>
      </c>
      <c r="N219" s="0" t="s">
        <v>283</v>
      </c>
      <c r="O219" s="0" t="s">
        <v>49</v>
      </c>
      <c r="P219" s="0" t="s">
        <v>49</v>
      </c>
      <c r="Q219" s="0" t="n">
        <v>-1</v>
      </c>
      <c r="R219" s="0" t="n">
        <v>-1</v>
      </c>
      <c r="S219" s="0" t="n">
        <v>-1</v>
      </c>
      <c r="T219" s="0" t="n">
        <v>-1</v>
      </c>
      <c r="U219" s="0" t="n">
        <v>-1</v>
      </c>
      <c r="V219" s="0" t="s">
        <v>49</v>
      </c>
      <c r="W219" s="0" t="s">
        <v>49</v>
      </c>
      <c r="X219" s="0" t="s">
        <v>517</v>
      </c>
      <c r="Y219" s="0" t="s">
        <v>219</v>
      </c>
      <c r="Z219" s="0" t="s">
        <v>49</v>
      </c>
      <c r="AA219" s="0" t="s">
        <v>49</v>
      </c>
      <c r="AB219" s="0" t="s">
        <v>49</v>
      </c>
      <c r="AC219" s="0" t="s">
        <v>53</v>
      </c>
      <c r="AD219" s="0" t="s">
        <v>1443</v>
      </c>
      <c r="AE219" s="0" t="s">
        <v>1444</v>
      </c>
      <c r="AF219" s="0" t="s">
        <v>1445</v>
      </c>
      <c r="AG219" s="0" t="s">
        <v>1446</v>
      </c>
      <c r="AH219" s="0" t="s">
        <v>49</v>
      </c>
      <c r="AI219" s="0" t="s">
        <v>49</v>
      </c>
      <c r="AJ219" s="0" t="s">
        <v>49</v>
      </c>
      <c r="AK219" s="0" t="s">
        <v>49</v>
      </c>
      <c r="AL219" s="0" t="s">
        <v>132</v>
      </c>
    </row>
    <row r="220" customFormat="false" ht="15" hidden="false" customHeight="false" outlineLevel="0" collapsed="false">
      <c r="B220" s="0" t="str">
        <f aca="false">HYPERLINK("https://genome.ucsc.edu/cgi-bin/hgTracks?db=hg19&amp;position=chr19%3A55284580%2D55284580", "chr19:55284580")</f>
        <v>chr19:55284580</v>
      </c>
      <c r="C220" s="0" t="s">
        <v>143</v>
      </c>
      <c r="D220" s="0" t="n">
        <v>55284580</v>
      </c>
      <c r="E220" s="0" t="n">
        <v>55284580</v>
      </c>
      <c r="F220" s="0" t="s">
        <v>39</v>
      </c>
      <c r="G220" s="0" t="s">
        <v>40</v>
      </c>
      <c r="H220" s="0" t="s">
        <v>1451</v>
      </c>
      <c r="I220" s="0" t="s">
        <v>701</v>
      </c>
      <c r="J220" s="0" t="s">
        <v>1452</v>
      </c>
      <c r="K220" s="0" t="s">
        <v>49</v>
      </c>
      <c r="L220" s="0" t="str">
        <f aca="false">HYPERLINK("https://www.ncbi.nlm.nih.gov/snp/rs111818275", "rs111818275")</f>
        <v>rs111818275</v>
      </c>
      <c r="M220" s="0" t="str">
        <f aca="false">HYPERLINK("https://www.genecards.org/Search/Keyword?queryString=%5Baliases%5D(%20KIR2DL1%20)%20OR%20%5Baliases%5D(%20KIR2DL3%20)%20OR%20%5Baliases%5D(%20KIR2DS4%20)%20OR%20%5Baliases%5D(%20LOC112267881%20)&amp;keywords=KIR2DL1,KIR2DL3,KIR2DS4,LOC112267881", "KIR2DL1;KIR2DL3;KIR2DS4;LOC112267881")</f>
        <v>KIR2DL1;KIR2DL3;KIR2DS4;LOC112267881</v>
      </c>
      <c r="N220" s="0" t="s">
        <v>283</v>
      </c>
      <c r="O220" s="0" t="s">
        <v>49</v>
      </c>
      <c r="P220" s="0" t="s">
        <v>49</v>
      </c>
      <c r="Q220" s="0" t="n">
        <v>0.0043799</v>
      </c>
      <c r="R220" s="0" t="n">
        <v>-1</v>
      </c>
      <c r="S220" s="0" t="n">
        <v>-1</v>
      </c>
      <c r="T220" s="0" t="n">
        <v>-1</v>
      </c>
      <c r="U220" s="0" t="n">
        <v>-1</v>
      </c>
      <c r="V220" s="0" t="s">
        <v>49</v>
      </c>
      <c r="W220" s="0" t="s">
        <v>49</v>
      </c>
      <c r="X220" s="0" t="s">
        <v>517</v>
      </c>
      <c r="Y220" s="0" t="s">
        <v>219</v>
      </c>
      <c r="Z220" s="0" t="s">
        <v>49</v>
      </c>
      <c r="AA220" s="0" t="s">
        <v>49</v>
      </c>
      <c r="AB220" s="0" t="s">
        <v>49</v>
      </c>
      <c r="AC220" s="0" t="s">
        <v>53</v>
      </c>
      <c r="AD220" s="0" t="s">
        <v>1453</v>
      </c>
      <c r="AE220" s="0" t="s">
        <v>1444</v>
      </c>
      <c r="AF220" s="0" t="s">
        <v>1454</v>
      </c>
      <c r="AG220" s="0" t="s">
        <v>1455</v>
      </c>
      <c r="AH220" s="0" t="s">
        <v>49</v>
      </c>
      <c r="AI220" s="0" t="s">
        <v>822</v>
      </c>
      <c r="AJ220" s="0" t="s">
        <v>49</v>
      </c>
      <c r="AK220" s="0" t="s">
        <v>49</v>
      </c>
      <c r="AL220" s="0" t="s">
        <v>49</v>
      </c>
    </row>
    <row r="221" customFormat="false" ht="15" hidden="false" customHeight="false" outlineLevel="0" collapsed="false">
      <c r="B221" s="0" t="str">
        <f aca="false">HYPERLINK("https://genome.ucsc.edu/cgi-bin/hgTracks?db=hg19&amp;position=chr19%3A55316688%2D55316688", "chr19:55316688")</f>
        <v>chr19:55316688</v>
      </c>
      <c r="C221" s="0" t="s">
        <v>143</v>
      </c>
      <c r="D221" s="0" t="n">
        <v>55316688</v>
      </c>
      <c r="E221" s="0" t="n">
        <v>55316688</v>
      </c>
      <c r="F221" s="0" t="s">
        <v>61</v>
      </c>
      <c r="G221" s="0" t="s">
        <v>60</v>
      </c>
      <c r="H221" s="0" t="s">
        <v>1027</v>
      </c>
      <c r="I221" s="0" t="s">
        <v>816</v>
      </c>
      <c r="J221" s="0" t="s">
        <v>1456</v>
      </c>
      <c r="K221" s="0" t="s">
        <v>49</v>
      </c>
      <c r="L221" s="0" t="str">
        <f aca="false">HYPERLINK("https://www.ncbi.nlm.nih.gov/snp/rs796414085", "rs796414085")</f>
        <v>rs796414085</v>
      </c>
      <c r="M221"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21" s="0" t="s">
        <v>510</v>
      </c>
      <c r="O221" s="0" t="s">
        <v>49</v>
      </c>
      <c r="P221" s="0" t="s">
        <v>49</v>
      </c>
      <c r="Q221" s="0" t="n">
        <v>0.0060704</v>
      </c>
      <c r="R221" s="0" t="n">
        <v>-1</v>
      </c>
      <c r="S221" s="0" t="n">
        <v>-1</v>
      </c>
      <c r="T221" s="0" t="n">
        <v>-1</v>
      </c>
      <c r="U221" s="0" t="n">
        <v>-1</v>
      </c>
      <c r="V221" s="0" t="s">
        <v>49</v>
      </c>
      <c r="W221" s="0" t="s">
        <v>49</v>
      </c>
      <c r="X221" s="0" t="s">
        <v>333</v>
      </c>
      <c r="Y221" s="0" t="s">
        <v>219</v>
      </c>
      <c r="Z221" s="0" t="s">
        <v>49</v>
      </c>
      <c r="AA221" s="0" t="s">
        <v>49</v>
      </c>
      <c r="AB221" s="0" t="s">
        <v>49</v>
      </c>
      <c r="AC221" s="0" t="s">
        <v>53</v>
      </c>
      <c r="AD221" s="0" t="s">
        <v>1457</v>
      </c>
      <c r="AE221" s="0" t="s">
        <v>1458</v>
      </c>
      <c r="AF221" s="0" t="s">
        <v>1459</v>
      </c>
      <c r="AG221" s="0" t="s">
        <v>1460</v>
      </c>
      <c r="AH221" s="0" t="s">
        <v>49</v>
      </c>
      <c r="AI221" s="0" t="s">
        <v>822</v>
      </c>
      <c r="AJ221" s="0" t="s">
        <v>49</v>
      </c>
      <c r="AK221" s="0" t="s">
        <v>49</v>
      </c>
      <c r="AL221" s="0" t="s">
        <v>49</v>
      </c>
    </row>
    <row r="222" customFormat="false" ht="15" hidden="false" customHeight="false" outlineLevel="0" collapsed="false">
      <c r="B222" s="0" t="str">
        <f aca="false">HYPERLINK("https://genome.ucsc.edu/cgi-bin/hgTracks?db=hg19&amp;position=chr19%3A55316698%2D55316698", "chr19:55316698")</f>
        <v>chr19:55316698</v>
      </c>
      <c r="C222" s="0" t="s">
        <v>143</v>
      </c>
      <c r="D222" s="0" t="n">
        <v>55316698</v>
      </c>
      <c r="E222" s="0" t="n">
        <v>55316698</v>
      </c>
      <c r="F222" s="0" t="s">
        <v>39</v>
      </c>
      <c r="G222" s="0" t="s">
        <v>60</v>
      </c>
      <c r="H222" s="0" t="s">
        <v>1461</v>
      </c>
      <c r="I222" s="0" t="s">
        <v>100</v>
      </c>
      <c r="J222" s="0" t="s">
        <v>1462</v>
      </c>
      <c r="K222" s="0" t="s">
        <v>49</v>
      </c>
      <c r="L222" s="0" t="str">
        <f aca="false">HYPERLINK("https://www.ncbi.nlm.nih.gov/snp/rs796150314", "rs796150314")</f>
        <v>rs796150314</v>
      </c>
      <c r="M222"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22" s="0" t="s">
        <v>510</v>
      </c>
      <c r="O222" s="0" t="s">
        <v>49</v>
      </c>
      <c r="P222" s="0" t="s">
        <v>49</v>
      </c>
      <c r="Q222" s="0" t="n">
        <v>-1</v>
      </c>
      <c r="R222" s="0" t="n">
        <v>-1</v>
      </c>
      <c r="S222" s="0" t="n">
        <v>-1</v>
      </c>
      <c r="T222" s="0" t="n">
        <v>-1</v>
      </c>
      <c r="U222" s="0" t="n">
        <v>-1</v>
      </c>
      <c r="V222" s="0" t="s">
        <v>49</v>
      </c>
      <c r="W222" s="0" t="s">
        <v>49</v>
      </c>
      <c r="X222" s="0" t="s">
        <v>517</v>
      </c>
      <c r="Y222" s="0" t="s">
        <v>219</v>
      </c>
      <c r="Z222" s="0" t="s">
        <v>49</v>
      </c>
      <c r="AA222" s="0" t="s">
        <v>49</v>
      </c>
      <c r="AB222" s="0" t="s">
        <v>49</v>
      </c>
      <c r="AC222" s="0" t="s">
        <v>53</v>
      </c>
      <c r="AD222" s="0" t="s">
        <v>1457</v>
      </c>
      <c r="AE222" s="0" t="s">
        <v>1458</v>
      </c>
      <c r="AF222" s="0" t="s">
        <v>1459</v>
      </c>
      <c r="AG222" s="0" t="s">
        <v>1460</v>
      </c>
      <c r="AH222" s="0" t="s">
        <v>49</v>
      </c>
      <c r="AI222" s="0" t="s">
        <v>822</v>
      </c>
      <c r="AJ222" s="0" t="s">
        <v>49</v>
      </c>
      <c r="AK222" s="0" t="s">
        <v>49</v>
      </c>
      <c r="AL222" s="0" t="s">
        <v>49</v>
      </c>
    </row>
    <row r="223" customFormat="false" ht="15" hidden="false" customHeight="false" outlineLevel="0" collapsed="false">
      <c r="B223" s="0" t="str">
        <f aca="false">HYPERLINK("https://genome.ucsc.edu/cgi-bin/hgTracks?db=hg19&amp;position=chr19%3A55317205%2D55317205", "chr19:55317205")</f>
        <v>chr19:55317205</v>
      </c>
      <c r="C223" s="0" t="s">
        <v>143</v>
      </c>
      <c r="D223" s="0" t="n">
        <v>55317205</v>
      </c>
      <c r="E223" s="0" t="n">
        <v>55317205</v>
      </c>
      <c r="F223" s="0" t="s">
        <v>61</v>
      </c>
      <c r="G223" s="0" t="s">
        <v>60</v>
      </c>
      <c r="H223" s="0" t="s">
        <v>1463</v>
      </c>
      <c r="I223" s="0" t="s">
        <v>1464</v>
      </c>
      <c r="J223" s="0" t="s">
        <v>1465</v>
      </c>
      <c r="K223" s="0" t="s">
        <v>49</v>
      </c>
      <c r="L223" s="0" t="str">
        <f aca="false">HYPERLINK("https://www.ncbi.nlm.nih.gov/snp/rs796424049", "rs796424049")</f>
        <v>rs796424049</v>
      </c>
      <c r="M223"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23" s="0" t="s">
        <v>510</v>
      </c>
      <c r="O223" s="0" t="s">
        <v>49</v>
      </c>
      <c r="P223" s="0" t="s">
        <v>49</v>
      </c>
      <c r="Q223" s="0" t="n">
        <v>0.0101429</v>
      </c>
      <c r="R223" s="0" t="n">
        <v>-1</v>
      </c>
      <c r="S223" s="0" t="n">
        <v>-1</v>
      </c>
      <c r="T223" s="0" t="n">
        <v>-1</v>
      </c>
      <c r="U223" s="0" t="n">
        <v>-1</v>
      </c>
      <c r="V223" s="0" t="s">
        <v>49</v>
      </c>
      <c r="W223" s="0" t="s">
        <v>49</v>
      </c>
      <c r="X223" s="0" t="s">
        <v>517</v>
      </c>
      <c r="Y223" s="0" t="s">
        <v>219</v>
      </c>
      <c r="Z223" s="0" t="s">
        <v>49</v>
      </c>
      <c r="AA223" s="0" t="s">
        <v>49</v>
      </c>
      <c r="AB223" s="0" t="s">
        <v>49</v>
      </c>
      <c r="AC223" s="0" t="s">
        <v>53</v>
      </c>
      <c r="AD223" s="0" t="s">
        <v>1457</v>
      </c>
      <c r="AE223" s="0" t="s">
        <v>1458</v>
      </c>
      <c r="AF223" s="0" t="s">
        <v>1459</v>
      </c>
      <c r="AG223" s="0" t="s">
        <v>1460</v>
      </c>
      <c r="AH223" s="0" t="s">
        <v>49</v>
      </c>
      <c r="AI223" s="0" t="s">
        <v>822</v>
      </c>
      <c r="AJ223" s="0" t="s">
        <v>49</v>
      </c>
      <c r="AK223" s="0" t="s">
        <v>49</v>
      </c>
      <c r="AL223" s="0" t="s">
        <v>49</v>
      </c>
    </row>
    <row r="224" customFormat="false" ht="15" hidden="false" customHeight="false" outlineLevel="0" collapsed="false">
      <c r="B224" s="0" t="str">
        <f aca="false">HYPERLINK("https://genome.ucsc.edu/cgi-bin/hgTracks?db=hg19&amp;position=chr19%3A55317313%2D55317313", "chr19:55317313")</f>
        <v>chr19:55317313</v>
      </c>
      <c r="C224" s="0" t="s">
        <v>143</v>
      </c>
      <c r="D224" s="0" t="n">
        <v>55317313</v>
      </c>
      <c r="E224" s="0" t="n">
        <v>55317313</v>
      </c>
      <c r="F224" s="0" t="s">
        <v>39</v>
      </c>
      <c r="G224" s="0" t="s">
        <v>40</v>
      </c>
      <c r="H224" s="0" t="s">
        <v>1466</v>
      </c>
      <c r="I224" s="0" t="s">
        <v>1467</v>
      </c>
      <c r="J224" s="0" t="s">
        <v>1468</v>
      </c>
      <c r="K224" s="0" t="s">
        <v>49</v>
      </c>
      <c r="L224" s="0" t="s">
        <v>49</v>
      </c>
      <c r="M224"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24" s="0" t="s">
        <v>510</v>
      </c>
      <c r="O224" s="0" t="s">
        <v>49</v>
      </c>
      <c r="P224" s="0" t="s">
        <v>49</v>
      </c>
      <c r="Q224" s="0" t="n">
        <v>0.0004995</v>
      </c>
      <c r="R224" s="0" t="n">
        <v>-1</v>
      </c>
      <c r="S224" s="0" t="n">
        <v>-1</v>
      </c>
      <c r="T224" s="0" t="n">
        <v>-1</v>
      </c>
      <c r="U224" s="0" t="n">
        <v>-1</v>
      </c>
      <c r="V224" s="0" t="s">
        <v>49</v>
      </c>
      <c r="W224" s="0" t="s">
        <v>49</v>
      </c>
      <c r="X224" s="0" t="s">
        <v>333</v>
      </c>
      <c r="Y224" s="0" t="s">
        <v>219</v>
      </c>
      <c r="Z224" s="0" t="s">
        <v>49</v>
      </c>
      <c r="AA224" s="0" t="s">
        <v>49</v>
      </c>
      <c r="AB224" s="0" t="s">
        <v>49</v>
      </c>
      <c r="AC224" s="0" t="s">
        <v>53</v>
      </c>
      <c r="AD224" s="0" t="s">
        <v>1457</v>
      </c>
      <c r="AE224" s="0" t="s">
        <v>1458</v>
      </c>
      <c r="AF224" s="0" t="s">
        <v>1459</v>
      </c>
      <c r="AG224" s="0" t="s">
        <v>1460</v>
      </c>
      <c r="AH224" s="0" t="s">
        <v>49</v>
      </c>
      <c r="AI224" s="0" t="s">
        <v>49</v>
      </c>
      <c r="AJ224" s="0" t="s">
        <v>49</v>
      </c>
      <c r="AK224" s="0" t="s">
        <v>49</v>
      </c>
      <c r="AL224" s="0" t="s">
        <v>49</v>
      </c>
    </row>
    <row r="225" customFormat="false" ht="15" hidden="false" customHeight="false" outlineLevel="0" collapsed="false">
      <c r="B225" s="0" t="str">
        <f aca="false">HYPERLINK("https://genome.ucsc.edu/cgi-bin/hgTracks?db=hg19&amp;position=chr19%3A55320306%2D55320307", "chr19:55320306")</f>
        <v>chr19:55320306</v>
      </c>
      <c r="C225" s="0" t="s">
        <v>143</v>
      </c>
      <c r="D225" s="0" t="n">
        <v>55320306</v>
      </c>
      <c r="E225" s="0" t="n">
        <v>55320307</v>
      </c>
      <c r="F225" s="0" t="s">
        <v>1469</v>
      </c>
      <c r="G225" s="0" t="s">
        <v>190</v>
      </c>
      <c r="H225" s="0" t="s">
        <v>1470</v>
      </c>
      <c r="I225" s="0" t="s">
        <v>1471</v>
      </c>
      <c r="J225" s="0" t="s">
        <v>1472</v>
      </c>
      <c r="K225" s="0" t="s">
        <v>49</v>
      </c>
      <c r="L225" s="0" t="s">
        <v>49</v>
      </c>
      <c r="M225" s="0" t="str">
        <f aca="false">HYPERLINK("https://www.genecards.org/Search/Keyword?queryString=%5Baliases%5D(%20KIR2DL4%20)%20OR%20%5Baliases%5D(%20LOC100287534%20)%20OR%20%5Baliases%5D(%20LOC112268354%20)&amp;keywords=KIR2DL4,LOC100287534,LOC112268354", "KIR2DL4;LOC100287534;LOC112268354")</f>
        <v>KIR2DL4;LOC100287534;LOC112268354</v>
      </c>
      <c r="N225" s="0" t="s">
        <v>45</v>
      </c>
      <c r="O225" s="0" t="s">
        <v>539</v>
      </c>
      <c r="P225" s="0" t="s">
        <v>1473</v>
      </c>
      <c r="Q225" s="0" t="n">
        <v>-1</v>
      </c>
      <c r="R225" s="0" t="n">
        <v>-1</v>
      </c>
      <c r="S225" s="0" t="n">
        <v>-1</v>
      </c>
      <c r="T225" s="0" t="n">
        <v>-1</v>
      </c>
      <c r="U225" s="0" t="n">
        <v>-1</v>
      </c>
      <c r="V225" s="0" t="s">
        <v>49</v>
      </c>
      <c r="W225" s="0" t="s">
        <v>49</v>
      </c>
      <c r="X225" s="0" t="s">
        <v>49</v>
      </c>
      <c r="Y225" s="0" t="s">
        <v>49</v>
      </c>
      <c r="Z225" s="0" t="s">
        <v>49</v>
      </c>
      <c r="AA225" s="0" t="s">
        <v>49</v>
      </c>
      <c r="AB225" s="0" t="s">
        <v>49</v>
      </c>
      <c r="AC225" s="0" t="s">
        <v>53</v>
      </c>
      <c r="AD225" s="0" t="s">
        <v>1474</v>
      </c>
      <c r="AE225" s="0" t="s">
        <v>1475</v>
      </c>
      <c r="AF225" s="0" t="s">
        <v>1476</v>
      </c>
      <c r="AG225" s="0" t="s">
        <v>1477</v>
      </c>
      <c r="AH225" s="0" t="s">
        <v>49</v>
      </c>
      <c r="AI225" s="0" t="s">
        <v>49</v>
      </c>
      <c r="AJ225" s="0" t="s">
        <v>49</v>
      </c>
      <c r="AK225" s="0" t="s">
        <v>49</v>
      </c>
      <c r="AL225" s="0" t="s">
        <v>132</v>
      </c>
    </row>
    <row r="226" customFormat="false" ht="15" hidden="false" customHeight="false" outlineLevel="0" collapsed="false">
      <c r="B226" s="0" t="str">
        <f aca="false">HYPERLINK("https://genome.ucsc.edu/cgi-bin/hgTracks?db=hg19&amp;position=chr19%3A55320308%2D55320308", "chr19:55320308")</f>
        <v>chr19:55320308</v>
      </c>
      <c r="C226" s="0" t="s">
        <v>143</v>
      </c>
      <c r="D226" s="0" t="n">
        <v>55320308</v>
      </c>
      <c r="E226" s="0" t="n">
        <v>55320308</v>
      </c>
      <c r="F226" s="0" t="s">
        <v>190</v>
      </c>
      <c r="G226" s="0" t="s">
        <v>1478</v>
      </c>
      <c r="H226" s="0" t="s">
        <v>1479</v>
      </c>
      <c r="I226" s="0" t="s">
        <v>1480</v>
      </c>
      <c r="J226" s="0" t="s">
        <v>1481</v>
      </c>
      <c r="K226" s="0" t="s">
        <v>49</v>
      </c>
      <c r="L226" s="0" t="s">
        <v>49</v>
      </c>
      <c r="M226" s="0" t="str">
        <f aca="false">HYPERLINK("https://www.genecards.org/Search/Keyword?queryString=%5Baliases%5D(%20KIR2DL4%20)%20OR%20%5Baliases%5D(%20LOC100287534%20)%20OR%20%5Baliases%5D(%20LOC112268354%20)&amp;keywords=KIR2DL4,LOC100287534,LOC112268354", "KIR2DL4;LOC100287534;LOC112268354")</f>
        <v>KIR2DL4;LOC100287534;LOC112268354</v>
      </c>
      <c r="N226" s="0" t="s">
        <v>45</v>
      </c>
      <c r="O226" s="0" t="s">
        <v>259</v>
      </c>
      <c r="P226" s="0" t="s">
        <v>1482</v>
      </c>
      <c r="Q226" s="0" t="n">
        <v>-1</v>
      </c>
      <c r="R226" s="0" t="n">
        <v>-1</v>
      </c>
      <c r="S226" s="0" t="n">
        <v>-1</v>
      </c>
      <c r="T226" s="0" t="n">
        <v>-1</v>
      </c>
      <c r="U226" s="0" t="n">
        <v>-1</v>
      </c>
      <c r="V226" s="0" t="s">
        <v>49</v>
      </c>
      <c r="W226" s="0" t="s">
        <v>49</v>
      </c>
      <c r="X226" s="0" t="s">
        <v>49</v>
      </c>
      <c r="Y226" s="0" t="s">
        <v>49</v>
      </c>
      <c r="Z226" s="0" t="s">
        <v>49</v>
      </c>
      <c r="AA226" s="0" t="s">
        <v>49</v>
      </c>
      <c r="AB226" s="0" t="s">
        <v>49</v>
      </c>
      <c r="AC226" s="0" t="s">
        <v>53</v>
      </c>
      <c r="AD226" s="0" t="s">
        <v>1474</v>
      </c>
      <c r="AE226" s="0" t="s">
        <v>1475</v>
      </c>
      <c r="AF226" s="0" t="s">
        <v>1476</v>
      </c>
      <c r="AG226" s="0" t="s">
        <v>1477</v>
      </c>
      <c r="AH226" s="0" t="s">
        <v>49</v>
      </c>
      <c r="AI226" s="0" t="s">
        <v>49</v>
      </c>
      <c r="AJ226" s="0" t="s">
        <v>49</v>
      </c>
      <c r="AK226" s="0" t="s">
        <v>49</v>
      </c>
      <c r="AL226" s="0" t="s">
        <v>132</v>
      </c>
    </row>
    <row r="227" customFormat="false" ht="15" hidden="false" customHeight="false" outlineLevel="0" collapsed="false">
      <c r="B227" s="0" t="str">
        <f aca="false">HYPERLINK("https://genome.ucsc.edu/cgi-bin/hgTracks?db=hg19&amp;position=chr19%3A55320488%2D55320488", "chr19:55320488")</f>
        <v>chr19:55320488</v>
      </c>
      <c r="C227" s="0" t="s">
        <v>143</v>
      </c>
      <c r="D227" s="0" t="n">
        <v>55320488</v>
      </c>
      <c r="E227" s="0" t="n">
        <v>55320488</v>
      </c>
      <c r="F227" s="0" t="s">
        <v>60</v>
      </c>
      <c r="G227" s="0" t="s">
        <v>40</v>
      </c>
      <c r="H227" s="0" t="s">
        <v>1483</v>
      </c>
      <c r="I227" s="0" t="s">
        <v>947</v>
      </c>
      <c r="J227" s="0" t="s">
        <v>1484</v>
      </c>
      <c r="K227" s="0" t="s">
        <v>49</v>
      </c>
      <c r="L227" s="0" t="s">
        <v>49</v>
      </c>
      <c r="M227"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27" s="0" t="s">
        <v>510</v>
      </c>
      <c r="O227" s="0" t="s">
        <v>49</v>
      </c>
      <c r="P227" s="0" t="s">
        <v>49</v>
      </c>
      <c r="Q227" s="0" t="n">
        <v>-1</v>
      </c>
      <c r="R227" s="0" t="n">
        <v>-1</v>
      </c>
      <c r="S227" s="0" t="n">
        <v>-1</v>
      </c>
      <c r="T227" s="0" t="n">
        <v>-1</v>
      </c>
      <c r="U227" s="0" t="n">
        <v>-1</v>
      </c>
      <c r="V227" s="0" t="s">
        <v>49</v>
      </c>
      <c r="W227" s="0" t="s">
        <v>49</v>
      </c>
      <c r="X227" s="0" t="s">
        <v>333</v>
      </c>
      <c r="Y227" s="0" t="s">
        <v>219</v>
      </c>
      <c r="Z227" s="0" t="s">
        <v>49</v>
      </c>
      <c r="AA227" s="0" t="s">
        <v>49</v>
      </c>
      <c r="AB227" s="0" t="s">
        <v>49</v>
      </c>
      <c r="AC227" s="0" t="s">
        <v>53</v>
      </c>
      <c r="AD227" s="0" t="s">
        <v>1457</v>
      </c>
      <c r="AE227" s="0" t="s">
        <v>1458</v>
      </c>
      <c r="AF227" s="0" t="s">
        <v>1459</v>
      </c>
      <c r="AG227" s="0" t="s">
        <v>1460</v>
      </c>
      <c r="AH227" s="0" t="s">
        <v>49</v>
      </c>
      <c r="AI227" s="0" t="s">
        <v>49</v>
      </c>
      <c r="AJ227" s="0" t="s">
        <v>49</v>
      </c>
      <c r="AK227" s="0" t="s">
        <v>49</v>
      </c>
      <c r="AL227" s="0" t="s">
        <v>49</v>
      </c>
    </row>
    <row r="228" customFormat="false" ht="15" hidden="false" customHeight="false" outlineLevel="0" collapsed="false">
      <c r="B228" s="0" t="str">
        <f aca="false">HYPERLINK("https://genome.ucsc.edu/cgi-bin/hgTracks?db=hg19&amp;position=chr19%3A55324674%2D55324674", "chr19:55324674")</f>
        <v>chr19:55324674</v>
      </c>
      <c r="C228" s="0" t="s">
        <v>143</v>
      </c>
      <c r="D228" s="0" t="n">
        <v>55324674</v>
      </c>
      <c r="E228" s="0" t="n">
        <v>55324674</v>
      </c>
      <c r="F228" s="0" t="s">
        <v>190</v>
      </c>
      <c r="G228" s="0" t="s">
        <v>61</v>
      </c>
      <c r="H228" s="0" t="s">
        <v>1485</v>
      </c>
      <c r="I228" s="0" t="s">
        <v>1486</v>
      </c>
      <c r="J228" s="0" t="s">
        <v>1487</v>
      </c>
      <c r="K228" s="0" t="s">
        <v>49</v>
      </c>
      <c r="L228" s="0" t="str">
        <f aca="false">HYPERLINK("https://www.ncbi.nlm.nih.gov/snp/rs11371265", "rs11371265")</f>
        <v>rs11371265</v>
      </c>
      <c r="M228" s="0" t="str">
        <f aca="false">HYPERLINK("https://www.genecards.org/Search/Keyword?queryString=%5Baliases%5D(%20KIR2DL4%20)%20OR%20%5Baliases%5D(%20LOC100287534%20)%20OR%20%5Baliases%5D(%20LOC112268354%20)&amp;keywords=KIR2DL4,LOC100287534,LOC112268354", "KIR2DL4;LOC100287534;LOC112268354")</f>
        <v>KIR2DL4;LOC100287534;LOC112268354</v>
      </c>
      <c r="N228" s="0" t="s">
        <v>45</v>
      </c>
      <c r="O228" s="0" t="s">
        <v>259</v>
      </c>
      <c r="P228" s="0" t="s">
        <v>1488</v>
      </c>
      <c r="Q228" s="0" t="n">
        <v>0.0044825</v>
      </c>
      <c r="R228" s="0" t="n">
        <v>-1</v>
      </c>
      <c r="S228" s="0" t="n">
        <v>-1</v>
      </c>
      <c r="T228" s="0" t="n">
        <v>-1</v>
      </c>
      <c r="U228" s="0" t="n">
        <v>-1</v>
      </c>
      <c r="V228" s="0" t="s">
        <v>49</v>
      </c>
      <c r="W228" s="0" t="s">
        <v>49</v>
      </c>
      <c r="X228" s="0" t="s">
        <v>49</v>
      </c>
      <c r="Y228" s="0" t="s">
        <v>49</v>
      </c>
      <c r="Z228" s="0" t="s">
        <v>49</v>
      </c>
      <c r="AA228" s="0" t="s">
        <v>49</v>
      </c>
      <c r="AB228" s="0" t="s">
        <v>49</v>
      </c>
      <c r="AC228" s="0" t="s">
        <v>503</v>
      </c>
      <c r="AD228" s="0" t="s">
        <v>1474</v>
      </c>
      <c r="AE228" s="0" t="s">
        <v>1475</v>
      </c>
      <c r="AF228" s="0" t="s">
        <v>1476</v>
      </c>
      <c r="AG228" s="0" t="s">
        <v>1477</v>
      </c>
      <c r="AH228" s="0" t="s">
        <v>49</v>
      </c>
      <c r="AI228" s="0" t="s">
        <v>49</v>
      </c>
      <c r="AJ228" s="0" t="s">
        <v>49</v>
      </c>
      <c r="AK228" s="0" t="s">
        <v>49</v>
      </c>
      <c r="AL228" s="0" t="s">
        <v>132</v>
      </c>
    </row>
    <row r="229" customFormat="false" ht="15" hidden="false" customHeight="false" outlineLevel="0" collapsed="false">
      <c r="B229" s="0" t="str">
        <f aca="false">HYPERLINK("https://genome.ucsc.edu/cgi-bin/hgTracks?db=hg19&amp;position=chr19%3A55329717%2D55329717", "chr19:55329717")</f>
        <v>chr19:55329717</v>
      </c>
      <c r="C229" s="0" t="s">
        <v>143</v>
      </c>
      <c r="D229" s="0" t="n">
        <v>55329717</v>
      </c>
      <c r="E229" s="0" t="n">
        <v>55329717</v>
      </c>
      <c r="F229" s="0" t="s">
        <v>40</v>
      </c>
      <c r="G229" s="0" t="s">
        <v>60</v>
      </c>
      <c r="H229" s="0" t="s">
        <v>1489</v>
      </c>
      <c r="I229" s="0" t="s">
        <v>87</v>
      </c>
      <c r="J229" s="0" t="s">
        <v>1490</v>
      </c>
      <c r="K229" s="0" t="s">
        <v>49</v>
      </c>
      <c r="L229" s="0" t="s">
        <v>49</v>
      </c>
      <c r="M229" s="0" t="str">
        <f aca="false">HYPERLINK("https://www.genecards.org/Search/Keyword?queryString=%5Baliases%5D(%20KIR2DS4%20)%20OR%20%5Baliases%5D(%20KIR3DL1%20)&amp;keywords=KIR2DS4,KIR3DL1", "KIR2DS4;KIR3DL1")</f>
        <v>KIR2DS4;KIR3DL1</v>
      </c>
      <c r="N229" s="0" t="s">
        <v>510</v>
      </c>
      <c r="O229" s="0" t="s">
        <v>49</v>
      </c>
      <c r="P229" s="0" t="s">
        <v>49</v>
      </c>
      <c r="Q229" s="0" t="n">
        <v>0.0003</v>
      </c>
      <c r="R229" s="0" t="n">
        <v>0.0003</v>
      </c>
      <c r="S229" s="0" t="n">
        <v>-1</v>
      </c>
      <c r="T229" s="0" t="n">
        <v>-1</v>
      </c>
      <c r="U229" s="0" t="n">
        <v>-1</v>
      </c>
      <c r="V229" s="0" t="s">
        <v>49</v>
      </c>
      <c r="W229" s="0" t="s">
        <v>49</v>
      </c>
      <c r="X229" s="0" t="s">
        <v>517</v>
      </c>
      <c r="Y229" s="0" t="s">
        <v>219</v>
      </c>
      <c r="Z229" s="0" t="s">
        <v>49</v>
      </c>
      <c r="AA229" s="0" t="s">
        <v>49</v>
      </c>
      <c r="AB229" s="0" t="s">
        <v>49</v>
      </c>
      <c r="AC229" s="0" t="s">
        <v>53</v>
      </c>
      <c r="AD229" s="0" t="s">
        <v>1491</v>
      </c>
      <c r="AE229" s="0" t="s">
        <v>1492</v>
      </c>
      <c r="AF229" s="0" t="s">
        <v>1493</v>
      </c>
      <c r="AG229" s="0" t="s">
        <v>1494</v>
      </c>
      <c r="AH229" s="0" t="s">
        <v>49</v>
      </c>
      <c r="AI229" s="0" t="s">
        <v>49</v>
      </c>
      <c r="AJ229" s="0" t="s">
        <v>49</v>
      </c>
      <c r="AK229" s="0" t="s">
        <v>49</v>
      </c>
      <c r="AL229" s="0" t="s">
        <v>132</v>
      </c>
    </row>
    <row r="230" customFormat="false" ht="15" hidden="false" customHeight="false" outlineLevel="0" collapsed="false">
      <c r="B230" s="0" t="str">
        <f aca="false">HYPERLINK("https://genome.ucsc.edu/cgi-bin/hgTracks?db=hg19&amp;position=chr19%3A55329749%2D55329749", "chr19:55329749")</f>
        <v>chr19:55329749</v>
      </c>
      <c r="C230" s="0" t="s">
        <v>143</v>
      </c>
      <c r="D230" s="0" t="n">
        <v>55329749</v>
      </c>
      <c r="E230" s="0" t="n">
        <v>55329749</v>
      </c>
      <c r="F230" s="0" t="s">
        <v>39</v>
      </c>
      <c r="G230" s="0" t="s">
        <v>40</v>
      </c>
      <c r="H230" s="0" t="s">
        <v>1495</v>
      </c>
      <c r="I230" s="0" t="s">
        <v>1309</v>
      </c>
      <c r="J230" s="0" t="s">
        <v>1310</v>
      </c>
      <c r="K230" s="0" t="s">
        <v>49</v>
      </c>
      <c r="L230" s="0" t="s">
        <v>49</v>
      </c>
      <c r="M230" s="0" t="str">
        <f aca="false">HYPERLINK("https://www.genecards.org/Search/Keyword?queryString=%5Baliases%5D(%20KIR2DS4%20)%20OR%20%5Baliases%5D(%20KIR3DL1%20)&amp;keywords=KIR2DS4,KIR3DL1", "KIR2DS4;KIR3DL1")</f>
        <v>KIR2DS4;KIR3DL1</v>
      </c>
      <c r="N230" s="0" t="s">
        <v>510</v>
      </c>
      <c r="O230" s="0" t="s">
        <v>49</v>
      </c>
      <c r="P230" s="0" t="s">
        <v>49</v>
      </c>
      <c r="Q230" s="0" t="n">
        <v>-1</v>
      </c>
      <c r="R230" s="0" t="n">
        <v>-1</v>
      </c>
      <c r="S230" s="0" t="n">
        <v>-1</v>
      </c>
      <c r="T230" s="0" t="n">
        <v>-1</v>
      </c>
      <c r="U230" s="0" t="n">
        <v>-1</v>
      </c>
      <c r="V230" s="0" t="s">
        <v>49</v>
      </c>
      <c r="W230" s="0" t="s">
        <v>49</v>
      </c>
      <c r="X230" s="0" t="s">
        <v>517</v>
      </c>
      <c r="Y230" s="0" t="s">
        <v>219</v>
      </c>
      <c r="Z230" s="0" t="s">
        <v>49</v>
      </c>
      <c r="AA230" s="0" t="s">
        <v>49</v>
      </c>
      <c r="AB230" s="0" t="s">
        <v>49</v>
      </c>
      <c r="AC230" s="0" t="s">
        <v>53</v>
      </c>
      <c r="AD230" s="0" t="s">
        <v>1491</v>
      </c>
      <c r="AE230" s="0" t="s">
        <v>1492</v>
      </c>
      <c r="AF230" s="0" t="s">
        <v>1493</v>
      </c>
      <c r="AG230" s="0" t="s">
        <v>1494</v>
      </c>
      <c r="AH230" s="0" t="s">
        <v>49</v>
      </c>
      <c r="AI230" s="0" t="s">
        <v>822</v>
      </c>
      <c r="AJ230" s="0" t="s">
        <v>49</v>
      </c>
      <c r="AK230" s="0" t="s">
        <v>49</v>
      </c>
      <c r="AL230" s="0" t="s">
        <v>132</v>
      </c>
    </row>
    <row r="231" customFormat="false" ht="15" hidden="false" customHeight="false" outlineLevel="0" collapsed="false">
      <c r="B231" s="0" t="str">
        <f aca="false">HYPERLINK("https://genome.ucsc.edu/cgi-bin/hgTracks?db=hg19&amp;position=chr19%3A55332900%2D55332900", "chr19:55332900")</f>
        <v>chr19:55332900</v>
      </c>
      <c r="C231" s="0" t="s">
        <v>143</v>
      </c>
      <c r="D231" s="0" t="n">
        <v>55332900</v>
      </c>
      <c r="E231" s="0" t="n">
        <v>55332900</v>
      </c>
      <c r="F231" s="0" t="s">
        <v>60</v>
      </c>
      <c r="G231" s="0" t="s">
        <v>61</v>
      </c>
      <c r="H231" s="0" t="s">
        <v>1496</v>
      </c>
      <c r="I231" s="0" t="s">
        <v>1497</v>
      </c>
      <c r="J231" s="0" t="s">
        <v>1498</v>
      </c>
      <c r="K231" s="0" t="s">
        <v>49</v>
      </c>
      <c r="L231" s="0" t="str">
        <f aca="false">HYPERLINK("https://www.ncbi.nlm.nih.gov/snp/rs687844", "rs687844")</f>
        <v>rs687844</v>
      </c>
      <c r="M231" s="0" t="str">
        <f aca="false">HYPERLINK("https://www.genecards.org/Search/Keyword?queryString=%5Baliases%5D(%20KIR2DS4%20)%20OR%20%5Baliases%5D(%20KIR3DL1%20)&amp;keywords=KIR2DS4,KIR3DL1", "KIR2DS4;KIR3DL1")</f>
        <v>KIR2DS4;KIR3DL1</v>
      </c>
      <c r="N231" s="0" t="s">
        <v>510</v>
      </c>
      <c r="O231" s="0" t="s">
        <v>49</v>
      </c>
      <c r="P231" s="0" t="s">
        <v>49</v>
      </c>
      <c r="Q231" s="0" t="n">
        <v>0.0199092</v>
      </c>
      <c r="R231" s="0" t="n">
        <v>-1</v>
      </c>
      <c r="S231" s="0" t="n">
        <v>-1</v>
      </c>
      <c r="T231" s="0" t="n">
        <v>-1</v>
      </c>
      <c r="U231" s="0" t="n">
        <v>-1</v>
      </c>
      <c r="V231" s="0" t="s">
        <v>49</v>
      </c>
      <c r="W231" s="0" t="s">
        <v>49</v>
      </c>
      <c r="X231" s="0" t="s">
        <v>517</v>
      </c>
      <c r="Y231" s="0" t="s">
        <v>219</v>
      </c>
      <c r="Z231" s="0" t="s">
        <v>49</v>
      </c>
      <c r="AA231" s="0" t="s">
        <v>49</v>
      </c>
      <c r="AB231" s="0" t="s">
        <v>49</v>
      </c>
      <c r="AC231" s="0" t="s">
        <v>503</v>
      </c>
      <c r="AD231" s="0" t="s">
        <v>1491</v>
      </c>
      <c r="AE231" s="0" t="s">
        <v>1492</v>
      </c>
      <c r="AF231" s="0" t="s">
        <v>1493</v>
      </c>
      <c r="AG231" s="0" t="s">
        <v>1494</v>
      </c>
      <c r="AH231" s="0" t="s">
        <v>49</v>
      </c>
      <c r="AI231" s="0" t="s">
        <v>822</v>
      </c>
      <c r="AJ231" s="0" t="s">
        <v>49</v>
      </c>
      <c r="AK231" s="0" t="s">
        <v>49</v>
      </c>
      <c r="AL231" s="0" t="s">
        <v>49</v>
      </c>
    </row>
    <row r="232" customFormat="false" ht="15" hidden="false" customHeight="false" outlineLevel="0" collapsed="false">
      <c r="B232" s="0" t="str">
        <f aca="false">HYPERLINK("https://genome.ucsc.edu/cgi-bin/hgTracks?db=hg19&amp;position=chr19%3A55341266%2D55341266", "chr19:55341266")</f>
        <v>chr19:55341266</v>
      </c>
      <c r="C232" s="0" t="s">
        <v>143</v>
      </c>
      <c r="D232" s="0" t="n">
        <v>55341266</v>
      </c>
      <c r="E232" s="0" t="n">
        <v>55341266</v>
      </c>
      <c r="F232" s="0" t="s">
        <v>40</v>
      </c>
      <c r="G232" s="0" t="s">
        <v>61</v>
      </c>
      <c r="H232" s="0" t="s">
        <v>1499</v>
      </c>
      <c r="I232" s="0" t="s">
        <v>556</v>
      </c>
      <c r="J232" s="0" t="s">
        <v>557</v>
      </c>
      <c r="K232" s="0" t="s">
        <v>49</v>
      </c>
      <c r="L232" s="0" t="s">
        <v>49</v>
      </c>
      <c r="M232" s="0" t="str">
        <f aca="false">HYPERLINK("https://www.genecards.org/Search/Keyword?queryString=%5Baliases%5D(%20KIR2DS4%20)%20OR%20%5Baliases%5D(%20KIR3DL1%20)&amp;keywords=KIR2DS4,KIR3DL1", "KIR2DS4;KIR3DL1")</f>
        <v>KIR2DS4;KIR3DL1</v>
      </c>
      <c r="N232" s="0" t="s">
        <v>510</v>
      </c>
      <c r="O232" s="0" t="s">
        <v>49</v>
      </c>
      <c r="P232" s="0" t="s">
        <v>49</v>
      </c>
      <c r="Q232" s="0" t="n">
        <v>-1</v>
      </c>
      <c r="R232" s="0" t="n">
        <v>-1</v>
      </c>
      <c r="S232" s="0" t="n">
        <v>-1</v>
      </c>
      <c r="T232" s="0" t="n">
        <v>-1</v>
      </c>
      <c r="U232" s="0" t="n">
        <v>-1</v>
      </c>
      <c r="V232" s="0" t="s">
        <v>49</v>
      </c>
      <c r="W232" s="0" t="s">
        <v>49</v>
      </c>
      <c r="X232" s="0" t="s">
        <v>517</v>
      </c>
      <c r="Y232" s="0" t="s">
        <v>219</v>
      </c>
      <c r="Z232" s="0" t="s">
        <v>49</v>
      </c>
      <c r="AA232" s="0" t="s">
        <v>49</v>
      </c>
      <c r="AB232" s="0" t="s">
        <v>49</v>
      </c>
      <c r="AC232" s="0" t="s">
        <v>53</v>
      </c>
      <c r="AD232" s="0" t="s">
        <v>1491</v>
      </c>
      <c r="AE232" s="0" t="s">
        <v>1492</v>
      </c>
      <c r="AF232" s="0" t="s">
        <v>1493</v>
      </c>
      <c r="AG232" s="0" t="s">
        <v>1494</v>
      </c>
      <c r="AH232" s="0" t="s">
        <v>49</v>
      </c>
      <c r="AI232" s="0" t="s">
        <v>49</v>
      </c>
      <c r="AJ232" s="0" t="s">
        <v>49</v>
      </c>
      <c r="AK232" s="0" t="s">
        <v>49</v>
      </c>
      <c r="AL232" s="0" t="s">
        <v>49</v>
      </c>
    </row>
    <row r="233" customFormat="false" ht="15" hidden="false" customHeight="false" outlineLevel="0" collapsed="false">
      <c r="B233" s="0" t="str">
        <f aca="false">HYPERLINK("https://genome.ucsc.edu/cgi-bin/hgTracks?db=hg19&amp;position=chr19%3A55341708%2D55341708", "chr19:55341708")</f>
        <v>chr19:55341708</v>
      </c>
      <c r="C233" s="0" t="s">
        <v>143</v>
      </c>
      <c r="D233" s="0" t="n">
        <v>55341708</v>
      </c>
      <c r="E233" s="0" t="n">
        <v>55341708</v>
      </c>
      <c r="F233" s="0" t="s">
        <v>39</v>
      </c>
      <c r="G233" s="0" t="s">
        <v>190</v>
      </c>
      <c r="H233" s="0" t="s">
        <v>1500</v>
      </c>
      <c r="I233" s="0" t="s">
        <v>599</v>
      </c>
      <c r="J233" s="0" t="s">
        <v>1501</v>
      </c>
      <c r="K233" s="0" t="s">
        <v>49</v>
      </c>
      <c r="L233" s="0" t="s">
        <v>49</v>
      </c>
      <c r="M233" s="0" t="str">
        <f aca="false">HYPERLINK("https://www.genecards.org/Search/Keyword?queryString=%5Baliases%5D(%20KIR3DL1%20)&amp;keywords=KIR3DL1", "KIR3DL1")</f>
        <v>KIR3DL1</v>
      </c>
      <c r="N233" s="0" t="s">
        <v>45</v>
      </c>
      <c r="O233" s="0" t="s">
        <v>539</v>
      </c>
      <c r="P233" s="0" t="s">
        <v>1502</v>
      </c>
      <c r="Q233" s="0" t="n">
        <v>-1</v>
      </c>
      <c r="R233" s="0" t="n">
        <v>-1</v>
      </c>
      <c r="S233" s="0" t="n">
        <v>-1</v>
      </c>
      <c r="T233" s="0" t="n">
        <v>-1</v>
      </c>
      <c r="U233" s="0" t="n">
        <v>-1</v>
      </c>
      <c r="V233" s="0" t="s">
        <v>49</v>
      </c>
      <c r="W233" s="0" t="s">
        <v>49</v>
      </c>
      <c r="X233" s="0" t="s">
        <v>49</v>
      </c>
      <c r="Y233" s="0" t="s">
        <v>49</v>
      </c>
      <c r="Z233" s="0" t="s">
        <v>49</v>
      </c>
      <c r="AA233" s="0" t="s">
        <v>49</v>
      </c>
      <c r="AB233" s="0" t="s">
        <v>49</v>
      </c>
      <c r="AC233" s="0" t="s">
        <v>503</v>
      </c>
      <c r="AD233" s="0" t="s">
        <v>100</v>
      </c>
      <c r="AE233" s="0" t="s">
        <v>1492</v>
      </c>
      <c r="AF233" s="0" t="s">
        <v>1503</v>
      </c>
      <c r="AG233" s="0" t="s">
        <v>1504</v>
      </c>
      <c r="AH233" s="0" t="s">
        <v>49</v>
      </c>
      <c r="AI233" s="0" t="s">
        <v>49</v>
      </c>
      <c r="AJ233" s="0" t="s">
        <v>49</v>
      </c>
      <c r="AK233" s="0" t="s">
        <v>49</v>
      </c>
      <c r="AL233" s="0" t="s">
        <v>120</v>
      </c>
    </row>
    <row r="234" customFormat="false" ht="15" hidden="false" customHeight="false" outlineLevel="0" collapsed="false">
      <c r="B234" s="0" t="str">
        <f aca="false">HYPERLINK("https://genome.ucsc.edu/cgi-bin/hgTracks?db=hg19&amp;position=chr19%3A55346502%2D55346502", "chr19:55346502")</f>
        <v>chr19:55346502</v>
      </c>
      <c r="C234" s="0" t="s">
        <v>143</v>
      </c>
      <c r="D234" s="0" t="n">
        <v>55346502</v>
      </c>
      <c r="E234" s="0" t="n">
        <v>55346502</v>
      </c>
      <c r="F234" s="0" t="s">
        <v>61</v>
      </c>
      <c r="G234" s="0" t="s">
        <v>60</v>
      </c>
      <c r="H234" s="0" t="s">
        <v>1505</v>
      </c>
      <c r="I234" s="0" t="s">
        <v>816</v>
      </c>
      <c r="J234" s="0" t="s">
        <v>1506</v>
      </c>
      <c r="K234" s="0" t="s">
        <v>49</v>
      </c>
      <c r="L234" s="0" t="str">
        <f aca="false">HYPERLINK("https://www.ncbi.nlm.nih.gov/snp/rs143336635", "rs143336635")</f>
        <v>rs143336635</v>
      </c>
      <c r="M234" s="0" t="str">
        <f aca="false">HYPERLINK("https://www.genecards.org/Search/Keyword?queryString=%5Baliases%5D(%20KIR2DS4%20)%20OR%20%5Baliases%5D(%20KIR3DL1%20)&amp;keywords=KIR2DS4,KIR3DL1", "KIR2DS4;KIR3DL1")</f>
        <v>KIR2DS4;KIR3DL1</v>
      </c>
      <c r="N234" s="0" t="s">
        <v>510</v>
      </c>
      <c r="O234" s="0" t="s">
        <v>49</v>
      </c>
      <c r="P234" s="0" t="s">
        <v>49</v>
      </c>
      <c r="Q234" s="0" t="n">
        <v>0.001727</v>
      </c>
      <c r="R234" s="0" t="n">
        <v>-1</v>
      </c>
      <c r="S234" s="0" t="n">
        <v>-1</v>
      </c>
      <c r="T234" s="0" t="n">
        <v>-1</v>
      </c>
      <c r="U234" s="0" t="n">
        <v>-1</v>
      </c>
      <c r="V234" s="0" t="s">
        <v>49</v>
      </c>
      <c r="W234" s="0" t="s">
        <v>49</v>
      </c>
      <c r="X234" s="0" t="s">
        <v>517</v>
      </c>
      <c r="Y234" s="0" t="s">
        <v>219</v>
      </c>
      <c r="Z234" s="0" t="s">
        <v>49</v>
      </c>
      <c r="AA234" s="0" t="s">
        <v>49</v>
      </c>
      <c r="AB234" s="0" t="s">
        <v>49</v>
      </c>
      <c r="AC234" s="0" t="s">
        <v>503</v>
      </c>
      <c r="AD234" s="0" t="s">
        <v>1491</v>
      </c>
      <c r="AE234" s="0" t="s">
        <v>1492</v>
      </c>
      <c r="AF234" s="0" t="s">
        <v>1493</v>
      </c>
      <c r="AG234" s="0" t="s">
        <v>1494</v>
      </c>
      <c r="AH234" s="0" t="s">
        <v>49</v>
      </c>
      <c r="AI234" s="0" t="s">
        <v>49</v>
      </c>
      <c r="AJ234" s="0" t="s">
        <v>49</v>
      </c>
      <c r="AK234" s="0" t="s">
        <v>49</v>
      </c>
      <c r="AL234" s="0" t="s">
        <v>120</v>
      </c>
    </row>
    <row r="235" customFormat="false" ht="15" hidden="false" customHeight="false" outlineLevel="0" collapsed="false">
      <c r="B235" s="0" t="str">
        <f aca="false">HYPERLINK("https://genome.ucsc.edu/cgi-bin/hgTracks?db=hg19&amp;position=chr19%3A55363241%2D55363241", "chr19:55363241")</f>
        <v>chr19:55363241</v>
      </c>
      <c r="C235" s="0" t="s">
        <v>143</v>
      </c>
      <c r="D235" s="0" t="n">
        <v>55363241</v>
      </c>
      <c r="E235" s="0" t="n">
        <v>55363241</v>
      </c>
      <c r="F235" s="0" t="s">
        <v>61</v>
      </c>
      <c r="G235" s="0" t="s">
        <v>60</v>
      </c>
      <c r="H235" s="0" t="s">
        <v>1507</v>
      </c>
      <c r="I235" s="0" t="s">
        <v>787</v>
      </c>
      <c r="J235" s="0" t="s">
        <v>1508</v>
      </c>
      <c r="K235" s="0" t="s">
        <v>49</v>
      </c>
      <c r="L235" s="0" t="s">
        <v>49</v>
      </c>
      <c r="M235" s="0" t="str">
        <f aca="false">HYPERLINK("https://www.genecards.org/Search/Keyword?queryString=%5Baliases%5D(%20KIR2DS4%20)%20OR%20%5Baliases%5D(%20KIR3DL1%20)%20OR%20%5Baliases%5D(%20KIR3DL2%20)&amp;keywords=KIR2DS4,KIR3DL1,KIR3DL2", "KIR2DS4;KIR3DL1;KIR3DL2")</f>
        <v>KIR2DS4;KIR3DL1;KIR3DL2</v>
      </c>
      <c r="N235" s="0" t="s">
        <v>510</v>
      </c>
      <c r="O235" s="0" t="s">
        <v>49</v>
      </c>
      <c r="P235" s="0" t="s">
        <v>49</v>
      </c>
      <c r="Q235" s="0" t="n">
        <v>-1</v>
      </c>
      <c r="R235" s="0" t="n">
        <v>-1</v>
      </c>
      <c r="S235" s="0" t="n">
        <v>-1</v>
      </c>
      <c r="T235" s="0" t="n">
        <v>-1</v>
      </c>
      <c r="U235" s="0" t="n">
        <v>-1</v>
      </c>
      <c r="V235" s="0" t="s">
        <v>49</v>
      </c>
      <c r="W235" s="0" t="s">
        <v>49</v>
      </c>
      <c r="X235" s="0" t="s">
        <v>333</v>
      </c>
      <c r="Y235" s="0" t="s">
        <v>219</v>
      </c>
      <c r="Z235" s="0" t="s">
        <v>49</v>
      </c>
      <c r="AA235" s="0" t="s">
        <v>49</v>
      </c>
      <c r="AB235" s="0" t="s">
        <v>49</v>
      </c>
      <c r="AC235" s="0" t="s">
        <v>53</v>
      </c>
      <c r="AD235" s="0" t="s">
        <v>1509</v>
      </c>
      <c r="AE235" s="0" t="s">
        <v>1510</v>
      </c>
      <c r="AF235" s="0" t="s">
        <v>1511</v>
      </c>
      <c r="AG235" s="0" t="s">
        <v>1512</v>
      </c>
      <c r="AH235" s="0" t="s">
        <v>49</v>
      </c>
      <c r="AI235" s="0" t="s">
        <v>49</v>
      </c>
      <c r="AJ235" s="0" t="s">
        <v>49</v>
      </c>
      <c r="AK235" s="0" t="s">
        <v>49</v>
      </c>
      <c r="AL235" s="0" t="s">
        <v>49</v>
      </c>
    </row>
    <row r="236" customFormat="false" ht="15" hidden="false" customHeight="false" outlineLevel="0" collapsed="false">
      <c r="B236" s="0" t="str">
        <f aca="false">HYPERLINK("https://genome.ucsc.edu/cgi-bin/hgTracks?db=hg19&amp;position=chr19%3A55367015%2D55367015", "chr19:55367015")</f>
        <v>chr19:55367015</v>
      </c>
      <c r="C236" s="0" t="s">
        <v>143</v>
      </c>
      <c r="D236" s="0" t="n">
        <v>55367015</v>
      </c>
      <c r="E236" s="0" t="n">
        <v>55367015</v>
      </c>
      <c r="F236" s="0" t="s">
        <v>61</v>
      </c>
      <c r="G236" s="0" t="s">
        <v>60</v>
      </c>
      <c r="H236" s="0" t="s">
        <v>1513</v>
      </c>
      <c r="I236" s="0" t="s">
        <v>1514</v>
      </c>
      <c r="J236" s="0" t="s">
        <v>1515</v>
      </c>
      <c r="K236" s="0" t="s">
        <v>49</v>
      </c>
      <c r="L236" s="0" t="str">
        <f aca="false">HYPERLINK("https://www.ncbi.nlm.nih.gov/snp/rs199827986", "rs199827986")</f>
        <v>rs199827986</v>
      </c>
      <c r="M236" s="0" t="str">
        <f aca="false">HYPERLINK("https://www.genecards.org/Search/Keyword?queryString=%5Baliases%5D(%20KIR2DS4%20)%20OR%20%5Baliases%5D(%20KIR3DL1%20)%20OR%20%5Baliases%5D(%20KIR3DL2%20)&amp;keywords=KIR2DS4,KIR3DL1,KIR3DL2", "KIR2DS4;KIR3DL1;KIR3DL2")</f>
        <v>KIR2DS4;KIR3DL1;KIR3DL2</v>
      </c>
      <c r="N236" s="0" t="s">
        <v>510</v>
      </c>
      <c r="O236" s="0" t="s">
        <v>49</v>
      </c>
      <c r="P236" s="0" t="s">
        <v>49</v>
      </c>
      <c r="Q236" s="0" t="n">
        <v>0.0026972</v>
      </c>
      <c r="R236" s="0" t="n">
        <v>-1</v>
      </c>
      <c r="S236" s="0" t="n">
        <v>-1</v>
      </c>
      <c r="T236" s="0" t="n">
        <v>-1</v>
      </c>
      <c r="U236" s="0" t="n">
        <v>-1</v>
      </c>
      <c r="V236" s="0" t="s">
        <v>49</v>
      </c>
      <c r="W236" s="0" t="s">
        <v>49</v>
      </c>
      <c r="X236" s="0" t="s">
        <v>333</v>
      </c>
      <c r="Y236" s="0" t="s">
        <v>219</v>
      </c>
      <c r="Z236" s="0" t="s">
        <v>49</v>
      </c>
      <c r="AA236" s="0" t="s">
        <v>49</v>
      </c>
      <c r="AB236" s="0" t="s">
        <v>49</v>
      </c>
      <c r="AC236" s="0" t="s">
        <v>53</v>
      </c>
      <c r="AD236" s="0" t="s">
        <v>1509</v>
      </c>
      <c r="AE236" s="0" t="s">
        <v>1510</v>
      </c>
      <c r="AF236" s="0" t="s">
        <v>1511</v>
      </c>
      <c r="AG236" s="0" t="s">
        <v>1512</v>
      </c>
      <c r="AH236" s="0" t="s">
        <v>49</v>
      </c>
      <c r="AI236" s="0" t="s">
        <v>822</v>
      </c>
      <c r="AJ236" s="0" t="s">
        <v>49</v>
      </c>
      <c r="AK236" s="0" t="s">
        <v>49</v>
      </c>
      <c r="AL236" s="0" t="s">
        <v>132</v>
      </c>
    </row>
    <row r="237" customFormat="false" ht="15" hidden="false" customHeight="false" outlineLevel="0" collapsed="false">
      <c r="B237" s="0" t="str">
        <f aca="false">HYPERLINK("https://genome.ucsc.edu/cgi-bin/hgTracks?db=hg19&amp;position=chr19%3A55367122%2D55367123", "chr19:55367122")</f>
        <v>chr19:55367122</v>
      </c>
      <c r="C237" s="0" t="s">
        <v>143</v>
      </c>
      <c r="D237" s="0" t="n">
        <v>55367122</v>
      </c>
      <c r="E237" s="0" t="n">
        <v>55367123</v>
      </c>
      <c r="F237" s="0" t="s">
        <v>535</v>
      </c>
      <c r="G237" s="0" t="s">
        <v>190</v>
      </c>
      <c r="H237" s="0" t="s">
        <v>1516</v>
      </c>
      <c r="I237" s="0" t="s">
        <v>1517</v>
      </c>
      <c r="J237" s="0" t="s">
        <v>1518</v>
      </c>
      <c r="K237" s="0" t="s">
        <v>49</v>
      </c>
      <c r="L237" s="0" t="s">
        <v>49</v>
      </c>
      <c r="M237" s="0" t="str">
        <f aca="false">HYPERLINK("https://www.genecards.org/Search/Keyword?queryString=%5Baliases%5D(%20KIR2DS4%20)%20OR%20%5Baliases%5D(%20KIR3DL2%20)&amp;keywords=KIR2DS4,KIR3DL2", "KIR2DS4;KIR3DL2")</f>
        <v>KIR2DS4;KIR3DL2</v>
      </c>
      <c r="N237" s="0" t="s">
        <v>45</v>
      </c>
      <c r="O237" s="0" t="s">
        <v>539</v>
      </c>
      <c r="P237" s="0" t="s">
        <v>1519</v>
      </c>
      <c r="Q237" s="0" t="n">
        <v>-1</v>
      </c>
      <c r="R237" s="0" t="n">
        <v>-1</v>
      </c>
      <c r="S237" s="0" t="n">
        <v>-1</v>
      </c>
      <c r="T237" s="0" t="n">
        <v>-1</v>
      </c>
      <c r="U237" s="0" t="n">
        <v>-1</v>
      </c>
      <c r="V237" s="0" t="s">
        <v>49</v>
      </c>
      <c r="W237" s="0" t="s">
        <v>49</v>
      </c>
      <c r="X237" s="0" t="s">
        <v>49</v>
      </c>
      <c r="Y237" s="0" t="s">
        <v>49</v>
      </c>
      <c r="Z237" s="0" t="s">
        <v>49</v>
      </c>
      <c r="AA237" s="0" t="s">
        <v>49</v>
      </c>
      <c r="AB237" s="0" t="s">
        <v>49</v>
      </c>
      <c r="AC237" s="0" t="s">
        <v>53</v>
      </c>
      <c r="AD237" s="0" t="s">
        <v>1520</v>
      </c>
      <c r="AE237" s="0" t="s">
        <v>1521</v>
      </c>
      <c r="AF237" s="0" t="s">
        <v>1522</v>
      </c>
      <c r="AG237" s="0" t="s">
        <v>1523</v>
      </c>
      <c r="AH237" s="0" t="s">
        <v>49</v>
      </c>
      <c r="AI237" s="0" t="s">
        <v>49</v>
      </c>
      <c r="AJ237" s="0" t="s">
        <v>49</v>
      </c>
      <c r="AK237" s="0" t="s">
        <v>49</v>
      </c>
      <c r="AL237" s="0" t="s">
        <v>132</v>
      </c>
    </row>
    <row r="238" customFormat="false" ht="15" hidden="false" customHeight="false" outlineLevel="0" collapsed="false">
      <c r="B238" s="0" t="str">
        <f aca="false">HYPERLINK("https://genome.ucsc.edu/cgi-bin/hgTracks?db=hg19&amp;position=chr19%3A55367124%2D55367124", "chr19:55367124")</f>
        <v>chr19:55367124</v>
      </c>
      <c r="C238" s="0" t="s">
        <v>143</v>
      </c>
      <c r="D238" s="0" t="n">
        <v>55367124</v>
      </c>
      <c r="E238" s="0" t="n">
        <v>55367124</v>
      </c>
      <c r="F238" s="0" t="s">
        <v>190</v>
      </c>
      <c r="G238" s="0" t="s">
        <v>1524</v>
      </c>
      <c r="H238" s="0" t="s">
        <v>1525</v>
      </c>
      <c r="I238" s="0" t="s">
        <v>731</v>
      </c>
      <c r="J238" s="0" t="s">
        <v>1526</v>
      </c>
      <c r="K238" s="0" t="s">
        <v>49</v>
      </c>
      <c r="L238" s="0" t="s">
        <v>49</v>
      </c>
      <c r="M238" s="0" t="str">
        <f aca="false">HYPERLINK("https://www.genecards.org/Search/Keyword?queryString=%5Baliases%5D(%20KIR2DS4%20)%20OR%20%5Baliases%5D(%20KIR3DL2%20)&amp;keywords=KIR2DS4,KIR3DL2", "KIR2DS4;KIR3DL2")</f>
        <v>KIR2DS4;KIR3DL2</v>
      </c>
      <c r="N238" s="0" t="s">
        <v>45</v>
      </c>
      <c r="O238" s="0" t="s">
        <v>259</v>
      </c>
      <c r="P238" s="0" t="s">
        <v>1527</v>
      </c>
      <c r="Q238" s="0" t="n">
        <v>-1</v>
      </c>
      <c r="R238" s="0" t="n">
        <v>-1</v>
      </c>
      <c r="S238" s="0" t="n">
        <v>-1</v>
      </c>
      <c r="T238" s="0" t="n">
        <v>-1</v>
      </c>
      <c r="U238" s="0" t="n">
        <v>-1</v>
      </c>
      <c r="V238" s="0" t="s">
        <v>49</v>
      </c>
      <c r="W238" s="0" t="s">
        <v>49</v>
      </c>
      <c r="X238" s="0" t="s">
        <v>49</v>
      </c>
      <c r="Y238" s="0" t="s">
        <v>49</v>
      </c>
      <c r="Z238" s="0" t="s">
        <v>49</v>
      </c>
      <c r="AA238" s="0" t="s">
        <v>49</v>
      </c>
      <c r="AB238" s="0" t="s">
        <v>49</v>
      </c>
      <c r="AC238" s="0" t="s">
        <v>53</v>
      </c>
      <c r="AD238" s="0" t="s">
        <v>1520</v>
      </c>
      <c r="AE238" s="0" t="s">
        <v>1521</v>
      </c>
      <c r="AF238" s="0" t="s">
        <v>1522</v>
      </c>
      <c r="AG238" s="0" t="s">
        <v>1523</v>
      </c>
      <c r="AH238" s="0" t="s">
        <v>49</v>
      </c>
      <c r="AI238" s="0" t="s">
        <v>49</v>
      </c>
      <c r="AJ238" s="0" t="s">
        <v>49</v>
      </c>
      <c r="AK238" s="0" t="s">
        <v>49</v>
      </c>
      <c r="AL238" s="0" t="s">
        <v>132</v>
      </c>
    </row>
    <row r="239" s="2" customFormat="true" ht="15" hidden="false" customHeight="false" outlineLevel="0" collapsed="false">
      <c r="B239" s="2" t="str">
        <f aca="false">HYPERLINK("https://genome.ucsc.edu/cgi-bin/hgTracks?db=hg19&amp;position=chr2%3A9677014%2D9677014", "chr2:9677014")</f>
        <v>chr2:9677014</v>
      </c>
      <c r="C239" s="2" t="s">
        <v>38</v>
      </c>
      <c r="D239" s="2" t="n">
        <v>9677014</v>
      </c>
      <c r="E239" s="2" t="n">
        <v>9677014</v>
      </c>
      <c r="F239" s="2" t="s">
        <v>40</v>
      </c>
      <c r="G239" s="2" t="s">
        <v>39</v>
      </c>
      <c r="H239" s="2" t="s">
        <v>1528</v>
      </c>
      <c r="I239" s="2" t="s">
        <v>804</v>
      </c>
      <c r="J239" s="2" t="s">
        <v>1529</v>
      </c>
      <c r="K239" s="2" t="s">
        <v>49</v>
      </c>
      <c r="L239" s="2" t="s">
        <v>49</v>
      </c>
      <c r="M239" s="2" t="str">
        <f aca="false">HYPERLINK("https://www.genecards.org/Search/Keyword?queryString=%5Baliases%5D(%20ADAM17%20)&amp;keywords=ADAM17", "ADAM17")</f>
        <v>ADAM17</v>
      </c>
      <c r="N239" s="2" t="s">
        <v>510</v>
      </c>
      <c r="O239" s="2" t="s">
        <v>49</v>
      </c>
      <c r="P239" s="2" t="s">
        <v>49</v>
      </c>
      <c r="Q239" s="2" t="n">
        <v>-1</v>
      </c>
      <c r="R239" s="2" t="n">
        <v>-1</v>
      </c>
      <c r="S239" s="2" t="n">
        <v>-1</v>
      </c>
      <c r="T239" s="2" t="n">
        <v>-1</v>
      </c>
      <c r="U239" s="2" t="n">
        <v>-1</v>
      </c>
      <c r="V239" s="2" t="s">
        <v>49</v>
      </c>
      <c r="W239" s="2" t="s">
        <v>49</v>
      </c>
      <c r="X239" s="2" t="s">
        <v>333</v>
      </c>
      <c r="Y239" s="2" t="s">
        <v>219</v>
      </c>
      <c r="Z239" s="2" t="s">
        <v>49</v>
      </c>
      <c r="AA239" s="2" t="s">
        <v>49</v>
      </c>
      <c r="AB239" s="2" t="s">
        <v>49</v>
      </c>
      <c r="AC239" s="2" t="s">
        <v>53</v>
      </c>
      <c r="AD239" s="2" t="s">
        <v>54</v>
      </c>
      <c r="AE239" s="2" t="s">
        <v>1530</v>
      </c>
      <c r="AF239" s="2" t="s">
        <v>1531</v>
      </c>
      <c r="AG239" s="2" t="s">
        <v>1532</v>
      </c>
      <c r="AH239" s="2" t="s">
        <v>1533</v>
      </c>
      <c r="AI239" s="2" t="s">
        <v>49</v>
      </c>
      <c r="AJ239" s="2" t="s">
        <v>49</v>
      </c>
      <c r="AK239" s="2" t="s">
        <v>49</v>
      </c>
      <c r="AL239" s="2" t="s">
        <v>49</v>
      </c>
    </row>
    <row r="240" customFormat="false" ht="15" hidden="false" customHeight="false" outlineLevel="0" collapsed="false">
      <c r="B240" s="0" t="str">
        <f aca="false">HYPERLINK("https://genome.ucsc.edu/cgi-bin/hgTracks?db=hg19&amp;position=chr2%3A24475121%2D24475121", "chr2:24475121")</f>
        <v>chr2:24475121</v>
      </c>
      <c r="C240" s="0" t="s">
        <v>38</v>
      </c>
      <c r="D240" s="0" t="n">
        <v>24475121</v>
      </c>
      <c r="E240" s="0" t="n">
        <v>24475121</v>
      </c>
      <c r="F240" s="0" t="s">
        <v>40</v>
      </c>
      <c r="G240" s="0" t="s">
        <v>39</v>
      </c>
      <c r="H240" s="0" t="s">
        <v>1114</v>
      </c>
      <c r="I240" s="0" t="s">
        <v>1171</v>
      </c>
      <c r="J240" s="0" t="s">
        <v>1172</v>
      </c>
      <c r="K240" s="0" t="s">
        <v>49</v>
      </c>
      <c r="L240" s="0" t="s">
        <v>49</v>
      </c>
      <c r="M240" s="0" t="str">
        <f aca="false">HYPERLINK("https://www.genecards.org/Search/Keyword?queryString=%5Baliases%5D(%20ITSN2%20)&amp;keywords=ITSN2", "ITSN2")</f>
        <v>ITSN2</v>
      </c>
      <c r="N240" s="0" t="s">
        <v>510</v>
      </c>
      <c r="O240" s="0" t="s">
        <v>49</v>
      </c>
      <c r="P240" s="0" t="s">
        <v>49</v>
      </c>
      <c r="Q240" s="0" t="n">
        <v>-1</v>
      </c>
      <c r="R240" s="0" t="n">
        <v>-1</v>
      </c>
      <c r="S240" s="0" t="n">
        <v>-1</v>
      </c>
      <c r="T240" s="0" t="n">
        <v>-1</v>
      </c>
      <c r="U240" s="0" t="n">
        <v>-1</v>
      </c>
      <c r="V240" s="0" t="s">
        <v>49</v>
      </c>
      <c r="W240" s="0" t="s">
        <v>49</v>
      </c>
      <c r="X240" s="0" t="s">
        <v>517</v>
      </c>
      <c r="Y240" s="0" t="s">
        <v>219</v>
      </c>
      <c r="Z240" s="0" t="s">
        <v>49</v>
      </c>
      <c r="AA240" s="0" t="s">
        <v>49</v>
      </c>
      <c r="AB240" s="0" t="s">
        <v>49</v>
      </c>
      <c r="AC240" s="0" t="s">
        <v>53</v>
      </c>
      <c r="AD240" s="0" t="s">
        <v>54</v>
      </c>
      <c r="AE240" s="0" t="s">
        <v>1534</v>
      </c>
      <c r="AF240" s="0" t="s">
        <v>1535</v>
      </c>
      <c r="AG240" s="0" t="s">
        <v>1536</v>
      </c>
      <c r="AH240" s="0" t="s">
        <v>49</v>
      </c>
      <c r="AI240" s="0" t="s">
        <v>49</v>
      </c>
      <c r="AJ240" s="0" t="s">
        <v>49</v>
      </c>
      <c r="AK240" s="0" t="s">
        <v>49</v>
      </c>
      <c r="AL240" s="0" t="s">
        <v>49</v>
      </c>
    </row>
    <row r="241" customFormat="false" ht="15" hidden="false" customHeight="false" outlineLevel="0" collapsed="false">
      <c r="B241" s="0" t="str">
        <f aca="false">HYPERLINK("https://genome.ucsc.edu/cgi-bin/hgTracks?db=hg19&amp;position=chr2%3A28532947%2D28532947", "chr2:28532947")</f>
        <v>chr2:28532947</v>
      </c>
      <c r="C241" s="0" t="s">
        <v>38</v>
      </c>
      <c r="D241" s="0" t="n">
        <v>28532947</v>
      </c>
      <c r="E241" s="0" t="n">
        <v>28532947</v>
      </c>
      <c r="F241" s="0" t="s">
        <v>61</v>
      </c>
      <c r="G241" s="0" t="s">
        <v>39</v>
      </c>
      <c r="H241" s="0" t="s">
        <v>1537</v>
      </c>
      <c r="I241" s="0" t="s">
        <v>973</v>
      </c>
      <c r="J241" s="0" t="s">
        <v>974</v>
      </c>
      <c r="K241" s="0" t="s">
        <v>49</v>
      </c>
      <c r="L241" s="0" t="str">
        <f aca="false">HYPERLINK("https://www.ncbi.nlm.nih.gov/snp/rs150302537", "rs150302537")</f>
        <v>rs150302537</v>
      </c>
      <c r="M241" s="0" t="str">
        <f aca="false">HYPERLINK("https://www.genecards.org/Search/Keyword?queryString=%5Baliases%5D(%20BABAM2%20)%20OR%20%5Baliases%5D(%20BRE%20)&amp;keywords=BABAM2,BRE", "BABAM2;BRE")</f>
        <v>BABAM2;BRE</v>
      </c>
      <c r="N241" s="0" t="s">
        <v>196</v>
      </c>
      <c r="O241" s="0" t="s">
        <v>49</v>
      </c>
      <c r="P241" s="0" t="s">
        <v>1538</v>
      </c>
      <c r="Q241" s="0" t="n">
        <v>0.0073</v>
      </c>
      <c r="R241" s="0" t="n">
        <v>0.0088</v>
      </c>
      <c r="S241" s="0" t="n">
        <v>0.0072</v>
      </c>
      <c r="T241" s="0" t="n">
        <v>-1</v>
      </c>
      <c r="U241" s="0" t="n">
        <v>0.0132</v>
      </c>
      <c r="V241" s="0" t="s">
        <v>790</v>
      </c>
      <c r="W241" s="0" t="s">
        <v>40</v>
      </c>
      <c r="X241" s="0" t="s">
        <v>218</v>
      </c>
      <c r="Y241" s="0" t="s">
        <v>390</v>
      </c>
      <c r="Z241" s="0" t="s">
        <v>115</v>
      </c>
      <c r="AA241" s="0" t="s">
        <v>49</v>
      </c>
      <c r="AB241" s="0" t="s">
        <v>49</v>
      </c>
      <c r="AC241" s="0" t="s">
        <v>53</v>
      </c>
      <c r="AD241" s="0" t="s">
        <v>220</v>
      </c>
      <c r="AE241" s="0" t="s">
        <v>1539</v>
      </c>
      <c r="AF241" s="0" t="s">
        <v>1540</v>
      </c>
      <c r="AG241" s="0" t="s">
        <v>1541</v>
      </c>
      <c r="AH241" s="0" t="s">
        <v>49</v>
      </c>
      <c r="AI241" s="0" t="s">
        <v>49</v>
      </c>
      <c r="AJ241" s="0" t="s">
        <v>49</v>
      </c>
      <c r="AK241" s="0" t="s">
        <v>49</v>
      </c>
      <c r="AL241" s="0" t="s">
        <v>49</v>
      </c>
    </row>
    <row r="242" customFormat="false" ht="15" hidden="false" customHeight="false" outlineLevel="0" collapsed="false">
      <c r="B242" s="0" t="str">
        <f aca="false">HYPERLINK("https://genome.ucsc.edu/cgi-bin/hgTracks?db=hg19&amp;position=chr2%3A28815641%2D28815641", "chr2:28815641")</f>
        <v>chr2:28815641</v>
      </c>
      <c r="C242" s="0" t="s">
        <v>38</v>
      </c>
      <c r="D242" s="0" t="n">
        <v>28815641</v>
      </c>
      <c r="E242" s="0" t="n">
        <v>28815641</v>
      </c>
      <c r="F242" s="0" t="s">
        <v>39</v>
      </c>
      <c r="G242" s="0" t="s">
        <v>60</v>
      </c>
      <c r="H242" s="0" t="s">
        <v>1542</v>
      </c>
      <c r="I242" s="0" t="s">
        <v>750</v>
      </c>
      <c r="J242" s="0" t="s">
        <v>1543</v>
      </c>
      <c r="K242" s="0" t="s">
        <v>49</v>
      </c>
      <c r="L242" s="0" t="str">
        <f aca="false">HYPERLINK("https://www.ncbi.nlm.nih.gov/snp/rs186488951", "rs186488951")</f>
        <v>rs186488951</v>
      </c>
      <c r="M242" s="0" t="str">
        <f aca="false">HYPERLINK("https://www.genecards.org/Search/Keyword?queryString=%5Baliases%5D(%20PLB1%20)&amp;keywords=PLB1", "PLB1")</f>
        <v>PLB1</v>
      </c>
      <c r="N242" s="0" t="s">
        <v>1388</v>
      </c>
      <c r="O242" s="0" t="s">
        <v>49</v>
      </c>
      <c r="P242" s="0" t="s">
        <v>1544</v>
      </c>
      <c r="Q242" s="0" t="n">
        <v>0.0052</v>
      </c>
      <c r="R242" s="0" t="n">
        <v>0.0058</v>
      </c>
      <c r="S242" s="0" t="n">
        <v>0.0048</v>
      </c>
      <c r="T242" s="0" t="n">
        <v>-1</v>
      </c>
      <c r="U242" s="0" t="n">
        <v>0.0051</v>
      </c>
      <c r="V242" s="0" t="s">
        <v>49</v>
      </c>
      <c r="W242" s="0" t="s">
        <v>49</v>
      </c>
      <c r="X242" s="0" t="s">
        <v>517</v>
      </c>
      <c r="Y242" s="0" t="s">
        <v>219</v>
      </c>
      <c r="Z242" s="0" t="s">
        <v>49</v>
      </c>
      <c r="AA242" s="0" t="s">
        <v>49</v>
      </c>
      <c r="AB242" s="0" t="s">
        <v>49</v>
      </c>
      <c r="AC242" s="0" t="s">
        <v>53</v>
      </c>
      <c r="AD242" s="0" t="s">
        <v>54</v>
      </c>
      <c r="AE242" s="0" t="s">
        <v>1545</v>
      </c>
      <c r="AF242" s="0" t="s">
        <v>1546</v>
      </c>
      <c r="AG242" s="0" t="s">
        <v>1547</v>
      </c>
      <c r="AH242" s="0" t="s">
        <v>49</v>
      </c>
      <c r="AI242" s="0" t="s">
        <v>49</v>
      </c>
      <c r="AJ242" s="0" t="s">
        <v>49</v>
      </c>
      <c r="AK242" s="0" t="s">
        <v>49</v>
      </c>
      <c r="AL242" s="0" t="s">
        <v>49</v>
      </c>
    </row>
    <row r="243" customFormat="false" ht="15" hidden="false" customHeight="false" outlineLevel="0" collapsed="false">
      <c r="B243" s="0" t="str">
        <f aca="false">HYPERLINK("https://genome.ucsc.edu/cgi-bin/hgTracks?db=hg19&amp;position=chr2%3A29222432%2D29222432", "chr2:29222432")</f>
        <v>chr2:29222432</v>
      </c>
      <c r="C243" s="0" t="s">
        <v>38</v>
      </c>
      <c r="D243" s="0" t="n">
        <v>29222432</v>
      </c>
      <c r="E243" s="0" t="n">
        <v>29222432</v>
      </c>
      <c r="F243" s="0" t="s">
        <v>40</v>
      </c>
      <c r="G243" s="0" t="s">
        <v>60</v>
      </c>
      <c r="H243" s="0" t="s">
        <v>1548</v>
      </c>
      <c r="I243" s="0" t="s">
        <v>1312</v>
      </c>
      <c r="J243" s="0" t="s">
        <v>1549</v>
      </c>
      <c r="K243" s="0" t="s">
        <v>49</v>
      </c>
      <c r="L243" s="0" t="s">
        <v>49</v>
      </c>
      <c r="M243" s="0" t="str">
        <f aca="false">HYPERLINK("https://www.genecards.org/Search/Keyword?queryString=%5Baliases%5D(%20FAM179A%20)%20OR%20%5Baliases%5D(%20TOGARAM2%20)&amp;keywords=FAM179A,TOGARAM2", "FAM179A;TOGARAM2")</f>
        <v>FAM179A;TOGARAM2</v>
      </c>
      <c r="N243" s="0" t="s">
        <v>510</v>
      </c>
      <c r="O243" s="0" t="s">
        <v>49</v>
      </c>
      <c r="P243" s="0" t="s">
        <v>49</v>
      </c>
      <c r="Q243" s="0" t="n">
        <v>0.0003</v>
      </c>
      <c r="R243" s="0" t="n">
        <v>0.0002</v>
      </c>
      <c r="S243" s="0" t="n">
        <v>7.359E-005</v>
      </c>
      <c r="T243" s="0" t="n">
        <v>-1</v>
      </c>
      <c r="U243" s="0" t="n">
        <v>0.0002</v>
      </c>
      <c r="V243" s="0" t="s">
        <v>49</v>
      </c>
      <c r="W243" s="0" t="s">
        <v>49</v>
      </c>
      <c r="X243" s="0" t="s">
        <v>517</v>
      </c>
      <c r="Y243" s="0" t="s">
        <v>219</v>
      </c>
      <c r="Z243" s="0" t="s">
        <v>49</v>
      </c>
      <c r="AA243" s="0" t="s">
        <v>49</v>
      </c>
      <c r="AB243" s="0" t="s">
        <v>49</v>
      </c>
      <c r="AC243" s="0" t="s">
        <v>53</v>
      </c>
      <c r="AD243" s="0" t="s">
        <v>220</v>
      </c>
      <c r="AE243" s="0" t="s">
        <v>1550</v>
      </c>
      <c r="AF243" s="0" t="s">
        <v>1551</v>
      </c>
      <c r="AG243" s="0" t="s">
        <v>49</v>
      </c>
      <c r="AH243" s="0" t="s">
        <v>49</v>
      </c>
      <c r="AI243" s="0" t="s">
        <v>49</v>
      </c>
      <c r="AJ243" s="0" t="s">
        <v>49</v>
      </c>
      <c r="AK243" s="0" t="s">
        <v>49</v>
      </c>
      <c r="AL243" s="0" t="s">
        <v>49</v>
      </c>
    </row>
    <row r="244" customFormat="false" ht="15" hidden="false" customHeight="false" outlineLevel="0" collapsed="false">
      <c r="B244" s="0" t="str">
        <f aca="false">HYPERLINK("https://genome.ucsc.edu/cgi-bin/hgTracks?db=hg19&amp;position=chr2%3A37586991%2D37586991", "chr2:37586991")</f>
        <v>chr2:37586991</v>
      </c>
      <c r="C244" s="0" t="s">
        <v>38</v>
      </c>
      <c r="D244" s="0" t="n">
        <v>37586991</v>
      </c>
      <c r="E244" s="0" t="n">
        <v>37586991</v>
      </c>
      <c r="F244" s="0" t="s">
        <v>40</v>
      </c>
      <c r="G244" s="0" t="s">
        <v>190</v>
      </c>
      <c r="H244" s="0" t="s">
        <v>1552</v>
      </c>
      <c r="I244" s="0" t="s">
        <v>1553</v>
      </c>
      <c r="J244" s="0" t="s">
        <v>1554</v>
      </c>
      <c r="K244" s="0" t="s">
        <v>49</v>
      </c>
      <c r="L244" s="0" t="s">
        <v>49</v>
      </c>
      <c r="M244" s="0" t="str">
        <f aca="false">HYPERLINK("https://www.genecards.org/Search/Keyword?queryString=%5Baliases%5D(%20QPCT%20)&amp;keywords=QPCT", "QPCT")</f>
        <v>QPCT</v>
      </c>
      <c r="N244" s="0" t="s">
        <v>45</v>
      </c>
      <c r="O244" s="0" t="s">
        <v>539</v>
      </c>
      <c r="P244" s="0" t="s">
        <v>1555</v>
      </c>
      <c r="Q244" s="0" t="n">
        <v>-1</v>
      </c>
      <c r="R244" s="0" t="n">
        <v>-1</v>
      </c>
      <c r="S244" s="0" t="n">
        <v>-1</v>
      </c>
      <c r="T244" s="0" t="n">
        <v>-1</v>
      </c>
      <c r="U244" s="0" t="n">
        <v>-1</v>
      </c>
      <c r="V244" s="0" t="s">
        <v>49</v>
      </c>
      <c r="W244" s="0" t="s">
        <v>49</v>
      </c>
      <c r="X244" s="0" t="s">
        <v>49</v>
      </c>
      <c r="Y244" s="0" t="s">
        <v>49</v>
      </c>
      <c r="Z244" s="0" t="s">
        <v>49</v>
      </c>
      <c r="AA244" s="0" t="s">
        <v>49</v>
      </c>
      <c r="AB244" s="0" t="s">
        <v>49</v>
      </c>
      <c r="AC244" s="0" t="s">
        <v>53</v>
      </c>
      <c r="AD244" s="0" t="s">
        <v>54</v>
      </c>
      <c r="AE244" s="0" t="s">
        <v>1556</v>
      </c>
      <c r="AF244" s="0" t="s">
        <v>1557</v>
      </c>
      <c r="AG244" s="0" t="s">
        <v>1558</v>
      </c>
      <c r="AH244" s="0" t="s">
        <v>49</v>
      </c>
      <c r="AI244" s="0" t="s">
        <v>49</v>
      </c>
      <c r="AJ244" s="0" t="s">
        <v>49</v>
      </c>
      <c r="AK244" s="0" t="s">
        <v>49</v>
      </c>
      <c r="AL244" s="0" t="s">
        <v>49</v>
      </c>
    </row>
    <row r="245" customFormat="false" ht="15" hidden="false" customHeight="false" outlineLevel="0" collapsed="false">
      <c r="B245" s="0" t="str">
        <f aca="false">HYPERLINK("https://genome.ucsc.edu/cgi-bin/hgTracks?db=hg19&amp;position=chr2%3A43937723%2D43937723", "chr2:43937723")</f>
        <v>chr2:43937723</v>
      </c>
      <c r="C245" s="0" t="s">
        <v>38</v>
      </c>
      <c r="D245" s="0" t="n">
        <v>43937723</v>
      </c>
      <c r="E245" s="0" t="n">
        <v>43937723</v>
      </c>
      <c r="F245" s="0" t="s">
        <v>190</v>
      </c>
      <c r="G245" s="0" t="s">
        <v>40</v>
      </c>
      <c r="H245" s="0" t="s">
        <v>1559</v>
      </c>
      <c r="I245" s="0" t="s">
        <v>1074</v>
      </c>
      <c r="J245" s="0" t="s">
        <v>1560</v>
      </c>
      <c r="K245" s="0" t="s">
        <v>49</v>
      </c>
      <c r="L245" s="0" t="str">
        <f aca="false">HYPERLINK("https://www.ncbi.nlm.nih.gov/snp/rs376851824", "rs376851824")</f>
        <v>rs376851824</v>
      </c>
      <c r="M245" s="0" t="str">
        <f aca="false">HYPERLINK("https://www.genecards.org/Search/Keyword?queryString=%5Baliases%5D(%20PLEKHH2%20)&amp;keywords=PLEKHH2", "PLEKHH2")</f>
        <v>PLEKHH2</v>
      </c>
      <c r="N245" s="0" t="s">
        <v>549</v>
      </c>
      <c r="O245" s="0" t="s">
        <v>259</v>
      </c>
      <c r="P245" s="0" t="s">
        <v>1561</v>
      </c>
      <c r="Q245" s="0" t="n">
        <v>0.0004528</v>
      </c>
      <c r="R245" s="0" t="n">
        <v>-1</v>
      </c>
      <c r="S245" s="0" t="n">
        <v>-1</v>
      </c>
      <c r="T245" s="0" t="n">
        <v>-1</v>
      </c>
      <c r="U245" s="0" t="n">
        <v>-1</v>
      </c>
      <c r="V245" s="0" t="s">
        <v>49</v>
      </c>
      <c r="W245" s="0" t="s">
        <v>49</v>
      </c>
      <c r="X245" s="0" t="s">
        <v>49</v>
      </c>
      <c r="Y245" s="0" t="s">
        <v>49</v>
      </c>
      <c r="Z245" s="0" t="s">
        <v>49</v>
      </c>
      <c r="AA245" s="0" t="s">
        <v>49</v>
      </c>
      <c r="AB245" s="0" t="s">
        <v>49</v>
      </c>
      <c r="AC245" s="0" t="s">
        <v>53</v>
      </c>
      <c r="AD245" s="0" t="s">
        <v>54</v>
      </c>
      <c r="AE245" s="0" t="s">
        <v>1562</v>
      </c>
      <c r="AF245" s="0" t="s">
        <v>1563</v>
      </c>
      <c r="AG245" s="0" t="s">
        <v>1564</v>
      </c>
      <c r="AH245" s="0" t="s">
        <v>49</v>
      </c>
      <c r="AI245" s="0" t="s">
        <v>49</v>
      </c>
      <c r="AJ245" s="0" t="s">
        <v>49</v>
      </c>
      <c r="AK245" s="0" t="s">
        <v>49</v>
      </c>
      <c r="AL245" s="0" t="s">
        <v>49</v>
      </c>
    </row>
    <row r="246" customFormat="false" ht="15" hidden="false" customHeight="false" outlineLevel="0" collapsed="false">
      <c r="B246" s="0" t="str">
        <f aca="false">HYPERLINK("https://genome.ucsc.edu/cgi-bin/hgTracks?db=hg19&amp;position=chr2%3A53995118%2D53995119", "chr2:53995118")</f>
        <v>chr2:53995118</v>
      </c>
      <c r="C246" s="0" t="s">
        <v>38</v>
      </c>
      <c r="D246" s="0" t="n">
        <v>53995118</v>
      </c>
      <c r="E246" s="0" t="n">
        <v>53995119</v>
      </c>
      <c r="F246" s="0" t="s">
        <v>925</v>
      </c>
      <c r="G246" s="0" t="s">
        <v>190</v>
      </c>
      <c r="H246" s="0" t="s">
        <v>1565</v>
      </c>
      <c r="I246" s="0" t="s">
        <v>1083</v>
      </c>
      <c r="J246" s="0" t="s">
        <v>1566</v>
      </c>
      <c r="K246" s="0" t="s">
        <v>49</v>
      </c>
      <c r="L246" s="0" t="str">
        <f aca="false">HYPERLINK("https://www.ncbi.nlm.nih.gov/snp/rs756236000", "rs756236000")</f>
        <v>rs756236000</v>
      </c>
      <c r="M246" s="0" t="str">
        <f aca="false">HYPERLINK("https://www.genecards.org/Search/Keyword?queryString=%5Baliases%5D(%20CHAC2%20)&amp;keywords=CHAC2", "CHAC2")</f>
        <v>CHAC2</v>
      </c>
      <c r="N246" s="0" t="s">
        <v>45</v>
      </c>
      <c r="O246" s="0" t="s">
        <v>539</v>
      </c>
      <c r="P246" s="0" t="s">
        <v>1567</v>
      </c>
      <c r="Q246" s="0" t="n">
        <v>0.0009</v>
      </c>
      <c r="R246" s="0" t="n">
        <v>0.0005</v>
      </c>
      <c r="S246" s="0" t="n">
        <v>0.0007</v>
      </c>
      <c r="T246" s="0" t="n">
        <v>-1</v>
      </c>
      <c r="U246" s="0" t="n">
        <v>0.0004</v>
      </c>
      <c r="V246" s="0" t="s">
        <v>49</v>
      </c>
      <c r="W246" s="0" t="s">
        <v>49</v>
      </c>
      <c r="X246" s="0" t="s">
        <v>49</v>
      </c>
      <c r="Y246" s="0" t="s">
        <v>49</v>
      </c>
      <c r="Z246" s="0" t="s">
        <v>49</v>
      </c>
      <c r="AA246" s="0" t="s">
        <v>49</v>
      </c>
      <c r="AB246" s="0" t="s">
        <v>49</v>
      </c>
      <c r="AC246" s="0" t="s">
        <v>53</v>
      </c>
      <c r="AD246" s="0" t="s">
        <v>54</v>
      </c>
      <c r="AE246" s="0" t="s">
        <v>1568</v>
      </c>
      <c r="AF246" s="0" t="s">
        <v>1569</v>
      </c>
      <c r="AG246" s="0" t="s">
        <v>1570</v>
      </c>
      <c r="AH246" s="0" t="s">
        <v>49</v>
      </c>
      <c r="AI246" s="0" t="s">
        <v>49</v>
      </c>
      <c r="AJ246" s="0" t="s">
        <v>49</v>
      </c>
      <c r="AK246" s="0" t="s">
        <v>49</v>
      </c>
      <c r="AL246" s="0" t="s">
        <v>49</v>
      </c>
    </row>
    <row r="247" customFormat="false" ht="15" hidden="false" customHeight="false" outlineLevel="0" collapsed="false">
      <c r="B247" s="0" t="str">
        <f aca="false">HYPERLINK("https://genome.ucsc.edu/cgi-bin/hgTracks?db=hg19&amp;position=chr2%3A61304021%2D61304021", "chr2:61304021")</f>
        <v>chr2:61304021</v>
      </c>
      <c r="C247" s="0" t="s">
        <v>38</v>
      </c>
      <c r="D247" s="0" t="n">
        <v>61304021</v>
      </c>
      <c r="E247" s="0" t="n">
        <v>61304021</v>
      </c>
      <c r="F247" s="0" t="s">
        <v>61</v>
      </c>
      <c r="G247" s="0" t="s">
        <v>60</v>
      </c>
      <c r="H247" s="0" t="s">
        <v>1571</v>
      </c>
      <c r="I247" s="0" t="s">
        <v>839</v>
      </c>
      <c r="J247" s="0" t="s">
        <v>1572</v>
      </c>
      <c r="K247" s="0" t="s">
        <v>49</v>
      </c>
      <c r="L247" s="0" t="str">
        <f aca="false">HYPERLINK("https://www.ncbi.nlm.nih.gov/snp/rs190125718", "rs190125718")</f>
        <v>rs190125718</v>
      </c>
      <c r="M247" s="0" t="str">
        <f aca="false">HYPERLINK("https://www.genecards.org/Search/Keyword?queryString=%5Baliases%5D(%20KIAA1841%20)&amp;keywords=KIAA1841", "KIAA1841")</f>
        <v>KIAA1841</v>
      </c>
      <c r="N247" s="0" t="s">
        <v>510</v>
      </c>
      <c r="O247" s="0" t="s">
        <v>49</v>
      </c>
      <c r="P247" s="0" t="s">
        <v>49</v>
      </c>
      <c r="Q247" s="0" t="n">
        <v>0.0277</v>
      </c>
      <c r="R247" s="0" t="n">
        <v>0.0213</v>
      </c>
      <c r="S247" s="0" t="n">
        <v>0.0217</v>
      </c>
      <c r="T247" s="0" t="n">
        <v>-1</v>
      </c>
      <c r="U247" s="0" t="n">
        <v>0.0238</v>
      </c>
      <c r="V247" s="0" t="s">
        <v>49</v>
      </c>
      <c r="W247" s="0" t="s">
        <v>49</v>
      </c>
      <c r="X247" s="0" t="s">
        <v>333</v>
      </c>
      <c r="Y247" s="0" t="s">
        <v>219</v>
      </c>
      <c r="Z247" s="0" t="s">
        <v>49</v>
      </c>
      <c r="AA247" s="0" t="s">
        <v>49</v>
      </c>
      <c r="AB247" s="0" t="s">
        <v>49</v>
      </c>
      <c r="AC247" s="0" t="s">
        <v>53</v>
      </c>
      <c r="AD247" s="0" t="s">
        <v>54</v>
      </c>
      <c r="AE247" s="0" t="s">
        <v>1573</v>
      </c>
      <c r="AF247" s="0" t="s">
        <v>1574</v>
      </c>
      <c r="AG247" s="0" t="s">
        <v>49</v>
      </c>
      <c r="AH247" s="0" t="s">
        <v>49</v>
      </c>
      <c r="AI247" s="0" t="s">
        <v>49</v>
      </c>
      <c r="AJ247" s="0" t="s">
        <v>49</v>
      </c>
      <c r="AK247" s="0" t="s">
        <v>49</v>
      </c>
      <c r="AL247" s="0" t="s">
        <v>49</v>
      </c>
    </row>
    <row r="248" customFormat="false" ht="15" hidden="false" customHeight="false" outlineLevel="0" collapsed="false">
      <c r="B248" s="0" t="str">
        <f aca="false">HYPERLINK("https://genome.ucsc.edu/cgi-bin/hgTracks?db=hg19&amp;position=chr2%3A63459901%2D63459901", "chr2:63459901")</f>
        <v>chr2:63459901</v>
      </c>
      <c r="C248" s="0" t="s">
        <v>38</v>
      </c>
      <c r="D248" s="0" t="n">
        <v>63459901</v>
      </c>
      <c r="E248" s="0" t="n">
        <v>63459901</v>
      </c>
      <c r="F248" s="0" t="s">
        <v>61</v>
      </c>
      <c r="G248" s="0" t="s">
        <v>60</v>
      </c>
      <c r="H248" s="0" t="s">
        <v>1575</v>
      </c>
      <c r="I248" s="0" t="s">
        <v>556</v>
      </c>
      <c r="J248" s="0" t="s">
        <v>1576</v>
      </c>
      <c r="K248" s="0" t="s">
        <v>49</v>
      </c>
      <c r="L248" s="0" t="str">
        <f aca="false">HYPERLINK("https://www.ncbi.nlm.nih.gov/snp/rs115758573", "rs115758573")</f>
        <v>rs115758573</v>
      </c>
      <c r="M248" s="0" t="str">
        <f aca="false">HYPERLINK("https://www.genecards.org/Search/Keyword?queryString=%5Baliases%5D(%20WDPCP%20)&amp;keywords=WDPCP", "WDPCP")</f>
        <v>WDPCP</v>
      </c>
      <c r="N248" s="0" t="s">
        <v>300</v>
      </c>
      <c r="O248" s="0" t="s">
        <v>49</v>
      </c>
      <c r="P248" s="0" t="s">
        <v>49</v>
      </c>
      <c r="Q248" s="0" t="n">
        <v>0.027</v>
      </c>
      <c r="R248" s="0" t="n">
        <v>0.0301</v>
      </c>
      <c r="S248" s="0" t="n">
        <v>0.0269</v>
      </c>
      <c r="T248" s="0" t="n">
        <v>-1</v>
      </c>
      <c r="U248" s="0" t="n">
        <v>0.037</v>
      </c>
      <c r="V248" s="0" t="s">
        <v>49</v>
      </c>
      <c r="W248" s="0" t="s">
        <v>49</v>
      </c>
      <c r="X248" s="0" t="s">
        <v>49</v>
      </c>
      <c r="Y248" s="0" t="s">
        <v>49</v>
      </c>
      <c r="Z248" s="0" t="s">
        <v>49</v>
      </c>
      <c r="AA248" s="0" t="s">
        <v>49</v>
      </c>
      <c r="AB248" s="0" t="s">
        <v>49</v>
      </c>
      <c r="AC248" s="0" t="s">
        <v>53</v>
      </c>
      <c r="AD248" s="0" t="s">
        <v>54</v>
      </c>
      <c r="AE248" s="0" t="s">
        <v>1577</v>
      </c>
      <c r="AF248" s="0" t="s">
        <v>1578</v>
      </c>
      <c r="AG248" s="0" t="s">
        <v>1579</v>
      </c>
      <c r="AH248" s="0" t="s">
        <v>1580</v>
      </c>
      <c r="AI248" s="0" t="s">
        <v>49</v>
      </c>
      <c r="AJ248" s="0" t="s">
        <v>49</v>
      </c>
      <c r="AK248" s="0" t="s">
        <v>49</v>
      </c>
      <c r="AL248" s="0" t="s">
        <v>49</v>
      </c>
    </row>
    <row r="249" customFormat="false" ht="15" hidden="false" customHeight="false" outlineLevel="0" collapsed="false">
      <c r="B249" s="0" t="str">
        <f aca="false">HYPERLINK("https://genome.ucsc.edu/cgi-bin/hgTracks?db=hg19&amp;position=chr2%3A89102229%2D89102229", "chr2:89102229")</f>
        <v>chr2:89102229</v>
      </c>
      <c r="C249" s="0" t="s">
        <v>38</v>
      </c>
      <c r="D249" s="0" t="n">
        <v>89102229</v>
      </c>
      <c r="E249" s="0" t="n">
        <v>89102229</v>
      </c>
      <c r="F249" s="0" t="s">
        <v>60</v>
      </c>
      <c r="G249" s="0" t="s">
        <v>61</v>
      </c>
      <c r="H249" s="0" t="s">
        <v>1581</v>
      </c>
      <c r="I249" s="0" t="s">
        <v>1582</v>
      </c>
      <c r="J249" s="0" t="s">
        <v>1583</v>
      </c>
      <c r="K249" s="0" t="s">
        <v>49</v>
      </c>
      <c r="L249" s="0" t="str">
        <f aca="false">HYPERLINK("https://www.ncbi.nlm.nih.gov/snp/rs112683162", "rs112683162")</f>
        <v>rs112683162</v>
      </c>
      <c r="M249" s="0" t="str">
        <f aca="false">HYPERLINK("https://www.genecards.org/Search/Keyword?queryString=%5Baliases%5D(%20ANKRD36BP2%20)&amp;keywords=ANKRD36BP2", "ANKRD36BP2")</f>
        <v>ANKRD36BP2</v>
      </c>
      <c r="N249" s="0" t="s">
        <v>1584</v>
      </c>
      <c r="O249" s="0" t="s">
        <v>49</v>
      </c>
      <c r="P249" s="0" t="s">
        <v>1585</v>
      </c>
      <c r="Q249" s="0" t="n">
        <v>0.0210927</v>
      </c>
      <c r="R249" s="0" t="n">
        <v>0.0057</v>
      </c>
      <c r="S249" s="0" t="n">
        <v>0.0017</v>
      </c>
      <c r="T249" s="0" t="n">
        <v>-1</v>
      </c>
      <c r="U249" s="0" t="n">
        <v>0.0044</v>
      </c>
      <c r="V249" s="0" t="s">
        <v>49</v>
      </c>
      <c r="W249" s="0" t="s">
        <v>49</v>
      </c>
      <c r="X249" s="0" t="s">
        <v>49</v>
      </c>
      <c r="Y249" s="0" t="s">
        <v>49</v>
      </c>
      <c r="Z249" s="0" t="s">
        <v>49</v>
      </c>
      <c r="AA249" s="0" t="s">
        <v>49</v>
      </c>
      <c r="AB249" s="0" t="s">
        <v>49</v>
      </c>
      <c r="AC249" s="0" t="s">
        <v>53</v>
      </c>
      <c r="AD249" s="0" t="s">
        <v>209</v>
      </c>
      <c r="AE249" s="0" t="s">
        <v>49</v>
      </c>
      <c r="AF249" s="0" t="s">
        <v>1586</v>
      </c>
      <c r="AG249" s="0" t="s">
        <v>49</v>
      </c>
      <c r="AH249" s="0" t="s">
        <v>49</v>
      </c>
      <c r="AI249" s="0" t="s">
        <v>822</v>
      </c>
      <c r="AJ249" s="0" t="s">
        <v>49</v>
      </c>
      <c r="AK249" s="0" t="s">
        <v>49</v>
      </c>
      <c r="AL249" s="0" t="s">
        <v>49</v>
      </c>
    </row>
    <row r="250" customFormat="false" ht="15" hidden="false" customHeight="false" outlineLevel="0" collapsed="false">
      <c r="B250" s="0" t="str">
        <f aca="false">HYPERLINK("https://genome.ucsc.edu/cgi-bin/hgTracks?db=hg19&amp;position=chr2%3A89104898%2D89104898", "chr2:89104898")</f>
        <v>chr2:89104898</v>
      </c>
      <c r="C250" s="0" t="s">
        <v>38</v>
      </c>
      <c r="D250" s="0" t="n">
        <v>89104898</v>
      </c>
      <c r="E250" s="0" t="n">
        <v>89104898</v>
      </c>
      <c r="F250" s="0" t="s">
        <v>61</v>
      </c>
      <c r="G250" s="0" t="s">
        <v>190</v>
      </c>
      <c r="H250" s="0" t="s">
        <v>1587</v>
      </c>
      <c r="I250" s="0" t="s">
        <v>563</v>
      </c>
      <c r="J250" s="0" t="s">
        <v>1588</v>
      </c>
      <c r="K250" s="0" t="s">
        <v>49</v>
      </c>
      <c r="L250" s="0" t="str">
        <f aca="false">HYPERLINK("https://www.ncbi.nlm.nih.gov/snp/rs62996860", "rs62996860")</f>
        <v>rs62996860</v>
      </c>
      <c r="M250" s="0" t="str">
        <f aca="false">HYPERLINK("https://www.genecards.org/Search/Keyword?queryString=%5Baliases%5D(%20ANKRD36BP2%20)&amp;keywords=ANKRD36BP2", "ANKRD36BP2")</f>
        <v>ANKRD36BP2</v>
      </c>
      <c r="N250" s="0" t="s">
        <v>428</v>
      </c>
      <c r="O250" s="0" t="s">
        <v>539</v>
      </c>
      <c r="P250" s="0" t="s">
        <v>1589</v>
      </c>
      <c r="Q250" s="0" t="n">
        <v>-1</v>
      </c>
      <c r="R250" s="0" t="n">
        <v>-1</v>
      </c>
      <c r="S250" s="0" t="n">
        <v>-1</v>
      </c>
      <c r="T250" s="0" t="n">
        <v>-1</v>
      </c>
      <c r="U250" s="0" t="n">
        <v>-1</v>
      </c>
      <c r="V250" s="0" t="s">
        <v>49</v>
      </c>
      <c r="W250" s="0" t="s">
        <v>49</v>
      </c>
      <c r="X250" s="0" t="s">
        <v>49</v>
      </c>
      <c r="Y250" s="0" t="s">
        <v>49</v>
      </c>
      <c r="Z250" s="0" t="s">
        <v>49</v>
      </c>
      <c r="AA250" s="0" t="s">
        <v>49</v>
      </c>
      <c r="AB250" s="0" t="s">
        <v>49</v>
      </c>
      <c r="AC250" s="0" t="s">
        <v>53</v>
      </c>
      <c r="AD250" s="0" t="s">
        <v>209</v>
      </c>
      <c r="AE250" s="0" t="s">
        <v>49</v>
      </c>
      <c r="AF250" s="0" t="s">
        <v>1586</v>
      </c>
      <c r="AG250" s="0" t="s">
        <v>49</v>
      </c>
      <c r="AH250" s="0" t="s">
        <v>49</v>
      </c>
      <c r="AI250" s="0" t="s">
        <v>49</v>
      </c>
      <c r="AJ250" s="0" t="s">
        <v>49</v>
      </c>
      <c r="AK250" s="0" t="s">
        <v>49</v>
      </c>
      <c r="AL250" s="0" t="s">
        <v>49</v>
      </c>
    </row>
    <row r="251" customFormat="false" ht="15" hidden="false" customHeight="false" outlineLevel="0" collapsed="false">
      <c r="B251" s="0" t="str">
        <f aca="false">HYPERLINK("https://genome.ucsc.edu/cgi-bin/hgTracks?db=hg19&amp;position=chr2%3A95515054%2D95515055", "chr2:95515054")</f>
        <v>chr2:95515054</v>
      </c>
      <c r="C251" s="0" t="s">
        <v>38</v>
      </c>
      <c r="D251" s="0" t="n">
        <v>95515054</v>
      </c>
      <c r="E251" s="0" t="n">
        <v>95515055</v>
      </c>
      <c r="F251" s="0" t="s">
        <v>1431</v>
      </c>
      <c r="G251" s="0" t="s">
        <v>190</v>
      </c>
      <c r="H251" s="0" t="s">
        <v>1590</v>
      </c>
      <c r="I251" s="0" t="s">
        <v>272</v>
      </c>
      <c r="J251" s="0" t="s">
        <v>1591</v>
      </c>
      <c r="K251" s="0" t="s">
        <v>49</v>
      </c>
      <c r="L251" s="0" t="s">
        <v>49</v>
      </c>
      <c r="M251" s="0" t="str">
        <f aca="false">HYPERLINK("https://www.genecards.org/Search/Keyword?queryString=%5Baliases%5D(%20ANKRD20A8P%20)&amp;keywords=ANKRD20A8P", "ANKRD20A8P")</f>
        <v>ANKRD20A8P</v>
      </c>
      <c r="N251" s="0" t="s">
        <v>1592</v>
      </c>
      <c r="O251" s="0" t="s">
        <v>49</v>
      </c>
      <c r="P251" s="0" t="s">
        <v>1593</v>
      </c>
      <c r="Q251" s="0" t="n">
        <v>-1</v>
      </c>
      <c r="R251" s="0" t="n">
        <v>-1</v>
      </c>
      <c r="S251" s="0" t="n">
        <v>-1</v>
      </c>
      <c r="T251" s="0" t="n">
        <v>-1</v>
      </c>
      <c r="U251" s="0" t="n">
        <v>-1</v>
      </c>
      <c r="V251" s="0" t="s">
        <v>49</v>
      </c>
      <c r="W251" s="0" t="s">
        <v>49</v>
      </c>
      <c r="X251" s="0" t="s">
        <v>49</v>
      </c>
      <c r="Y251" s="0" t="s">
        <v>49</v>
      </c>
      <c r="Z251" s="0" t="s">
        <v>49</v>
      </c>
      <c r="AA251" s="0" t="s">
        <v>49</v>
      </c>
      <c r="AB251" s="0" t="s">
        <v>49</v>
      </c>
      <c r="AC251" s="0" t="s">
        <v>53</v>
      </c>
      <c r="AD251" s="0" t="s">
        <v>54</v>
      </c>
      <c r="AE251" s="0" t="s">
        <v>49</v>
      </c>
      <c r="AF251" s="0" t="s">
        <v>1594</v>
      </c>
      <c r="AG251" s="0" t="s">
        <v>49</v>
      </c>
      <c r="AH251" s="0" t="s">
        <v>49</v>
      </c>
      <c r="AI251" s="0" t="s">
        <v>49</v>
      </c>
      <c r="AJ251" s="0" t="s">
        <v>432</v>
      </c>
      <c r="AK251" s="0" t="s">
        <v>49</v>
      </c>
      <c r="AL251" s="0" t="s">
        <v>49</v>
      </c>
    </row>
    <row r="252" customFormat="false" ht="15" hidden="false" customHeight="false" outlineLevel="0" collapsed="false">
      <c r="B252" s="0" t="str">
        <f aca="false">HYPERLINK("https://genome.ucsc.edu/cgi-bin/hgTracks?db=hg19&amp;position=chr2%3A96519559%2D96519562", "chr2:96519559")</f>
        <v>chr2:96519559</v>
      </c>
      <c r="C252" s="0" t="s">
        <v>38</v>
      </c>
      <c r="D252" s="0" t="n">
        <v>96519559</v>
      </c>
      <c r="E252" s="0" t="n">
        <v>96519562</v>
      </c>
      <c r="F252" s="0" t="s">
        <v>1595</v>
      </c>
      <c r="G252" s="0" t="s">
        <v>190</v>
      </c>
      <c r="H252" s="0" t="s">
        <v>1596</v>
      </c>
      <c r="I252" s="0" t="s">
        <v>1597</v>
      </c>
      <c r="J252" s="0" t="s">
        <v>1598</v>
      </c>
      <c r="K252" s="0" t="s">
        <v>49</v>
      </c>
      <c r="L252" s="0" t="str">
        <f aca="false">HYPERLINK("https://www.ncbi.nlm.nih.gov/snp/rs373126569", "rs373126569")</f>
        <v>rs373126569</v>
      </c>
      <c r="M252" s="0" t="str">
        <f aca="false">HYPERLINK("https://www.genecards.org/Search/Keyword?queryString=%5Baliases%5D(%20ANKRD36C%20)&amp;keywords=ANKRD36C", "ANKRD36C")</f>
        <v>ANKRD36C</v>
      </c>
      <c r="N252" s="0" t="s">
        <v>368</v>
      </c>
      <c r="O252" s="0" t="s">
        <v>539</v>
      </c>
      <c r="P252" s="0" t="s">
        <v>1599</v>
      </c>
      <c r="Q252" s="0" t="n">
        <v>0.0006015</v>
      </c>
      <c r="R252" s="0" t="n">
        <v>-1</v>
      </c>
      <c r="S252" s="0" t="n">
        <v>-1</v>
      </c>
      <c r="T252" s="0" t="n">
        <v>-1</v>
      </c>
      <c r="U252" s="0" t="n">
        <v>-1</v>
      </c>
      <c r="V252" s="0" t="s">
        <v>49</v>
      </c>
      <c r="W252" s="0" t="s">
        <v>49</v>
      </c>
      <c r="X252" s="0" t="s">
        <v>49</v>
      </c>
      <c r="Y252" s="0" t="s">
        <v>49</v>
      </c>
      <c r="Z252" s="0" t="s">
        <v>49</v>
      </c>
      <c r="AA252" s="0" t="s">
        <v>49</v>
      </c>
      <c r="AB252" s="0" t="s">
        <v>49</v>
      </c>
      <c r="AC252" s="0" t="s">
        <v>53</v>
      </c>
      <c r="AD252" s="0" t="s">
        <v>370</v>
      </c>
      <c r="AE252" s="0" t="s">
        <v>49</v>
      </c>
      <c r="AF252" s="0" t="s">
        <v>371</v>
      </c>
      <c r="AG252" s="0" t="s">
        <v>49</v>
      </c>
      <c r="AH252" s="0" t="s">
        <v>49</v>
      </c>
      <c r="AI252" s="0" t="s">
        <v>49</v>
      </c>
      <c r="AJ252" s="0" t="s">
        <v>49</v>
      </c>
      <c r="AK252" s="0" t="s">
        <v>49</v>
      </c>
      <c r="AL252" s="0" t="s">
        <v>49</v>
      </c>
    </row>
    <row r="253" customFormat="false" ht="15" hidden="false" customHeight="false" outlineLevel="0" collapsed="false">
      <c r="B253" s="0" t="str">
        <f aca="false">HYPERLINK("https://genome.ucsc.edu/cgi-bin/hgTracks?db=hg19&amp;position=chr2%3A96521477%2D96521477", "chr2:96521477")</f>
        <v>chr2:96521477</v>
      </c>
      <c r="C253" s="0" t="s">
        <v>38</v>
      </c>
      <c r="D253" s="0" t="n">
        <v>96521477</v>
      </c>
      <c r="E253" s="0" t="n">
        <v>96521477</v>
      </c>
      <c r="F253" s="0" t="s">
        <v>190</v>
      </c>
      <c r="G253" s="0" t="s">
        <v>60</v>
      </c>
      <c r="H253" s="0" t="s">
        <v>1600</v>
      </c>
      <c r="I253" s="0" t="s">
        <v>1601</v>
      </c>
      <c r="J253" s="0" t="s">
        <v>1602</v>
      </c>
      <c r="K253" s="0" t="s">
        <v>49</v>
      </c>
      <c r="L253" s="0" t="s">
        <v>49</v>
      </c>
      <c r="M253" s="0" t="str">
        <f aca="false">HYPERLINK("https://www.genecards.org/Search/Keyword?queryString=%5Baliases%5D(%20ANKRD36C%20)&amp;keywords=ANKRD36C", "ANKRD36C")</f>
        <v>ANKRD36C</v>
      </c>
      <c r="N253" s="0" t="s">
        <v>375</v>
      </c>
      <c r="O253" s="0" t="s">
        <v>259</v>
      </c>
      <c r="P253" s="0" t="s">
        <v>1603</v>
      </c>
      <c r="Q253" s="0" t="n">
        <v>-1</v>
      </c>
      <c r="R253" s="0" t="n">
        <v>-1</v>
      </c>
      <c r="S253" s="0" t="n">
        <v>-1</v>
      </c>
      <c r="T253" s="0" t="n">
        <v>-1</v>
      </c>
      <c r="U253" s="0" t="n">
        <v>-1</v>
      </c>
      <c r="V253" s="0" t="s">
        <v>49</v>
      </c>
      <c r="W253" s="0" t="s">
        <v>49</v>
      </c>
      <c r="X253" s="0" t="s">
        <v>49</v>
      </c>
      <c r="Y253" s="0" t="s">
        <v>49</v>
      </c>
      <c r="Z253" s="0" t="s">
        <v>49</v>
      </c>
      <c r="AA253" s="0" t="s">
        <v>49</v>
      </c>
      <c r="AB253" s="0" t="s">
        <v>49</v>
      </c>
      <c r="AC253" s="0" t="s">
        <v>53</v>
      </c>
      <c r="AD253" s="0" t="s">
        <v>370</v>
      </c>
      <c r="AE253" s="0" t="s">
        <v>49</v>
      </c>
      <c r="AF253" s="0" t="s">
        <v>371</v>
      </c>
      <c r="AG253" s="0" t="s">
        <v>49</v>
      </c>
      <c r="AH253" s="0" t="s">
        <v>49</v>
      </c>
      <c r="AI253" s="0" t="s">
        <v>49</v>
      </c>
      <c r="AJ253" s="0" t="s">
        <v>49</v>
      </c>
      <c r="AK253" s="0" t="s">
        <v>49</v>
      </c>
      <c r="AL253" s="0" t="s">
        <v>49</v>
      </c>
    </row>
    <row r="254" customFormat="false" ht="15" hidden="false" customHeight="false" outlineLevel="0" collapsed="false">
      <c r="B254" s="0" t="str">
        <f aca="false">HYPERLINK("https://genome.ucsc.edu/cgi-bin/hgTracks?db=hg19&amp;position=chr2%3A96521479%2D96521479", "chr2:96521479")</f>
        <v>chr2:96521479</v>
      </c>
      <c r="C254" s="0" t="s">
        <v>38</v>
      </c>
      <c r="D254" s="0" t="n">
        <v>96521479</v>
      </c>
      <c r="E254" s="0" t="n">
        <v>96521479</v>
      </c>
      <c r="F254" s="0" t="s">
        <v>190</v>
      </c>
      <c r="G254" s="0" t="s">
        <v>40</v>
      </c>
      <c r="H254" s="0" t="s">
        <v>1604</v>
      </c>
      <c r="I254" s="0" t="s">
        <v>1605</v>
      </c>
      <c r="J254" s="0" t="s">
        <v>1606</v>
      </c>
      <c r="K254" s="0" t="s">
        <v>49</v>
      </c>
      <c r="L254" s="0" t="s">
        <v>49</v>
      </c>
      <c r="M254" s="0" t="str">
        <f aca="false">HYPERLINK("https://www.genecards.org/Search/Keyword?queryString=%5Baliases%5D(%20ANKRD36C%20)&amp;keywords=ANKRD36C", "ANKRD36C")</f>
        <v>ANKRD36C</v>
      </c>
      <c r="N254" s="0" t="s">
        <v>375</v>
      </c>
      <c r="O254" s="0" t="s">
        <v>259</v>
      </c>
      <c r="P254" s="0" t="s">
        <v>1607</v>
      </c>
      <c r="Q254" s="0" t="n">
        <v>-1</v>
      </c>
      <c r="R254" s="0" t="n">
        <v>-1</v>
      </c>
      <c r="S254" s="0" t="n">
        <v>-1</v>
      </c>
      <c r="T254" s="0" t="n">
        <v>-1</v>
      </c>
      <c r="U254" s="0" t="n">
        <v>-1</v>
      </c>
      <c r="V254" s="0" t="s">
        <v>49</v>
      </c>
      <c r="W254" s="0" t="s">
        <v>49</v>
      </c>
      <c r="X254" s="0" t="s">
        <v>49</v>
      </c>
      <c r="Y254" s="0" t="s">
        <v>49</v>
      </c>
      <c r="Z254" s="0" t="s">
        <v>49</v>
      </c>
      <c r="AA254" s="0" t="s">
        <v>49</v>
      </c>
      <c r="AB254" s="0" t="s">
        <v>49</v>
      </c>
      <c r="AC254" s="0" t="s">
        <v>53</v>
      </c>
      <c r="AD254" s="0" t="s">
        <v>370</v>
      </c>
      <c r="AE254" s="0" t="s">
        <v>49</v>
      </c>
      <c r="AF254" s="0" t="s">
        <v>371</v>
      </c>
      <c r="AG254" s="0" t="s">
        <v>49</v>
      </c>
      <c r="AH254" s="0" t="s">
        <v>49</v>
      </c>
      <c r="AI254" s="0" t="s">
        <v>49</v>
      </c>
      <c r="AJ254" s="0" t="s">
        <v>49</v>
      </c>
      <c r="AK254" s="0" t="s">
        <v>49</v>
      </c>
      <c r="AL254" s="0" t="s">
        <v>49</v>
      </c>
    </row>
    <row r="255" customFormat="false" ht="15" hidden="false" customHeight="false" outlineLevel="0" collapsed="false">
      <c r="B255" s="0" t="str">
        <f aca="false">HYPERLINK("https://genome.ucsc.edu/cgi-bin/hgTracks?db=hg19&amp;position=chr2%3A96521483%2D96521484", "chr2:96521483")</f>
        <v>chr2:96521483</v>
      </c>
      <c r="C255" s="0" t="s">
        <v>38</v>
      </c>
      <c r="D255" s="0" t="n">
        <v>96521483</v>
      </c>
      <c r="E255" s="0" t="n">
        <v>96521484</v>
      </c>
      <c r="F255" s="0" t="s">
        <v>1608</v>
      </c>
      <c r="G255" s="0" t="s">
        <v>190</v>
      </c>
      <c r="H255" s="0" t="s">
        <v>1609</v>
      </c>
      <c r="I255" s="0" t="s">
        <v>1610</v>
      </c>
      <c r="J255" s="0" t="s">
        <v>1611</v>
      </c>
      <c r="K255" s="0" t="s">
        <v>49</v>
      </c>
      <c r="L255" s="0" t="s">
        <v>49</v>
      </c>
      <c r="M255" s="0" t="str">
        <f aca="false">HYPERLINK("https://www.genecards.org/Search/Keyword?queryString=%5Baliases%5D(%20ANKRD36C%20)&amp;keywords=ANKRD36C", "ANKRD36C")</f>
        <v>ANKRD36C</v>
      </c>
      <c r="N255" s="0" t="s">
        <v>375</v>
      </c>
      <c r="O255" s="0" t="s">
        <v>539</v>
      </c>
      <c r="P255" s="0" t="s">
        <v>1612</v>
      </c>
      <c r="Q255" s="0" t="n">
        <v>-1</v>
      </c>
      <c r="R255" s="0" t="n">
        <v>-1</v>
      </c>
      <c r="S255" s="0" t="n">
        <v>-1</v>
      </c>
      <c r="T255" s="0" t="n">
        <v>-1</v>
      </c>
      <c r="U255" s="0" t="n">
        <v>-1</v>
      </c>
      <c r="V255" s="0" t="s">
        <v>49</v>
      </c>
      <c r="W255" s="0" t="s">
        <v>49</v>
      </c>
      <c r="X255" s="0" t="s">
        <v>49</v>
      </c>
      <c r="Y255" s="0" t="s">
        <v>49</v>
      </c>
      <c r="Z255" s="0" t="s">
        <v>49</v>
      </c>
      <c r="AA255" s="0" t="s">
        <v>49</v>
      </c>
      <c r="AB255" s="0" t="s">
        <v>49</v>
      </c>
      <c r="AC255" s="0" t="s">
        <v>53</v>
      </c>
      <c r="AD255" s="0" t="s">
        <v>370</v>
      </c>
      <c r="AE255" s="0" t="s">
        <v>49</v>
      </c>
      <c r="AF255" s="0" t="s">
        <v>371</v>
      </c>
      <c r="AG255" s="0" t="s">
        <v>49</v>
      </c>
      <c r="AH255" s="0" t="s">
        <v>49</v>
      </c>
      <c r="AI255" s="0" t="s">
        <v>49</v>
      </c>
      <c r="AJ255" s="0" t="s">
        <v>49</v>
      </c>
      <c r="AK255" s="0" t="s">
        <v>49</v>
      </c>
      <c r="AL255" s="0" t="s">
        <v>49</v>
      </c>
    </row>
    <row r="256" customFormat="false" ht="15" hidden="false" customHeight="false" outlineLevel="0" collapsed="false">
      <c r="B256" s="0" t="str">
        <f aca="false">HYPERLINK("https://genome.ucsc.edu/cgi-bin/hgTracks?db=hg19&amp;position=chr2%3A96521487%2D96521487", "chr2:96521487")</f>
        <v>chr2:96521487</v>
      </c>
      <c r="C256" s="0" t="s">
        <v>38</v>
      </c>
      <c r="D256" s="0" t="n">
        <v>96521487</v>
      </c>
      <c r="E256" s="0" t="n">
        <v>96521487</v>
      </c>
      <c r="F256" s="0" t="s">
        <v>190</v>
      </c>
      <c r="G256" s="0" t="s">
        <v>1371</v>
      </c>
      <c r="H256" s="0" t="s">
        <v>1613</v>
      </c>
      <c r="I256" s="0" t="s">
        <v>1614</v>
      </c>
      <c r="J256" s="0" t="s">
        <v>1615</v>
      </c>
      <c r="K256" s="0" t="s">
        <v>49</v>
      </c>
      <c r="L256" s="0" t="s">
        <v>49</v>
      </c>
      <c r="M256" s="0" t="str">
        <f aca="false">HYPERLINK("https://www.genecards.org/Search/Keyword?queryString=%5Baliases%5D(%20ANKRD36C%20)&amp;keywords=ANKRD36C", "ANKRD36C")</f>
        <v>ANKRD36C</v>
      </c>
      <c r="N256" s="0" t="s">
        <v>375</v>
      </c>
      <c r="O256" s="0" t="s">
        <v>259</v>
      </c>
      <c r="P256" s="0" t="s">
        <v>1616</v>
      </c>
      <c r="Q256" s="0" t="n">
        <v>-1</v>
      </c>
      <c r="R256" s="0" t="n">
        <v>-1</v>
      </c>
      <c r="S256" s="0" t="n">
        <v>-1</v>
      </c>
      <c r="T256" s="0" t="n">
        <v>-1</v>
      </c>
      <c r="U256" s="0" t="n">
        <v>-1</v>
      </c>
      <c r="V256" s="0" t="s">
        <v>49</v>
      </c>
      <c r="W256" s="0" t="s">
        <v>49</v>
      </c>
      <c r="X256" s="0" t="s">
        <v>49</v>
      </c>
      <c r="Y256" s="0" t="s">
        <v>49</v>
      </c>
      <c r="Z256" s="0" t="s">
        <v>49</v>
      </c>
      <c r="AA256" s="0" t="s">
        <v>49</v>
      </c>
      <c r="AB256" s="0" t="s">
        <v>49</v>
      </c>
      <c r="AC256" s="0" t="s">
        <v>53</v>
      </c>
      <c r="AD256" s="0" t="s">
        <v>370</v>
      </c>
      <c r="AE256" s="0" t="s">
        <v>49</v>
      </c>
      <c r="AF256" s="0" t="s">
        <v>371</v>
      </c>
      <c r="AG256" s="0" t="s">
        <v>49</v>
      </c>
      <c r="AH256" s="0" t="s">
        <v>49</v>
      </c>
      <c r="AI256" s="0" t="s">
        <v>49</v>
      </c>
      <c r="AJ256" s="0" t="s">
        <v>49</v>
      </c>
      <c r="AK256" s="0" t="s">
        <v>49</v>
      </c>
      <c r="AL256" s="0" t="s">
        <v>49</v>
      </c>
    </row>
    <row r="257" customFormat="false" ht="15" hidden="false" customHeight="false" outlineLevel="0" collapsed="false">
      <c r="B257" s="0" t="str">
        <f aca="false">HYPERLINK("https://genome.ucsc.edu/cgi-bin/hgTracks?db=hg19&amp;position=chr2%3A99720328%2D99720328", "chr2:99720328")</f>
        <v>chr2:99720328</v>
      </c>
      <c r="C257" s="0" t="s">
        <v>38</v>
      </c>
      <c r="D257" s="0" t="n">
        <v>99720328</v>
      </c>
      <c r="E257" s="0" t="n">
        <v>99720328</v>
      </c>
      <c r="F257" s="0" t="s">
        <v>61</v>
      </c>
      <c r="G257" s="0" t="s">
        <v>39</v>
      </c>
      <c r="H257" s="0" t="s">
        <v>1617</v>
      </c>
      <c r="I257" s="0" t="s">
        <v>804</v>
      </c>
      <c r="J257" s="0" t="s">
        <v>1618</v>
      </c>
      <c r="K257" s="0" t="s">
        <v>49</v>
      </c>
      <c r="L257" s="0" t="str">
        <f aca="false">HYPERLINK("https://www.ncbi.nlm.nih.gov/snp/rs549791450", "rs549791450")</f>
        <v>rs549791450</v>
      </c>
      <c r="M257" s="0" t="str">
        <f aca="false">HYPERLINK("https://www.genecards.org/Search/Keyword?queryString=%5Baliases%5D(%20TSGA10%20)&amp;keywords=TSGA10", "TSGA10")</f>
        <v>TSGA10</v>
      </c>
      <c r="N257" s="0" t="s">
        <v>510</v>
      </c>
      <c r="O257" s="0" t="s">
        <v>49</v>
      </c>
      <c r="P257" s="0" t="s">
        <v>49</v>
      </c>
      <c r="Q257" s="0" t="n">
        <v>0.001</v>
      </c>
      <c r="R257" s="0" t="n">
        <v>0.0005</v>
      </c>
      <c r="S257" s="0" t="n">
        <v>0.0004</v>
      </c>
      <c r="T257" s="0" t="n">
        <v>-1</v>
      </c>
      <c r="U257" s="0" t="n">
        <v>0.0002</v>
      </c>
      <c r="V257" s="0" t="s">
        <v>49</v>
      </c>
      <c r="W257" s="0" t="s">
        <v>49</v>
      </c>
      <c r="X257" s="0" t="s">
        <v>517</v>
      </c>
      <c r="Y257" s="0" t="s">
        <v>219</v>
      </c>
      <c r="Z257" s="0" t="s">
        <v>49</v>
      </c>
      <c r="AA257" s="0" t="s">
        <v>49</v>
      </c>
      <c r="AB257" s="0" t="s">
        <v>49</v>
      </c>
      <c r="AC257" s="0" t="s">
        <v>53</v>
      </c>
      <c r="AD257" s="0" t="s">
        <v>54</v>
      </c>
      <c r="AE257" s="0" t="s">
        <v>1619</v>
      </c>
      <c r="AF257" s="0" t="s">
        <v>1620</v>
      </c>
      <c r="AG257" s="0" t="s">
        <v>1621</v>
      </c>
      <c r="AH257" s="0" t="s">
        <v>49</v>
      </c>
      <c r="AI257" s="0" t="s">
        <v>49</v>
      </c>
      <c r="AJ257" s="0" t="s">
        <v>49</v>
      </c>
      <c r="AK257" s="0" t="s">
        <v>49</v>
      </c>
      <c r="AL257" s="0" t="s">
        <v>49</v>
      </c>
    </row>
    <row r="258" customFormat="false" ht="15" hidden="false" customHeight="false" outlineLevel="0" collapsed="false">
      <c r="B258" s="0" t="str">
        <f aca="false">HYPERLINK("https://genome.ucsc.edu/cgi-bin/hgTracks?db=hg19&amp;position=chr2%3A109499189%2D109499189", "chr2:109499189")</f>
        <v>chr2:109499189</v>
      </c>
      <c r="C258" s="0" t="s">
        <v>38</v>
      </c>
      <c r="D258" s="0" t="n">
        <v>109499189</v>
      </c>
      <c r="E258" s="0" t="n">
        <v>109499189</v>
      </c>
      <c r="F258" s="0" t="s">
        <v>190</v>
      </c>
      <c r="G258" s="0" t="s">
        <v>60</v>
      </c>
      <c r="H258" s="0" t="s">
        <v>1622</v>
      </c>
      <c r="I258" s="0" t="s">
        <v>1083</v>
      </c>
      <c r="J258" s="0" t="s">
        <v>1623</v>
      </c>
      <c r="K258" s="0" t="s">
        <v>49</v>
      </c>
      <c r="L258" s="0" t="s">
        <v>49</v>
      </c>
      <c r="M258" s="0" t="str">
        <f aca="false">HYPERLINK("https://www.genecards.org/Search/Keyword?queryString=%5Baliases%5D(%20CCDC138%20)&amp;keywords=CCDC138", "CCDC138")</f>
        <v>CCDC138</v>
      </c>
      <c r="N258" s="0" t="s">
        <v>368</v>
      </c>
      <c r="O258" s="0" t="s">
        <v>259</v>
      </c>
      <c r="P258" s="0" t="s">
        <v>1624</v>
      </c>
      <c r="Q258" s="0" t="n">
        <v>0.0003</v>
      </c>
      <c r="R258" s="0" t="n">
        <v>0.0002</v>
      </c>
      <c r="S258" s="0" t="n">
        <v>0.0003</v>
      </c>
      <c r="T258" s="0" t="n">
        <v>-1</v>
      </c>
      <c r="U258" s="0" t="n">
        <v>0.0002</v>
      </c>
      <c r="V258" s="0" t="s">
        <v>49</v>
      </c>
      <c r="W258" s="0" t="s">
        <v>49</v>
      </c>
      <c r="X258" s="0" t="s">
        <v>49</v>
      </c>
      <c r="Y258" s="0" t="s">
        <v>49</v>
      </c>
      <c r="Z258" s="0" t="s">
        <v>49</v>
      </c>
      <c r="AA258" s="0" t="s">
        <v>49</v>
      </c>
      <c r="AB258" s="0" t="s">
        <v>49</v>
      </c>
      <c r="AC258" s="0" t="s">
        <v>53</v>
      </c>
      <c r="AD258" s="0" t="s">
        <v>54</v>
      </c>
      <c r="AE258" s="0" t="s">
        <v>1625</v>
      </c>
      <c r="AF258" s="0" t="s">
        <v>1626</v>
      </c>
      <c r="AG258" s="0" t="s">
        <v>49</v>
      </c>
      <c r="AH258" s="0" t="s">
        <v>49</v>
      </c>
      <c r="AI258" s="0" t="s">
        <v>49</v>
      </c>
      <c r="AJ258" s="0" t="s">
        <v>49</v>
      </c>
      <c r="AK258" s="0" t="s">
        <v>49</v>
      </c>
      <c r="AL258" s="0" t="s">
        <v>49</v>
      </c>
    </row>
    <row r="259" customFormat="false" ht="15" hidden="false" customHeight="false" outlineLevel="0" collapsed="false">
      <c r="B259" s="0" t="str">
        <f aca="false">HYPERLINK("https://genome.ucsc.edu/cgi-bin/hgTracks?db=hg19&amp;position=chr2%3A120005840%2D120005841", "chr2:120005840")</f>
        <v>chr2:120005840</v>
      </c>
      <c r="C259" s="0" t="s">
        <v>38</v>
      </c>
      <c r="D259" s="0" t="n">
        <v>120005840</v>
      </c>
      <c r="E259" s="0" t="n">
        <v>120005841</v>
      </c>
      <c r="F259" s="0" t="s">
        <v>925</v>
      </c>
      <c r="G259" s="0" t="s">
        <v>709</v>
      </c>
      <c r="H259" s="0" t="s">
        <v>1627</v>
      </c>
      <c r="I259" s="0" t="s">
        <v>265</v>
      </c>
      <c r="J259" s="0" t="s">
        <v>1628</v>
      </c>
      <c r="K259" s="0" t="s">
        <v>49</v>
      </c>
      <c r="L259" s="0" t="s">
        <v>49</v>
      </c>
      <c r="M259" s="0" t="str">
        <f aca="false">HYPERLINK("https://www.genecards.org/Search/Keyword?queryString=%5Baliases%5D(%20STEAP3%20)%20OR%20%5Baliases%5D(%20STEAP3-AS1%20)&amp;keywords=STEAP3,STEAP3-AS1", "STEAP3;STEAP3-AS1")</f>
        <v>STEAP3;STEAP3-AS1</v>
      </c>
      <c r="N259" s="0" t="s">
        <v>283</v>
      </c>
      <c r="O259" s="0" t="s">
        <v>49</v>
      </c>
      <c r="P259" s="0" t="s">
        <v>49</v>
      </c>
      <c r="Q259" s="0" t="n">
        <v>-1</v>
      </c>
      <c r="R259" s="0" t="n">
        <v>-1</v>
      </c>
      <c r="S259" s="0" t="n">
        <v>-1</v>
      </c>
      <c r="T259" s="0" t="n">
        <v>-1</v>
      </c>
      <c r="U259" s="0" t="n">
        <v>-1</v>
      </c>
      <c r="V259" s="0" t="s">
        <v>49</v>
      </c>
      <c r="W259" s="0" t="s">
        <v>49</v>
      </c>
      <c r="X259" s="0" t="s">
        <v>49</v>
      </c>
      <c r="Y259" s="0" t="s">
        <v>49</v>
      </c>
      <c r="Z259" s="0" t="s">
        <v>49</v>
      </c>
      <c r="AA259" s="0" t="s">
        <v>49</v>
      </c>
      <c r="AB259" s="0" t="s">
        <v>49</v>
      </c>
      <c r="AC259" s="0" t="s">
        <v>231</v>
      </c>
      <c r="AD259" s="0" t="s">
        <v>220</v>
      </c>
      <c r="AE259" s="0" t="s">
        <v>1629</v>
      </c>
      <c r="AF259" s="0" t="s">
        <v>1630</v>
      </c>
      <c r="AG259" s="0" t="s">
        <v>1631</v>
      </c>
      <c r="AH259" s="0" t="s">
        <v>1632</v>
      </c>
      <c r="AI259" s="0" t="s">
        <v>49</v>
      </c>
      <c r="AJ259" s="0" t="s">
        <v>49</v>
      </c>
      <c r="AK259" s="0" t="s">
        <v>49</v>
      </c>
      <c r="AL259" s="0" t="s">
        <v>49</v>
      </c>
    </row>
    <row r="260" customFormat="false" ht="15" hidden="false" customHeight="false" outlineLevel="0" collapsed="false">
      <c r="B260" s="0" t="str">
        <f aca="false">HYPERLINK("https://genome.ucsc.edu/cgi-bin/hgTracks?db=hg19&amp;position=chr2%3A131796415%2D131796415", "chr2:131796415")</f>
        <v>chr2:131796415</v>
      </c>
      <c r="C260" s="0" t="s">
        <v>38</v>
      </c>
      <c r="D260" s="0" t="n">
        <v>131796415</v>
      </c>
      <c r="E260" s="0" t="n">
        <v>131796415</v>
      </c>
      <c r="F260" s="0" t="s">
        <v>40</v>
      </c>
      <c r="G260" s="0" t="s">
        <v>60</v>
      </c>
      <c r="H260" s="0" t="s">
        <v>1633</v>
      </c>
      <c r="I260" s="0" t="s">
        <v>145</v>
      </c>
      <c r="J260" s="0" t="s">
        <v>1634</v>
      </c>
      <c r="K260" s="0" t="s">
        <v>49</v>
      </c>
      <c r="L260" s="0" t="str">
        <f aca="false">HYPERLINK("https://www.ncbi.nlm.nih.gov/snp/rs113820567", "rs113820567")</f>
        <v>rs113820567</v>
      </c>
      <c r="M260" s="0" t="str">
        <f aca="false">HYPERLINK("https://www.genecards.org/Search/Keyword?queryString=%5Baliases%5D(%20ARHGEF4%20)&amp;keywords=ARHGEF4", "ARHGEF4")</f>
        <v>ARHGEF4</v>
      </c>
      <c r="N260" s="0" t="s">
        <v>510</v>
      </c>
      <c r="O260" s="0" t="s">
        <v>49</v>
      </c>
      <c r="P260" s="0" t="s">
        <v>49</v>
      </c>
      <c r="Q260" s="0" t="n">
        <v>0.0069</v>
      </c>
      <c r="R260" s="0" t="n">
        <v>0.0086</v>
      </c>
      <c r="S260" s="0" t="n">
        <v>0.0068</v>
      </c>
      <c r="T260" s="0" t="n">
        <v>-1</v>
      </c>
      <c r="U260" s="0" t="n">
        <v>0.0122</v>
      </c>
      <c r="V260" s="0" t="s">
        <v>49</v>
      </c>
      <c r="W260" s="0" t="s">
        <v>333</v>
      </c>
      <c r="X260" s="0" t="s">
        <v>333</v>
      </c>
      <c r="Y260" s="0" t="s">
        <v>390</v>
      </c>
      <c r="Z260" s="0" t="s">
        <v>49</v>
      </c>
      <c r="AA260" s="0" t="s">
        <v>49</v>
      </c>
      <c r="AB260" s="0" t="s">
        <v>49</v>
      </c>
      <c r="AC260" s="0" t="s">
        <v>53</v>
      </c>
      <c r="AD260" s="0" t="s">
        <v>54</v>
      </c>
      <c r="AE260" s="0" t="s">
        <v>1635</v>
      </c>
      <c r="AF260" s="0" t="s">
        <v>1636</v>
      </c>
      <c r="AG260" s="0" t="s">
        <v>1637</v>
      </c>
      <c r="AH260" s="0" t="s">
        <v>49</v>
      </c>
      <c r="AI260" s="0" t="s">
        <v>49</v>
      </c>
      <c r="AJ260" s="0" t="s">
        <v>49</v>
      </c>
      <c r="AK260" s="0" t="s">
        <v>49</v>
      </c>
      <c r="AL260" s="0" t="s">
        <v>49</v>
      </c>
    </row>
    <row r="261" customFormat="false" ht="15" hidden="false" customHeight="false" outlineLevel="0" collapsed="false">
      <c r="B261" s="0" t="str">
        <f aca="false">HYPERLINK("https://genome.ucsc.edu/cgi-bin/hgTracks?db=hg19&amp;position=chr2%3A132912398%2D132912398", "chr2:132912398")</f>
        <v>chr2:132912398</v>
      </c>
      <c r="C261" s="0" t="s">
        <v>38</v>
      </c>
      <c r="D261" s="0" t="n">
        <v>132912398</v>
      </c>
      <c r="E261" s="0" t="n">
        <v>132912398</v>
      </c>
      <c r="F261" s="0" t="s">
        <v>40</v>
      </c>
      <c r="G261" s="0" t="s">
        <v>39</v>
      </c>
      <c r="H261" s="0" t="s">
        <v>1638</v>
      </c>
      <c r="I261" s="0" t="s">
        <v>214</v>
      </c>
      <c r="J261" s="0" t="s">
        <v>1639</v>
      </c>
      <c r="K261" s="0" t="s">
        <v>49</v>
      </c>
      <c r="L261" s="0" t="str">
        <f aca="false">HYPERLINK("https://www.ncbi.nlm.nih.gov/snp/rs200274266", "rs200274266")</f>
        <v>rs200274266</v>
      </c>
      <c r="M261" s="0" t="str">
        <f aca="false">HYPERLINK("https://www.genecards.org/Search/Keyword?queryString=%5Baliases%5D(%20ANKRD30BL%20)&amp;keywords=ANKRD30BL", "ANKRD30BL")</f>
        <v>ANKRD30BL</v>
      </c>
      <c r="N261" s="0" t="s">
        <v>283</v>
      </c>
      <c r="O261" s="0" t="s">
        <v>49</v>
      </c>
      <c r="P261" s="0" t="s">
        <v>49</v>
      </c>
      <c r="Q261" s="0" t="n">
        <v>0.0251</v>
      </c>
      <c r="R261" s="0" t="n">
        <v>0.0045</v>
      </c>
      <c r="S261" s="0" t="n">
        <v>0.0043</v>
      </c>
      <c r="T261" s="0" t="n">
        <v>-1</v>
      </c>
      <c r="U261" s="0" t="n">
        <v>0.006</v>
      </c>
      <c r="V261" s="0" t="s">
        <v>49</v>
      </c>
      <c r="W261" s="0" t="s">
        <v>49</v>
      </c>
      <c r="X261" s="0" t="s">
        <v>333</v>
      </c>
      <c r="Y261" s="0" t="s">
        <v>219</v>
      </c>
      <c r="Z261" s="0" t="s">
        <v>49</v>
      </c>
      <c r="AA261" s="0" t="s">
        <v>49</v>
      </c>
      <c r="AB261" s="0" t="s">
        <v>49</v>
      </c>
      <c r="AC261" s="0" t="s">
        <v>53</v>
      </c>
      <c r="AD261" s="0" t="s">
        <v>54</v>
      </c>
      <c r="AE261" s="0" t="s">
        <v>49</v>
      </c>
      <c r="AF261" s="0" t="s">
        <v>1640</v>
      </c>
      <c r="AG261" s="0" t="s">
        <v>49</v>
      </c>
      <c r="AH261" s="0" t="s">
        <v>49</v>
      </c>
      <c r="AI261" s="0" t="s">
        <v>49</v>
      </c>
      <c r="AJ261" s="0" t="s">
        <v>49</v>
      </c>
      <c r="AK261" s="0" t="s">
        <v>49</v>
      </c>
      <c r="AL261" s="0" t="s">
        <v>49</v>
      </c>
    </row>
    <row r="262" customFormat="false" ht="15" hidden="false" customHeight="false" outlineLevel="0" collapsed="false">
      <c r="B262" s="0" t="str">
        <f aca="false">HYPERLINK("https://genome.ucsc.edu/cgi-bin/hgTracks?db=hg19&amp;position=chr2%3A135625119%2D135625120", "chr2:135625119")</f>
        <v>chr2:135625119</v>
      </c>
      <c r="C262" s="0" t="s">
        <v>38</v>
      </c>
      <c r="D262" s="0" t="n">
        <v>135625119</v>
      </c>
      <c r="E262" s="0" t="n">
        <v>135625120</v>
      </c>
      <c r="F262" s="0" t="s">
        <v>1641</v>
      </c>
      <c r="G262" s="0" t="s">
        <v>190</v>
      </c>
      <c r="H262" s="0" t="s">
        <v>628</v>
      </c>
      <c r="I262" s="0" t="s">
        <v>1021</v>
      </c>
      <c r="J262" s="0" t="s">
        <v>1642</v>
      </c>
      <c r="K262" s="0" t="s">
        <v>49</v>
      </c>
      <c r="L262" s="0" t="str">
        <f aca="false">HYPERLINK("https://www.ncbi.nlm.nih.gov/snp/rs138317668", "rs138317668")</f>
        <v>rs138317668</v>
      </c>
      <c r="M262" s="0" t="str">
        <f aca="false">HYPERLINK("https://www.genecards.org/Search/Keyword?queryString=%5Baliases%5D(%20CCNT2-AS1%20)%20OR%20%5Baliases%5D(%20LOC100129961%20)&amp;keywords=CCNT2-AS1,LOC100129961", "CCNT2-AS1;LOC100129961")</f>
        <v>CCNT2-AS1;LOC100129961</v>
      </c>
      <c r="N262" s="0" t="s">
        <v>428</v>
      </c>
      <c r="O262" s="0" t="s">
        <v>539</v>
      </c>
      <c r="P262" s="0" t="s">
        <v>1643</v>
      </c>
      <c r="Q262" s="0" t="n">
        <v>0.0149</v>
      </c>
      <c r="R262" s="0" t="n">
        <v>0.0001</v>
      </c>
      <c r="S262" s="0" t="n">
        <v>7.448E-005</v>
      </c>
      <c r="T262" s="0" t="n">
        <v>-1</v>
      </c>
      <c r="U262" s="0" t="n">
        <v>-1</v>
      </c>
      <c r="V262" s="0" t="s">
        <v>49</v>
      </c>
      <c r="W262" s="0" t="s">
        <v>49</v>
      </c>
      <c r="X262" s="0" t="s">
        <v>49</v>
      </c>
      <c r="Y262" s="0" t="s">
        <v>49</v>
      </c>
      <c r="Z262" s="0" t="s">
        <v>49</v>
      </c>
      <c r="AA262" s="0" t="s">
        <v>49</v>
      </c>
      <c r="AB262" s="0" t="s">
        <v>49</v>
      </c>
      <c r="AC262" s="0" t="s">
        <v>53</v>
      </c>
      <c r="AD262" s="0" t="s">
        <v>220</v>
      </c>
      <c r="AE262" s="0" t="s">
        <v>49</v>
      </c>
      <c r="AF262" s="0" t="s">
        <v>1644</v>
      </c>
      <c r="AG262" s="0" t="s">
        <v>49</v>
      </c>
      <c r="AH262" s="0" t="s">
        <v>49</v>
      </c>
      <c r="AI262" s="0" t="s">
        <v>49</v>
      </c>
      <c r="AJ262" s="0" t="s">
        <v>49</v>
      </c>
      <c r="AK262" s="0" t="s">
        <v>49</v>
      </c>
      <c r="AL262" s="0" t="s">
        <v>49</v>
      </c>
    </row>
    <row r="263" customFormat="false" ht="15" hidden="false" customHeight="false" outlineLevel="0" collapsed="false">
      <c r="B263" s="0" t="str">
        <f aca="false">HYPERLINK("https://genome.ucsc.edu/cgi-bin/hgTracks?db=hg19&amp;position=chr2%3A166895915%2D166895916", "chr2:166895915")</f>
        <v>chr2:166895915</v>
      </c>
      <c r="C263" s="0" t="s">
        <v>38</v>
      </c>
      <c r="D263" s="0" t="n">
        <v>166895915</v>
      </c>
      <c r="E263" s="0" t="n">
        <v>166895916</v>
      </c>
      <c r="F263" s="0" t="s">
        <v>236</v>
      </c>
      <c r="G263" s="0" t="s">
        <v>190</v>
      </c>
      <c r="H263" s="0" t="s">
        <v>1645</v>
      </c>
      <c r="I263" s="0" t="s">
        <v>1646</v>
      </c>
      <c r="J263" s="0" t="s">
        <v>1647</v>
      </c>
      <c r="K263" s="0" t="s">
        <v>49</v>
      </c>
      <c r="L263" s="0" t="s">
        <v>49</v>
      </c>
      <c r="M263" s="0" t="str">
        <f aca="false">HYPERLINK("https://www.genecards.org/Search/Keyword?queryString=%5Baliases%5D(%20SCN1A%20)&amp;keywords=SCN1A", "SCN1A")</f>
        <v>SCN1A</v>
      </c>
      <c r="N263" s="0" t="s">
        <v>283</v>
      </c>
      <c r="O263" s="0" t="s">
        <v>49</v>
      </c>
      <c r="P263" s="0" t="s">
        <v>49</v>
      </c>
      <c r="Q263" s="0" t="n">
        <v>-1</v>
      </c>
      <c r="R263" s="0" t="n">
        <v>-1</v>
      </c>
      <c r="S263" s="0" t="n">
        <v>-1</v>
      </c>
      <c r="T263" s="0" t="n">
        <v>-1</v>
      </c>
      <c r="U263" s="0" t="n">
        <v>-1</v>
      </c>
      <c r="V263" s="0" t="s">
        <v>49</v>
      </c>
      <c r="W263" s="0" t="s">
        <v>49</v>
      </c>
      <c r="X263" s="0" t="s">
        <v>49</v>
      </c>
      <c r="Y263" s="0" t="s">
        <v>49</v>
      </c>
      <c r="Z263" s="0" t="s">
        <v>49</v>
      </c>
      <c r="AA263" s="0" t="s">
        <v>49</v>
      </c>
      <c r="AB263" s="0" t="s">
        <v>49</v>
      </c>
      <c r="AC263" s="0" t="s">
        <v>231</v>
      </c>
      <c r="AD263" s="0" t="s">
        <v>54</v>
      </c>
      <c r="AE263" s="0" t="s">
        <v>1648</v>
      </c>
      <c r="AF263" s="0" t="s">
        <v>1649</v>
      </c>
      <c r="AG263" s="0" t="s">
        <v>1650</v>
      </c>
      <c r="AH263" s="0" t="s">
        <v>1651</v>
      </c>
      <c r="AI263" s="0" t="s">
        <v>49</v>
      </c>
      <c r="AJ263" s="0" t="s">
        <v>49</v>
      </c>
      <c r="AK263" s="0" t="s">
        <v>49</v>
      </c>
      <c r="AL263" s="0" t="s">
        <v>49</v>
      </c>
    </row>
    <row r="264" customFormat="false" ht="15" hidden="false" customHeight="false" outlineLevel="0" collapsed="false">
      <c r="B264" s="0" t="str">
        <f aca="false">HYPERLINK("https://genome.ucsc.edu/cgi-bin/hgTracks?db=hg19&amp;position=chr2%3A175614910%2D175614910", "chr2:175614910")</f>
        <v>chr2:175614910</v>
      </c>
      <c r="C264" s="0" t="s">
        <v>38</v>
      </c>
      <c r="D264" s="0" t="n">
        <v>175614910</v>
      </c>
      <c r="E264" s="0" t="n">
        <v>175614910</v>
      </c>
      <c r="F264" s="0" t="s">
        <v>61</v>
      </c>
      <c r="G264" s="0" t="s">
        <v>190</v>
      </c>
      <c r="H264" s="0" t="s">
        <v>1652</v>
      </c>
      <c r="I264" s="0" t="s">
        <v>1074</v>
      </c>
      <c r="J264" s="0" t="s">
        <v>1653</v>
      </c>
      <c r="K264" s="0" t="s">
        <v>49</v>
      </c>
      <c r="L264" s="0" t="s">
        <v>49</v>
      </c>
      <c r="M264" s="0" t="str">
        <f aca="false">HYPERLINK("https://www.genecards.org/Search/Keyword?queryString=%5Baliases%5D(%20BC046497%20)%20OR%20%5Baliases%5D(%20CHRNA1%20)&amp;keywords=BC046497,CHRNA1", "BC046497;CHRNA1")</f>
        <v>BC046497;CHRNA1</v>
      </c>
      <c r="N264" s="0" t="s">
        <v>283</v>
      </c>
      <c r="O264" s="0" t="s">
        <v>49</v>
      </c>
      <c r="P264" s="0" t="s">
        <v>49</v>
      </c>
      <c r="Q264" s="0" t="n">
        <v>-1</v>
      </c>
      <c r="R264" s="0" t="n">
        <v>-1</v>
      </c>
      <c r="S264" s="0" t="n">
        <v>-1</v>
      </c>
      <c r="T264" s="0" t="n">
        <v>-1</v>
      </c>
      <c r="U264" s="0" t="n">
        <v>-1</v>
      </c>
      <c r="V264" s="0" t="s">
        <v>49</v>
      </c>
      <c r="W264" s="0" t="s">
        <v>49</v>
      </c>
      <c r="X264" s="0" t="s">
        <v>49</v>
      </c>
      <c r="Y264" s="0" t="s">
        <v>49</v>
      </c>
      <c r="Z264" s="0" t="s">
        <v>49</v>
      </c>
      <c r="AA264" s="0" t="s">
        <v>49</v>
      </c>
      <c r="AB264" s="0" t="s">
        <v>49</v>
      </c>
      <c r="AC264" s="0" t="s">
        <v>231</v>
      </c>
      <c r="AD264" s="0" t="s">
        <v>220</v>
      </c>
      <c r="AE264" s="0" t="s">
        <v>1654</v>
      </c>
      <c r="AF264" s="0" t="s">
        <v>1655</v>
      </c>
      <c r="AG264" s="0" t="s">
        <v>1656</v>
      </c>
      <c r="AH264" s="0" t="s">
        <v>1657</v>
      </c>
      <c r="AI264" s="0" t="s">
        <v>49</v>
      </c>
      <c r="AJ264" s="0" t="s">
        <v>49</v>
      </c>
      <c r="AK264" s="0" t="s">
        <v>49</v>
      </c>
      <c r="AL264" s="0" t="s">
        <v>49</v>
      </c>
    </row>
    <row r="265" s="2" customFormat="true" ht="15" hidden="false" customHeight="false" outlineLevel="0" collapsed="false">
      <c r="B265" s="2" t="str">
        <f aca="false">HYPERLINK("https://genome.ucsc.edu/cgi-bin/hgTracks?db=hg19&amp;position=chr2%3A179548696%2D179548697", "chr2:179548696")</f>
        <v>chr2:179548696</v>
      </c>
      <c r="C265" s="2" t="s">
        <v>38</v>
      </c>
      <c r="D265" s="2" t="n">
        <v>179548696</v>
      </c>
      <c r="E265" s="2" t="n">
        <v>179548697</v>
      </c>
      <c r="F265" s="2" t="s">
        <v>236</v>
      </c>
      <c r="G265" s="2" t="s">
        <v>190</v>
      </c>
      <c r="H265" s="2" t="s">
        <v>1658</v>
      </c>
      <c r="I265" s="2" t="s">
        <v>489</v>
      </c>
      <c r="J265" s="2" t="s">
        <v>1659</v>
      </c>
      <c r="K265" s="2" t="s">
        <v>49</v>
      </c>
      <c r="L265" s="2" t="str">
        <f aca="false">HYPERLINK("https://www.ncbi.nlm.nih.gov/snp/rs757150037", "rs757150037")</f>
        <v>rs757150037</v>
      </c>
      <c r="M265" s="2" t="str">
        <f aca="false">HYPERLINK("https://www.genecards.org/Search/Keyword?queryString=%5Baliases%5D(%20TTN%20)&amp;keywords=TTN", "TTN")</f>
        <v>TTN</v>
      </c>
      <c r="N265" s="2" t="s">
        <v>283</v>
      </c>
      <c r="O265" s="2" t="s">
        <v>49</v>
      </c>
      <c r="P265" s="2" t="s">
        <v>49</v>
      </c>
      <c r="Q265" s="2" t="n">
        <v>0.0072</v>
      </c>
      <c r="R265" s="2" t="n">
        <v>0.005</v>
      </c>
      <c r="S265" s="2" t="n">
        <v>0.0006</v>
      </c>
      <c r="T265" s="2" t="n">
        <v>-1</v>
      </c>
      <c r="U265" s="2" t="n">
        <v>0.0017</v>
      </c>
      <c r="V265" s="2" t="s">
        <v>49</v>
      </c>
      <c r="W265" s="2" t="s">
        <v>49</v>
      </c>
      <c r="X265" s="2" t="s">
        <v>49</v>
      </c>
      <c r="Y265" s="2" t="s">
        <v>49</v>
      </c>
      <c r="Z265" s="2" t="s">
        <v>49</v>
      </c>
      <c r="AA265" s="2" t="s">
        <v>49</v>
      </c>
      <c r="AB265" s="2" t="s">
        <v>49</v>
      </c>
      <c r="AC265" s="2" t="s">
        <v>53</v>
      </c>
      <c r="AD265" s="2" t="s">
        <v>725</v>
      </c>
      <c r="AE265" s="2" t="s">
        <v>1660</v>
      </c>
      <c r="AF265" s="2" t="s">
        <v>1661</v>
      </c>
      <c r="AG265" s="2" t="s">
        <v>1662</v>
      </c>
      <c r="AH265" s="2" t="s">
        <v>1663</v>
      </c>
      <c r="AI265" s="2" t="s">
        <v>49</v>
      </c>
      <c r="AJ265" s="2" t="s">
        <v>49</v>
      </c>
      <c r="AK265" s="2" t="s">
        <v>49</v>
      </c>
      <c r="AL265" s="2" t="s">
        <v>49</v>
      </c>
    </row>
    <row r="266" s="2" customFormat="true" ht="15" hidden="false" customHeight="false" outlineLevel="0" collapsed="false">
      <c r="B266" s="2" t="str">
        <f aca="false">HYPERLINK("https://genome.ucsc.edu/cgi-bin/hgTracks?db=hg19&amp;position=chr2%3A179553731%2D179553731", "chr2:179553731")</f>
        <v>chr2:179553731</v>
      </c>
      <c r="C266" s="2" t="s">
        <v>38</v>
      </c>
      <c r="D266" s="2" t="n">
        <v>179553731</v>
      </c>
      <c r="E266" s="2" t="n">
        <v>179553731</v>
      </c>
      <c r="F266" s="2" t="s">
        <v>40</v>
      </c>
      <c r="G266" s="2" t="s">
        <v>190</v>
      </c>
      <c r="H266" s="2" t="s">
        <v>1664</v>
      </c>
      <c r="I266" s="2" t="s">
        <v>1312</v>
      </c>
      <c r="J266" s="2" t="s">
        <v>1665</v>
      </c>
      <c r="K266" s="2" t="s">
        <v>49</v>
      </c>
      <c r="L266" s="2" t="str">
        <f aca="false">HYPERLINK("https://www.ncbi.nlm.nih.gov/snp/rs35770337", "rs35770337")</f>
        <v>rs35770337</v>
      </c>
      <c r="M266" s="2" t="str">
        <f aca="false">HYPERLINK("https://www.genecards.org/Search/Keyword?queryString=%5Baliases%5D(%20TTN%20)&amp;keywords=TTN", "TTN")</f>
        <v>TTN</v>
      </c>
      <c r="N266" s="2" t="s">
        <v>283</v>
      </c>
      <c r="O266" s="2" t="s">
        <v>49</v>
      </c>
      <c r="P266" s="2" t="s">
        <v>49</v>
      </c>
      <c r="Q266" s="2" t="n">
        <v>1.94E-005</v>
      </c>
      <c r="R266" s="2" t="n">
        <v>-1</v>
      </c>
      <c r="S266" s="2" t="n">
        <v>-1</v>
      </c>
      <c r="T266" s="2" t="n">
        <v>-1</v>
      </c>
      <c r="U266" s="2" t="n">
        <v>-1</v>
      </c>
      <c r="V266" s="2" t="s">
        <v>49</v>
      </c>
      <c r="W266" s="2" t="s">
        <v>49</v>
      </c>
      <c r="X266" s="2" t="s">
        <v>49</v>
      </c>
      <c r="Y266" s="2" t="s">
        <v>49</v>
      </c>
      <c r="Z266" s="2" t="s">
        <v>49</v>
      </c>
      <c r="AA266" s="2" t="s">
        <v>49</v>
      </c>
      <c r="AB266" s="2" t="s">
        <v>49</v>
      </c>
      <c r="AC266" s="2" t="s">
        <v>53</v>
      </c>
      <c r="AD266" s="2" t="s">
        <v>725</v>
      </c>
      <c r="AE266" s="2" t="s">
        <v>1660</v>
      </c>
      <c r="AF266" s="2" t="s">
        <v>1661</v>
      </c>
      <c r="AG266" s="2" t="s">
        <v>1662</v>
      </c>
      <c r="AH266" s="2" t="s">
        <v>1663</v>
      </c>
      <c r="AI266" s="2" t="s">
        <v>49</v>
      </c>
      <c r="AJ266" s="2" t="s">
        <v>49</v>
      </c>
      <c r="AK266" s="2" t="s">
        <v>49</v>
      </c>
      <c r="AL266" s="2" t="s">
        <v>49</v>
      </c>
    </row>
    <row r="267" s="2" customFormat="true" ht="15" hidden="false" customHeight="false" outlineLevel="0" collapsed="false">
      <c r="B267" s="2" t="str">
        <f aca="false">HYPERLINK("https://genome.ucsc.edu/cgi-bin/hgTracks?db=hg19&amp;position=chr2%3A179622126%2D179622126", "chr2:179622126")</f>
        <v>chr2:179622126</v>
      </c>
      <c r="C267" s="2" t="s">
        <v>38</v>
      </c>
      <c r="D267" s="2" t="n">
        <v>179622126</v>
      </c>
      <c r="E267" s="2" t="n">
        <v>179622126</v>
      </c>
      <c r="F267" s="2" t="s">
        <v>60</v>
      </c>
      <c r="G267" s="2" t="s">
        <v>61</v>
      </c>
      <c r="H267" s="2" t="s">
        <v>1666</v>
      </c>
      <c r="I267" s="2" t="s">
        <v>787</v>
      </c>
      <c r="J267" s="2" t="s">
        <v>1667</v>
      </c>
      <c r="K267" s="2" t="s">
        <v>49</v>
      </c>
      <c r="L267" s="2" t="str">
        <f aca="false">HYPERLINK("https://www.ncbi.nlm.nih.gov/snp/rs184854121", "rs184854121")</f>
        <v>rs184854121</v>
      </c>
      <c r="M267" s="2" t="str">
        <f aca="false">HYPERLINK("https://www.genecards.org/Search/Keyword?queryString=%5Baliases%5D(%20TTN%20)&amp;keywords=TTN", "TTN")</f>
        <v>TTN</v>
      </c>
      <c r="N267" s="2" t="s">
        <v>283</v>
      </c>
      <c r="O267" s="2" t="s">
        <v>49</v>
      </c>
      <c r="P267" s="2" t="s">
        <v>49</v>
      </c>
      <c r="Q267" s="2" t="n">
        <v>0.0043</v>
      </c>
      <c r="R267" s="2" t="n">
        <v>0.0055</v>
      </c>
      <c r="S267" s="2" t="n">
        <v>0.0045</v>
      </c>
      <c r="T267" s="2" t="n">
        <v>-1</v>
      </c>
      <c r="U267" s="2" t="n">
        <v>0.0091</v>
      </c>
      <c r="V267" s="2" t="s">
        <v>49</v>
      </c>
      <c r="W267" s="2" t="s">
        <v>49</v>
      </c>
      <c r="X267" s="2" t="s">
        <v>218</v>
      </c>
      <c r="Y267" s="2" t="s">
        <v>219</v>
      </c>
      <c r="Z267" s="2" t="s">
        <v>49</v>
      </c>
      <c r="AA267" s="2" t="s">
        <v>49</v>
      </c>
      <c r="AB267" s="2" t="s">
        <v>49</v>
      </c>
      <c r="AC267" s="2" t="s">
        <v>503</v>
      </c>
      <c r="AD267" s="2" t="s">
        <v>725</v>
      </c>
      <c r="AE267" s="2" t="s">
        <v>1660</v>
      </c>
      <c r="AF267" s="2" t="s">
        <v>1661</v>
      </c>
      <c r="AG267" s="2" t="s">
        <v>1662</v>
      </c>
      <c r="AH267" s="2" t="s">
        <v>1663</v>
      </c>
      <c r="AI267" s="2" t="s">
        <v>49</v>
      </c>
      <c r="AJ267" s="2" t="s">
        <v>49</v>
      </c>
      <c r="AK267" s="2" t="s">
        <v>49</v>
      </c>
      <c r="AL267" s="2" t="s">
        <v>49</v>
      </c>
    </row>
    <row r="268" customFormat="false" ht="15" hidden="false" customHeight="false" outlineLevel="0" collapsed="false">
      <c r="B268" s="0" t="str">
        <f aca="false">HYPERLINK("https://genome.ucsc.edu/cgi-bin/hgTracks?db=hg19&amp;position=chr2%3A215891411%2D215891411", "chr2:215891411")</f>
        <v>chr2:215891411</v>
      </c>
      <c r="C268" s="0" t="s">
        <v>38</v>
      </c>
      <c r="D268" s="0" t="n">
        <v>215891411</v>
      </c>
      <c r="E268" s="0" t="n">
        <v>215891411</v>
      </c>
      <c r="F268" s="0" t="s">
        <v>40</v>
      </c>
      <c r="G268" s="0" t="s">
        <v>60</v>
      </c>
      <c r="H268" s="0" t="s">
        <v>1668</v>
      </c>
      <c r="I268" s="0" t="s">
        <v>1464</v>
      </c>
      <c r="J268" s="0" t="s">
        <v>1669</v>
      </c>
      <c r="K268" s="0" t="s">
        <v>49</v>
      </c>
      <c r="L268" s="0" t="str">
        <f aca="false">HYPERLINK("https://www.ncbi.nlm.nih.gov/snp/rs72950259", "rs72950259")</f>
        <v>rs72950259</v>
      </c>
      <c r="M268" s="0" t="str">
        <f aca="false">HYPERLINK("https://www.genecards.org/Search/Keyword?queryString=%5Baliases%5D(%20ABCA12%20)&amp;keywords=ABCA12", "ABCA12")</f>
        <v>ABCA12</v>
      </c>
      <c r="N268" s="0" t="s">
        <v>283</v>
      </c>
      <c r="O268" s="0" t="s">
        <v>49</v>
      </c>
      <c r="P268" s="0" t="s">
        <v>49</v>
      </c>
      <c r="Q268" s="0" t="n">
        <v>0.0132</v>
      </c>
      <c r="R268" s="0" t="n">
        <v>0.0052</v>
      </c>
      <c r="S268" s="0" t="n">
        <v>0.0056</v>
      </c>
      <c r="T268" s="0" t="n">
        <v>-1</v>
      </c>
      <c r="U268" s="0" t="n">
        <v>0.0041</v>
      </c>
      <c r="V268" s="0" t="s">
        <v>49</v>
      </c>
      <c r="W268" s="0" t="s">
        <v>49</v>
      </c>
      <c r="X268" s="0" t="s">
        <v>218</v>
      </c>
      <c r="Y268" s="0" t="s">
        <v>219</v>
      </c>
      <c r="Z268" s="0" t="s">
        <v>49</v>
      </c>
      <c r="AA268" s="0" t="s">
        <v>49</v>
      </c>
      <c r="AB268" s="0" t="s">
        <v>49</v>
      </c>
      <c r="AC268" s="0" t="s">
        <v>53</v>
      </c>
      <c r="AD268" s="0" t="s">
        <v>54</v>
      </c>
      <c r="AE268" s="0" t="s">
        <v>1670</v>
      </c>
      <c r="AF268" s="0" t="s">
        <v>1671</v>
      </c>
      <c r="AG268" s="0" t="s">
        <v>1672</v>
      </c>
      <c r="AH268" s="0" t="s">
        <v>1673</v>
      </c>
      <c r="AI268" s="0" t="s">
        <v>49</v>
      </c>
      <c r="AJ268" s="0" t="s">
        <v>49</v>
      </c>
      <c r="AK268" s="0" t="s">
        <v>49</v>
      </c>
      <c r="AL268" s="0" t="s">
        <v>49</v>
      </c>
    </row>
    <row r="269" customFormat="false" ht="15" hidden="false" customHeight="false" outlineLevel="0" collapsed="false">
      <c r="B269" s="0" t="str">
        <f aca="false">HYPERLINK("https://genome.ucsc.edu/cgi-bin/hgTracks?db=hg19&amp;position=chr2%3A231077268%2D231077268", "chr2:231077268")</f>
        <v>chr2:231077268</v>
      </c>
      <c r="C269" s="0" t="s">
        <v>38</v>
      </c>
      <c r="D269" s="0" t="n">
        <v>231077268</v>
      </c>
      <c r="E269" s="0" t="n">
        <v>231077268</v>
      </c>
      <c r="F269" s="0" t="s">
        <v>39</v>
      </c>
      <c r="G269" s="0" t="s">
        <v>40</v>
      </c>
      <c r="H269" s="0" t="s">
        <v>1674</v>
      </c>
      <c r="I269" s="0" t="s">
        <v>1675</v>
      </c>
      <c r="J269" s="0" t="s">
        <v>1676</v>
      </c>
      <c r="K269" s="0" t="s">
        <v>49</v>
      </c>
      <c r="L269" s="0" t="str">
        <f aca="false">HYPERLINK("https://www.ncbi.nlm.nih.gov/snp/rs41309094", "rs41309094")</f>
        <v>rs41309094</v>
      </c>
      <c r="M269" s="0" t="str">
        <f aca="false">HYPERLINK("https://www.genecards.org/Search/Keyword?queryString=%5Baliases%5D(%20SP110%20)&amp;keywords=SP110", "SP110")</f>
        <v>SP110</v>
      </c>
      <c r="N269" s="0" t="s">
        <v>510</v>
      </c>
      <c r="O269" s="0" t="s">
        <v>49</v>
      </c>
      <c r="P269" s="0" t="s">
        <v>49</v>
      </c>
      <c r="Q269" s="0" t="n">
        <v>0.028</v>
      </c>
      <c r="R269" s="0" t="n">
        <v>0.0268</v>
      </c>
      <c r="S269" s="0" t="n">
        <v>0.0281</v>
      </c>
      <c r="T269" s="0" t="n">
        <v>-1</v>
      </c>
      <c r="U269" s="0" t="n">
        <v>0.0281</v>
      </c>
      <c r="V269" s="0" t="s">
        <v>49</v>
      </c>
      <c r="W269" s="0" t="s">
        <v>49</v>
      </c>
      <c r="X269" s="0" t="s">
        <v>333</v>
      </c>
      <c r="Y269" s="0" t="s">
        <v>219</v>
      </c>
      <c r="Z269" s="0" t="s">
        <v>49</v>
      </c>
      <c r="AA269" s="0" t="s">
        <v>49</v>
      </c>
      <c r="AB269" s="0" t="s">
        <v>49</v>
      </c>
      <c r="AC269" s="0" t="s">
        <v>53</v>
      </c>
      <c r="AD269" s="0" t="s">
        <v>54</v>
      </c>
      <c r="AE269" s="0" t="s">
        <v>1677</v>
      </c>
      <c r="AF269" s="0" t="s">
        <v>1678</v>
      </c>
      <c r="AG269" s="0" t="s">
        <v>1679</v>
      </c>
      <c r="AH269" s="0" t="s">
        <v>1680</v>
      </c>
      <c r="AI269" s="0" t="s">
        <v>49</v>
      </c>
      <c r="AJ269" s="0" t="s">
        <v>49</v>
      </c>
      <c r="AK269" s="0" t="s">
        <v>49</v>
      </c>
      <c r="AL269" s="0" t="s">
        <v>49</v>
      </c>
    </row>
    <row r="270" customFormat="false" ht="15" hidden="false" customHeight="false" outlineLevel="0" collapsed="false">
      <c r="B270" s="0" t="str">
        <f aca="false">HYPERLINK("https://genome.ucsc.edu/cgi-bin/hgTracks?db=hg19&amp;position=chr2%3A233594173%2D233594173", "chr2:233594173")</f>
        <v>chr2:233594173</v>
      </c>
      <c r="C270" s="0" t="s">
        <v>38</v>
      </c>
      <c r="D270" s="0" t="n">
        <v>233594173</v>
      </c>
      <c r="E270" s="0" t="n">
        <v>233594173</v>
      </c>
      <c r="F270" s="0" t="s">
        <v>190</v>
      </c>
      <c r="G270" s="0" t="s">
        <v>40</v>
      </c>
      <c r="H270" s="0" t="s">
        <v>1681</v>
      </c>
      <c r="I270" s="0" t="s">
        <v>1083</v>
      </c>
      <c r="J270" s="0" t="s">
        <v>1682</v>
      </c>
      <c r="K270" s="0" t="s">
        <v>49</v>
      </c>
      <c r="L270" s="0" t="s">
        <v>49</v>
      </c>
      <c r="M270" s="0" t="str">
        <f aca="false">HYPERLINK("https://www.genecards.org/Search/Keyword?queryString=%5Baliases%5D(%20AX748196%20)%20OR%20%5Baliases%5D(%20GIGYF2%20)&amp;keywords=AX748196,GIGYF2", "AX748196;GIGYF2")</f>
        <v>AX748196;GIGYF2</v>
      </c>
      <c r="N270" s="0" t="s">
        <v>300</v>
      </c>
      <c r="O270" s="0" t="s">
        <v>49</v>
      </c>
      <c r="P270" s="0" t="s">
        <v>49</v>
      </c>
      <c r="Q270" s="0" t="n">
        <v>0.0283</v>
      </c>
      <c r="R270" s="0" t="n">
        <v>0.0289</v>
      </c>
      <c r="S270" s="0" t="n">
        <v>0.0283</v>
      </c>
      <c r="T270" s="0" t="n">
        <v>-1</v>
      </c>
      <c r="U270" s="0" t="n">
        <v>0.0314</v>
      </c>
      <c r="V270" s="0" t="s">
        <v>49</v>
      </c>
      <c r="W270" s="0" t="s">
        <v>49</v>
      </c>
      <c r="X270" s="0" t="s">
        <v>49</v>
      </c>
      <c r="Y270" s="0" t="s">
        <v>49</v>
      </c>
      <c r="Z270" s="0" t="s">
        <v>49</v>
      </c>
      <c r="AA270" s="0" t="s">
        <v>49</v>
      </c>
      <c r="AB270" s="0" t="s">
        <v>49</v>
      </c>
      <c r="AC270" s="0" t="s">
        <v>53</v>
      </c>
      <c r="AD270" s="0" t="s">
        <v>220</v>
      </c>
      <c r="AE270" s="0" t="s">
        <v>1683</v>
      </c>
      <c r="AF270" s="0" t="s">
        <v>1684</v>
      </c>
      <c r="AG270" s="0" t="s">
        <v>1685</v>
      </c>
      <c r="AH270" s="0" t="s">
        <v>1686</v>
      </c>
      <c r="AI270" s="0" t="s">
        <v>49</v>
      </c>
      <c r="AJ270" s="0" t="s">
        <v>49</v>
      </c>
      <c r="AK270" s="0" t="s">
        <v>49</v>
      </c>
      <c r="AL270" s="0" t="s">
        <v>49</v>
      </c>
    </row>
    <row r="271" customFormat="false" ht="15" hidden="false" customHeight="false" outlineLevel="0" collapsed="false">
      <c r="B271" s="0" t="str">
        <f aca="false">HYPERLINK("https://genome.ucsc.edu/cgi-bin/hgTracks?db=hg19&amp;position=chr2%3A239974931%2D239974931", "chr2:239974931")</f>
        <v>chr2:239974931</v>
      </c>
      <c r="C271" s="0" t="s">
        <v>38</v>
      </c>
      <c r="D271" s="0" t="n">
        <v>239974931</v>
      </c>
      <c r="E271" s="0" t="n">
        <v>239974931</v>
      </c>
      <c r="F271" s="0" t="s">
        <v>39</v>
      </c>
      <c r="G271" s="0" t="s">
        <v>40</v>
      </c>
      <c r="H271" s="0" t="s">
        <v>1687</v>
      </c>
      <c r="I271" s="0" t="s">
        <v>123</v>
      </c>
      <c r="J271" s="0" t="s">
        <v>1688</v>
      </c>
      <c r="K271" s="0" t="s">
        <v>49</v>
      </c>
      <c r="L271" s="0" t="str">
        <f aca="false">HYPERLINK("https://www.ncbi.nlm.nih.gov/snp/rs190924205", "rs190924205")</f>
        <v>rs190924205</v>
      </c>
      <c r="M271" s="0" t="str">
        <f aca="false">HYPERLINK("https://www.genecards.org/Search/Keyword?queryString=%5Baliases%5D(%20HDAC4%20)&amp;keywords=HDAC4", "HDAC4")</f>
        <v>HDAC4</v>
      </c>
      <c r="N271" s="0" t="s">
        <v>510</v>
      </c>
      <c r="O271" s="0" t="s">
        <v>49</v>
      </c>
      <c r="P271" s="0" t="s">
        <v>49</v>
      </c>
      <c r="Q271" s="0" t="n">
        <v>0.0294</v>
      </c>
      <c r="R271" s="0" t="n">
        <v>0.0083</v>
      </c>
      <c r="S271" s="0" t="n">
        <v>0.0073</v>
      </c>
      <c r="T271" s="0" t="n">
        <v>-1</v>
      </c>
      <c r="U271" s="0" t="n">
        <v>0.0102</v>
      </c>
      <c r="V271" s="0" t="s">
        <v>49</v>
      </c>
      <c r="W271" s="0" t="s">
        <v>49</v>
      </c>
      <c r="X271" s="0" t="s">
        <v>333</v>
      </c>
      <c r="Y271" s="0" t="s">
        <v>219</v>
      </c>
      <c r="Z271" s="0" t="s">
        <v>49</v>
      </c>
      <c r="AA271" s="0" t="s">
        <v>49</v>
      </c>
      <c r="AB271" s="0" t="s">
        <v>49</v>
      </c>
      <c r="AC271" s="0" t="s">
        <v>53</v>
      </c>
      <c r="AD271" s="0" t="s">
        <v>54</v>
      </c>
      <c r="AE271" s="0" t="s">
        <v>1689</v>
      </c>
      <c r="AF271" s="0" t="s">
        <v>1690</v>
      </c>
      <c r="AG271" s="0" t="s">
        <v>1691</v>
      </c>
      <c r="AH271" s="0" t="s">
        <v>1692</v>
      </c>
      <c r="AI271" s="0" t="s">
        <v>49</v>
      </c>
      <c r="AJ271" s="0" t="s">
        <v>49</v>
      </c>
      <c r="AK271" s="0" t="s">
        <v>49</v>
      </c>
      <c r="AL271" s="0" t="s">
        <v>49</v>
      </c>
    </row>
    <row r="272" customFormat="false" ht="15" hidden="false" customHeight="false" outlineLevel="0" collapsed="false">
      <c r="B272" s="0" t="str">
        <f aca="false">HYPERLINK("https://genome.ucsc.edu/cgi-bin/hgTracks?db=hg19&amp;position=chr20%3A10273694%2D10273694", "chr20:10273694")</f>
        <v>chr20:10273694</v>
      </c>
      <c r="C272" s="0" t="s">
        <v>263</v>
      </c>
      <c r="D272" s="0" t="n">
        <v>10273694</v>
      </c>
      <c r="E272" s="0" t="n">
        <v>10273694</v>
      </c>
      <c r="F272" s="0" t="s">
        <v>190</v>
      </c>
      <c r="G272" s="0" t="s">
        <v>40</v>
      </c>
      <c r="H272" s="0" t="s">
        <v>598</v>
      </c>
      <c r="I272" s="0" t="s">
        <v>1124</v>
      </c>
      <c r="J272" s="0" t="s">
        <v>1693</v>
      </c>
      <c r="K272" s="0" t="s">
        <v>49</v>
      </c>
      <c r="L272" s="0" t="str">
        <f aca="false">HYPERLINK("https://www.ncbi.nlm.nih.gov/snp/rs770058307", "rs770058307")</f>
        <v>rs770058307</v>
      </c>
      <c r="M272" s="0" t="str">
        <f aca="false">HYPERLINK("https://www.genecards.org/Search/Keyword?queryString=%5Baliases%5D(%20SNAP25%20)&amp;keywords=SNAP25", "SNAP25")</f>
        <v>SNAP25</v>
      </c>
      <c r="N272" s="0" t="s">
        <v>283</v>
      </c>
      <c r="O272" s="0" t="s">
        <v>49</v>
      </c>
      <c r="P272" s="0" t="s">
        <v>49</v>
      </c>
      <c r="Q272" s="0" t="n">
        <v>0.0225</v>
      </c>
      <c r="R272" s="0" t="n">
        <v>0.0183</v>
      </c>
      <c r="S272" s="0" t="n">
        <v>0.0144</v>
      </c>
      <c r="T272" s="0" t="n">
        <v>-1</v>
      </c>
      <c r="U272" s="0" t="n">
        <v>0.0349</v>
      </c>
      <c r="V272" s="0" t="s">
        <v>49</v>
      </c>
      <c r="W272" s="0" t="s">
        <v>49</v>
      </c>
      <c r="X272" s="0" t="s">
        <v>49</v>
      </c>
      <c r="Y272" s="0" t="s">
        <v>49</v>
      </c>
      <c r="Z272" s="0" t="s">
        <v>49</v>
      </c>
      <c r="AA272" s="0" t="s">
        <v>49</v>
      </c>
      <c r="AB272" s="0" t="s">
        <v>49</v>
      </c>
      <c r="AC272" s="0" t="s">
        <v>53</v>
      </c>
      <c r="AD272" s="0" t="s">
        <v>54</v>
      </c>
      <c r="AE272" s="0" t="s">
        <v>1694</v>
      </c>
      <c r="AF272" s="0" t="s">
        <v>1695</v>
      </c>
      <c r="AG272" s="0" t="s">
        <v>1696</v>
      </c>
      <c r="AH272" s="0" t="s">
        <v>1697</v>
      </c>
      <c r="AI272" s="0" t="s">
        <v>49</v>
      </c>
      <c r="AJ272" s="0" t="s">
        <v>49</v>
      </c>
      <c r="AK272" s="0" t="s">
        <v>49</v>
      </c>
      <c r="AL272" s="0" t="s">
        <v>49</v>
      </c>
    </row>
    <row r="273" customFormat="false" ht="15" hidden="false" customHeight="false" outlineLevel="0" collapsed="false">
      <c r="B273" s="0" t="str">
        <f aca="false">HYPERLINK("https://genome.ucsc.edu/cgi-bin/hgTracks?db=hg19&amp;position=chr20%3A23731639%2D23731639", "chr20:23731639")</f>
        <v>chr20:23731639</v>
      </c>
      <c r="C273" s="0" t="s">
        <v>263</v>
      </c>
      <c r="D273" s="0" t="n">
        <v>23731639</v>
      </c>
      <c r="E273" s="0" t="n">
        <v>23731639</v>
      </c>
      <c r="F273" s="0" t="s">
        <v>39</v>
      </c>
      <c r="G273" s="0" t="s">
        <v>40</v>
      </c>
      <c r="H273" s="0" t="s">
        <v>1698</v>
      </c>
      <c r="I273" s="0" t="s">
        <v>1028</v>
      </c>
      <c r="J273" s="0" t="s">
        <v>1699</v>
      </c>
      <c r="K273" s="0" t="s">
        <v>49</v>
      </c>
      <c r="L273" s="0" t="str">
        <f aca="false">HYPERLINK("https://www.ncbi.nlm.nih.gov/snp/rs559999556", "rs559999556")</f>
        <v>rs559999556</v>
      </c>
      <c r="M273" s="0" t="s">
        <v>49</v>
      </c>
      <c r="N273" s="0" t="s">
        <v>1700</v>
      </c>
      <c r="O273" s="0" t="s">
        <v>49</v>
      </c>
      <c r="P273" s="0" t="s">
        <v>1701</v>
      </c>
      <c r="Q273" s="0" t="n">
        <v>0.0127</v>
      </c>
      <c r="R273" s="0" t="n">
        <v>0.0126</v>
      </c>
      <c r="S273" s="0" t="n">
        <v>0.0123</v>
      </c>
      <c r="T273" s="0" t="n">
        <v>-1</v>
      </c>
      <c r="U273" s="0" t="n">
        <v>0.0121</v>
      </c>
      <c r="V273" s="0" t="s">
        <v>49</v>
      </c>
      <c r="W273" s="0" t="s">
        <v>49</v>
      </c>
      <c r="X273" s="0" t="s">
        <v>333</v>
      </c>
      <c r="Y273" s="0" t="s">
        <v>219</v>
      </c>
      <c r="Z273" s="0" t="s">
        <v>49</v>
      </c>
      <c r="AA273" s="0" t="s">
        <v>49</v>
      </c>
      <c r="AB273" s="0" t="s">
        <v>49</v>
      </c>
      <c r="AC273" s="0" t="s">
        <v>53</v>
      </c>
      <c r="AD273" s="0" t="s">
        <v>725</v>
      </c>
      <c r="AE273" s="0" t="s">
        <v>49</v>
      </c>
      <c r="AF273" s="0" t="s">
        <v>49</v>
      </c>
      <c r="AG273" s="0" t="s">
        <v>49</v>
      </c>
      <c r="AH273" s="0" t="s">
        <v>49</v>
      </c>
      <c r="AI273" s="0" t="s">
        <v>49</v>
      </c>
      <c r="AJ273" s="0" t="s">
        <v>49</v>
      </c>
      <c r="AK273" s="0" t="s">
        <v>49</v>
      </c>
      <c r="AL273" s="0" t="s">
        <v>49</v>
      </c>
    </row>
    <row r="274" customFormat="false" ht="15" hidden="false" customHeight="false" outlineLevel="0" collapsed="false">
      <c r="B274" s="0" t="str">
        <f aca="false">HYPERLINK("https://genome.ucsc.edu/cgi-bin/hgTracks?db=hg19&amp;position=chr20%3A32990446%2D32990446", "chr20:32990446")</f>
        <v>chr20:32990446</v>
      </c>
      <c r="C274" s="0" t="s">
        <v>263</v>
      </c>
      <c r="D274" s="0" t="n">
        <v>32990446</v>
      </c>
      <c r="E274" s="0" t="n">
        <v>32990446</v>
      </c>
      <c r="F274" s="0" t="s">
        <v>40</v>
      </c>
      <c r="G274" s="0" t="s">
        <v>61</v>
      </c>
      <c r="H274" s="0" t="s">
        <v>1702</v>
      </c>
      <c r="I274" s="0" t="s">
        <v>623</v>
      </c>
      <c r="J274" s="0" t="s">
        <v>1703</v>
      </c>
      <c r="K274" s="0" t="s">
        <v>49</v>
      </c>
      <c r="L274" s="0" t="str">
        <f aca="false">HYPERLINK("https://www.ncbi.nlm.nih.gov/snp/rs138137534", "rs138137534")</f>
        <v>rs138137534</v>
      </c>
      <c r="M274" s="0" t="str">
        <f aca="false">HYPERLINK("https://www.genecards.org/Search/Keyword?queryString=%5Baliases%5D(%20ITCH%20)&amp;keywords=ITCH", "ITCH")</f>
        <v>ITCH</v>
      </c>
      <c r="N274" s="0" t="s">
        <v>300</v>
      </c>
      <c r="O274" s="0" t="s">
        <v>49</v>
      </c>
      <c r="P274" s="0" t="s">
        <v>49</v>
      </c>
      <c r="Q274" s="0" t="n">
        <v>0.0138</v>
      </c>
      <c r="R274" s="0" t="n">
        <v>0.0078</v>
      </c>
      <c r="S274" s="0" t="n">
        <v>0.007</v>
      </c>
      <c r="T274" s="0" t="n">
        <v>-1</v>
      </c>
      <c r="U274" s="0" t="n">
        <v>0.0118</v>
      </c>
      <c r="V274" s="0" t="s">
        <v>49</v>
      </c>
      <c r="W274" s="0" t="s">
        <v>49</v>
      </c>
      <c r="X274" s="0" t="s">
        <v>49</v>
      </c>
      <c r="Y274" s="0" t="s">
        <v>49</v>
      </c>
      <c r="Z274" s="0" t="s">
        <v>49</v>
      </c>
      <c r="AA274" s="0" t="s">
        <v>49</v>
      </c>
      <c r="AB274" s="0" t="s">
        <v>49</v>
      </c>
      <c r="AC274" s="0" t="s">
        <v>53</v>
      </c>
      <c r="AD274" s="0" t="s">
        <v>54</v>
      </c>
      <c r="AE274" s="0" t="s">
        <v>1704</v>
      </c>
      <c r="AF274" s="0" t="s">
        <v>1705</v>
      </c>
      <c r="AG274" s="0" t="s">
        <v>1706</v>
      </c>
      <c r="AH274" s="0" t="s">
        <v>1707</v>
      </c>
      <c r="AI274" s="0" t="s">
        <v>49</v>
      </c>
      <c r="AJ274" s="0" t="s">
        <v>49</v>
      </c>
      <c r="AK274" s="0" t="s">
        <v>49</v>
      </c>
      <c r="AL274" s="0" t="s">
        <v>49</v>
      </c>
    </row>
    <row r="275" customFormat="false" ht="15" hidden="false" customHeight="false" outlineLevel="0" collapsed="false">
      <c r="B275" s="0" t="str">
        <f aca="false">HYPERLINK("https://genome.ucsc.edu/cgi-bin/hgTracks?db=hg19&amp;position=chr20%3A35154562%2D35154562", "chr20:35154562")</f>
        <v>chr20:35154562</v>
      </c>
      <c r="C275" s="0" t="s">
        <v>263</v>
      </c>
      <c r="D275" s="0" t="n">
        <v>35154562</v>
      </c>
      <c r="E275" s="0" t="n">
        <v>35154562</v>
      </c>
      <c r="F275" s="0" t="s">
        <v>60</v>
      </c>
      <c r="G275" s="0" t="s">
        <v>61</v>
      </c>
      <c r="H275" s="0" t="s">
        <v>743</v>
      </c>
      <c r="I275" s="0" t="s">
        <v>816</v>
      </c>
      <c r="J275" s="0" t="s">
        <v>1708</v>
      </c>
      <c r="K275" s="0" t="s">
        <v>49</v>
      </c>
      <c r="L275" s="0" t="str">
        <f aca="false">HYPERLINK("https://www.ncbi.nlm.nih.gov/snp/rs1057056089", "rs1057056089")</f>
        <v>rs1057056089</v>
      </c>
      <c r="M275" s="0" t="str">
        <f aca="false">HYPERLINK("https://www.genecards.org/Search/Keyword?queryString=%5Baliases%5D(%20BC039668%20)%20OR%20%5Baliases%5D(%20DLGAP4-AS1%20)&amp;keywords=BC039668,DLGAP4-AS1", "BC039668;DLGAP4-AS1")</f>
        <v>BC039668;DLGAP4-AS1</v>
      </c>
      <c r="N275" s="0" t="s">
        <v>650</v>
      </c>
      <c r="O275" s="0" t="s">
        <v>49</v>
      </c>
      <c r="P275" s="0" t="s">
        <v>49</v>
      </c>
      <c r="Q275" s="0" t="n">
        <v>0.0009</v>
      </c>
      <c r="R275" s="0" t="n">
        <v>0.0008</v>
      </c>
      <c r="S275" s="0" t="n">
        <v>0.0007</v>
      </c>
      <c r="T275" s="0" t="n">
        <v>-1</v>
      </c>
      <c r="U275" s="0" t="n">
        <v>0.0015</v>
      </c>
      <c r="V275" s="0" t="s">
        <v>49</v>
      </c>
      <c r="W275" s="0" t="s">
        <v>49</v>
      </c>
      <c r="X275" s="0" t="s">
        <v>517</v>
      </c>
      <c r="Y275" s="0" t="s">
        <v>219</v>
      </c>
      <c r="Z275" s="0" t="s">
        <v>49</v>
      </c>
      <c r="AA275" s="0" t="s">
        <v>49</v>
      </c>
      <c r="AB275" s="0" t="s">
        <v>49</v>
      </c>
      <c r="AC275" s="0" t="s">
        <v>53</v>
      </c>
      <c r="AD275" s="0" t="s">
        <v>220</v>
      </c>
      <c r="AE275" s="0" t="s">
        <v>49</v>
      </c>
      <c r="AF275" s="0" t="s">
        <v>1709</v>
      </c>
      <c r="AG275" s="0" t="s">
        <v>49</v>
      </c>
      <c r="AH275" s="0" t="s">
        <v>49</v>
      </c>
      <c r="AI275" s="0" t="s">
        <v>49</v>
      </c>
      <c r="AJ275" s="0" t="s">
        <v>49</v>
      </c>
      <c r="AK275" s="0" t="s">
        <v>49</v>
      </c>
      <c r="AL275" s="0" t="s">
        <v>49</v>
      </c>
    </row>
    <row r="276" customFormat="false" ht="15" hidden="false" customHeight="false" outlineLevel="0" collapsed="false">
      <c r="B276" s="0" t="str">
        <f aca="false">HYPERLINK("https://genome.ucsc.edu/cgi-bin/hgTracks?db=hg19&amp;position=chr20%3A45904992%2D45904992", "chr20:45904992")</f>
        <v>chr20:45904992</v>
      </c>
      <c r="C276" s="0" t="s">
        <v>263</v>
      </c>
      <c r="D276" s="0" t="n">
        <v>45904992</v>
      </c>
      <c r="E276" s="0" t="n">
        <v>45904992</v>
      </c>
      <c r="F276" s="0" t="s">
        <v>60</v>
      </c>
      <c r="G276" s="0" t="s">
        <v>39</v>
      </c>
      <c r="H276" s="0" t="s">
        <v>1710</v>
      </c>
      <c r="I276" s="0" t="s">
        <v>1464</v>
      </c>
      <c r="J276" s="0" t="s">
        <v>1711</v>
      </c>
      <c r="K276" s="0" t="s">
        <v>49</v>
      </c>
      <c r="L276" s="0" t="str">
        <f aca="false">HYPERLINK("https://www.ncbi.nlm.nih.gov/snp/rs17788224", "rs17788224")</f>
        <v>rs17788224</v>
      </c>
      <c r="M276" s="0" t="str">
        <f aca="false">HYPERLINK("https://www.genecards.org/Search/Keyword?queryString=%5Baliases%5D(%20ZMYND8%20)&amp;keywords=ZMYND8", "ZMYND8")</f>
        <v>ZMYND8</v>
      </c>
      <c r="N276" s="0" t="s">
        <v>510</v>
      </c>
      <c r="O276" s="0" t="s">
        <v>49</v>
      </c>
      <c r="P276" s="0" t="s">
        <v>49</v>
      </c>
      <c r="Q276" s="0" t="n">
        <v>0.0147868</v>
      </c>
      <c r="R276" s="0" t="n">
        <v>0.0123</v>
      </c>
      <c r="S276" s="0" t="n">
        <v>0.0132</v>
      </c>
      <c r="T276" s="0" t="n">
        <v>-1</v>
      </c>
      <c r="U276" s="0" t="n">
        <v>0.0122</v>
      </c>
      <c r="V276" s="0" t="s">
        <v>49</v>
      </c>
      <c r="W276" s="0" t="s">
        <v>49</v>
      </c>
      <c r="X276" s="0" t="s">
        <v>333</v>
      </c>
      <c r="Y276" s="0" t="s">
        <v>219</v>
      </c>
      <c r="Z276" s="0" t="s">
        <v>49</v>
      </c>
      <c r="AA276" s="0" t="s">
        <v>49</v>
      </c>
      <c r="AB276" s="0" t="s">
        <v>49</v>
      </c>
      <c r="AC276" s="0" t="s">
        <v>53</v>
      </c>
      <c r="AD276" s="0" t="s">
        <v>54</v>
      </c>
      <c r="AE276" s="0" t="s">
        <v>1712</v>
      </c>
      <c r="AF276" s="0" t="s">
        <v>1713</v>
      </c>
      <c r="AG276" s="0" t="s">
        <v>49</v>
      </c>
      <c r="AH276" s="0" t="s">
        <v>49</v>
      </c>
      <c r="AI276" s="0" t="s">
        <v>49</v>
      </c>
      <c r="AJ276" s="0" t="s">
        <v>49</v>
      </c>
      <c r="AK276" s="0" t="s">
        <v>49</v>
      </c>
      <c r="AL276" s="0" t="s">
        <v>49</v>
      </c>
    </row>
    <row r="277" customFormat="false" ht="15" hidden="false" customHeight="false" outlineLevel="0" collapsed="false">
      <c r="B277" s="0" t="str">
        <f aca="false">HYPERLINK("https://genome.ucsc.edu/cgi-bin/hgTracks?db=hg19&amp;position=chr20%3A48467300%2D48467300", "chr20:48467300")</f>
        <v>chr20:48467300</v>
      </c>
      <c r="C277" s="0" t="s">
        <v>263</v>
      </c>
      <c r="D277" s="0" t="n">
        <v>48467300</v>
      </c>
      <c r="E277" s="0" t="n">
        <v>48467300</v>
      </c>
      <c r="F277" s="0" t="s">
        <v>190</v>
      </c>
      <c r="G277" s="0" t="s">
        <v>40</v>
      </c>
      <c r="H277" s="0" t="s">
        <v>1714</v>
      </c>
      <c r="I277" s="0" t="s">
        <v>272</v>
      </c>
      <c r="J277" s="0" t="s">
        <v>1715</v>
      </c>
      <c r="K277" s="0" t="s">
        <v>49</v>
      </c>
      <c r="L277" s="0" t="str">
        <f aca="false">HYPERLINK("https://www.ncbi.nlm.nih.gov/snp/rs765368828", "rs765368828")</f>
        <v>rs765368828</v>
      </c>
      <c r="M277" s="0" t="str">
        <f aca="false">HYPERLINK("https://www.genecards.org/Search/Keyword?queryString=%5Baliases%5D(%20SLC9A8%20)&amp;keywords=SLC9A8", "SLC9A8")</f>
        <v>SLC9A8</v>
      </c>
      <c r="N277" s="0" t="s">
        <v>45</v>
      </c>
      <c r="O277" s="0" t="s">
        <v>259</v>
      </c>
      <c r="P277" s="0" t="s">
        <v>1716</v>
      </c>
      <c r="Q277" s="0" t="n">
        <v>0.0244</v>
      </c>
      <c r="R277" s="0" t="n">
        <v>0.0015</v>
      </c>
      <c r="S277" s="0" t="n">
        <v>0.0009</v>
      </c>
      <c r="T277" s="0" t="n">
        <v>-1</v>
      </c>
      <c r="U277" s="0" t="n">
        <v>0.0016</v>
      </c>
      <c r="V277" s="0" t="s">
        <v>49</v>
      </c>
      <c r="W277" s="0" t="s">
        <v>49</v>
      </c>
      <c r="X277" s="0" t="s">
        <v>49</v>
      </c>
      <c r="Y277" s="0" t="s">
        <v>49</v>
      </c>
      <c r="Z277" s="0" t="s">
        <v>49</v>
      </c>
      <c r="AA277" s="0" t="s">
        <v>49</v>
      </c>
      <c r="AB277" s="0" t="s">
        <v>49</v>
      </c>
      <c r="AC277" s="0" t="s">
        <v>53</v>
      </c>
      <c r="AD277" s="0" t="s">
        <v>54</v>
      </c>
      <c r="AE277" s="0" t="s">
        <v>1717</v>
      </c>
      <c r="AF277" s="0" t="s">
        <v>1718</v>
      </c>
      <c r="AG277" s="0" t="s">
        <v>1719</v>
      </c>
      <c r="AH277" s="0" t="s">
        <v>49</v>
      </c>
      <c r="AI277" s="0" t="s">
        <v>1720</v>
      </c>
      <c r="AJ277" s="0" t="s">
        <v>49</v>
      </c>
      <c r="AK277" s="0" t="s">
        <v>49</v>
      </c>
      <c r="AL277" s="0" t="s">
        <v>49</v>
      </c>
    </row>
    <row r="278" customFormat="false" ht="15" hidden="false" customHeight="false" outlineLevel="0" collapsed="false">
      <c r="B278" s="0" t="str">
        <f aca="false">HYPERLINK("https://genome.ucsc.edu/cgi-bin/hgTracks?db=hg19&amp;position=chr20%3A49558724%2D49558724", "chr20:49558724")</f>
        <v>chr20:49558724</v>
      </c>
      <c r="C278" s="0" t="s">
        <v>263</v>
      </c>
      <c r="D278" s="0" t="n">
        <v>49558724</v>
      </c>
      <c r="E278" s="0" t="n">
        <v>49558724</v>
      </c>
      <c r="F278" s="0" t="s">
        <v>40</v>
      </c>
      <c r="G278" s="0" t="s">
        <v>39</v>
      </c>
      <c r="H278" s="0" t="s">
        <v>1721</v>
      </c>
      <c r="I278" s="0" t="s">
        <v>1722</v>
      </c>
      <c r="J278" s="0" t="s">
        <v>1723</v>
      </c>
      <c r="K278" s="0" t="s">
        <v>49</v>
      </c>
      <c r="L278" s="0" t="str">
        <f aca="false">HYPERLINK("https://www.ncbi.nlm.nih.gov/snp/rs771845456", "rs771845456")</f>
        <v>rs771845456</v>
      </c>
      <c r="M278" s="0" t="str">
        <f aca="false">HYPERLINK("https://www.genecards.org/Search/Keyword?queryString=%5Baliases%5D(%20ADNP-AS1%20)%20OR%20%5Baliases%5D(%20DPM1%20)&amp;keywords=ADNP-AS1,DPM1", "ADNP-AS1;DPM1")</f>
        <v>ADNP-AS1;DPM1</v>
      </c>
      <c r="N278" s="0" t="s">
        <v>283</v>
      </c>
      <c r="O278" s="0" t="s">
        <v>49</v>
      </c>
      <c r="P278" s="0" t="s">
        <v>49</v>
      </c>
      <c r="Q278" s="0" t="n">
        <v>0.004</v>
      </c>
      <c r="R278" s="0" t="n">
        <v>0.0014</v>
      </c>
      <c r="S278" s="0" t="n">
        <v>0.0014</v>
      </c>
      <c r="T278" s="0" t="n">
        <v>-1</v>
      </c>
      <c r="U278" s="0" t="n">
        <v>0.0024</v>
      </c>
      <c r="V278" s="0" t="s">
        <v>49</v>
      </c>
      <c r="W278" s="0" t="s">
        <v>49</v>
      </c>
      <c r="X278" s="0" t="s">
        <v>218</v>
      </c>
      <c r="Y278" s="0" t="s">
        <v>219</v>
      </c>
      <c r="Z278" s="0" t="s">
        <v>49</v>
      </c>
      <c r="AA278" s="0" t="s">
        <v>49</v>
      </c>
      <c r="AB278" s="0" t="s">
        <v>49</v>
      </c>
      <c r="AC278" s="0" t="s">
        <v>53</v>
      </c>
      <c r="AD278" s="0" t="s">
        <v>220</v>
      </c>
      <c r="AE278" s="0" t="s">
        <v>1724</v>
      </c>
      <c r="AF278" s="0" t="s">
        <v>1725</v>
      </c>
      <c r="AG278" s="0" t="s">
        <v>1726</v>
      </c>
      <c r="AH278" s="0" t="s">
        <v>1727</v>
      </c>
      <c r="AI278" s="0" t="s">
        <v>49</v>
      </c>
      <c r="AJ278" s="0" t="s">
        <v>49</v>
      </c>
      <c r="AK278" s="0" t="s">
        <v>49</v>
      </c>
      <c r="AL278" s="0" t="s">
        <v>49</v>
      </c>
    </row>
    <row r="279" customFormat="false" ht="15" hidden="false" customHeight="false" outlineLevel="0" collapsed="false">
      <c r="B279" s="0" t="str">
        <f aca="false">HYPERLINK("https://genome.ucsc.edu/cgi-bin/hgTracks?db=hg19&amp;position=chr20%3A61456481%2D61456481", "chr20:61456481")</f>
        <v>chr20:61456481</v>
      </c>
      <c r="C279" s="0" t="s">
        <v>263</v>
      </c>
      <c r="D279" s="0" t="n">
        <v>61456481</v>
      </c>
      <c r="E279" s="0" t="n">
        <v>61456481</v>
      </c>
      <c r="F279" s="0" t="s">
        <v>60</v>
      </c>
      <c r="G279" s="0" t="s">
        <v>40</v>
      </c>
      <c r="H279" s="0" t="s">
        <v>1728</v>
      </c>
      <c r="I279" s="0" t="s">
        <v>1277</v>
      </c>
      <c r="J279" s="0" t="s">
        <v>1729</v>
      </c>
      <c r="K279" s="0" t="s">
        <v>49</v>
      </c>
      <c r="L279" s="0" t="str">
        <f aca="false">HYPERLINK("https://www.ncbi.nlm.nih.gov/snp/rs868296605", "rs868296605")</f>
        <v>rs868296605</v>
      </c>
      <c r="M279" s="0" t="str">
        <f aca="false">HYPERLINK("https://www.genecards.org/Search/Keyword?queryString=%5Baliases%5D(%20COL9A3%20)&amp;keywords=COL9A3", "COL9A3")</f>
        <v>COL9A3</v>
      </c>
      <c r="N279" s="0" t="s">
        <v>510</v>
      </c>
      <c r="O279" s="0" t="s">
        <v>49</v>
      </c>
      <c r="P279" s="0" t="s">
        <v>49</v>
      </c>
      <c r="Q279" s="0" t="n">
        <v>0.0163</v>
      </c>
      <c r="R279" s="0" t="n">
        <v>0.0119</v>
      </c>
      <c r="S279" s="0" t="n">
        <v>0.0115</v>
      </c>
      <c r="T279" s="0" t="n">
        <v>-1</v>
      </c>
      <c r="U279" s="0" t="n">
        <v>0.0122</v>
      </c>
      <c r="V279" s="0" t="s">
        <v>49</v>
      </c>
      <c r="W279" s="0" t="s">
        <v>49</v>
      </c>
      <c r="X279" s="0" t="s">
        <v>333</v>
      </c>
      <c r="Y279" s="0" t="s">
        <v>219</v>
      </c>
      <c r="Z279" s="0" t="s">
        <v>49</v>
      </c>
      <c r="AA279" s="0" t="s">
        <v>49</v>
      </c>
      <c r="AB279" s="0" t="s">
        <v>49</v>
      </c>
      <c r="AC279" s="0" t="s">
        <v>53</v>
      </c>
      <c r="AD279" s="0" t="s">
        <v>54</v>
      </c>
      <c r="AE279" s="0" t="s">
        <v>1730</v>
      </c>
      <c r="AF279" s="0" t="s">
        <v>1731</v>
      </c>
      <c r="AG279" s="0" t="s">
        <v>1732</v>
      </c>
      <c r="AH279" s="0" t="s">
        <v>1733</v>
      </c>
      <c r="AI279" s="0" t="s">
        <v>822</v>
      </c>
      <c r="AJ279" s="0" t="s">
        <v>49</v>
      </c>
      <c r="AK279" s="0" t="s">
        <v>49</v>
      </c>
      <c r="AL279" s="0" t="s">
        <v>49</v>
      </c>
    </row>
    <row r="280" customFormat="false" ht="15" hidden="false" customHeight="false" outlineLevel="0" collapsed="false">
      <c r="B280" s="0" t="str">
        <f aca="false">HYPERLINK("https://genome.ucsc.edu/cgi-bin/hgTracks?db=hg19&amp;position=chr21%3A14743754%2D14743754", "chr21:14743754")</f>
        <v>chr21:14743754</v>
      </c>
      <c r="C280" s="0" t="s">
        <v>1734</v>
      </c>
      <c r="D280" s="0" t="n">
        <v>14743754</v>
      </c>
      <c r="E280" s="0" t="n">
        <v>14743754</v>
      </c>
      <c r="F280" s="0" t="s">
        <v>39</v>
      </c>
      <c r="G280" s="0" t="s">
        <v>40</v>
      </c>
      <c r="H280" s="0" t="s">
        <v>1735</v>
      </c>
      <c r="I280" s="0" t="s">
        <v>1736</v>
      </c>
      <c r="J280" s="0" t="s">
        <v>1737</v>
      </c>
      <c r="K280" s="0" t="s">
        <v>49</v>
      </c>
      <c r="L280" s="0" t="str">
        <f aca="false">HYPERLINK("https://www.ncbi.nlm.nih.gov/snp/rs74734987", "rs74734987")</f>
        <v>rs74734987</v>
      </c>
      <c r="M280" s="0" t="s">
        <v>49</v>
      </c>
      <c r="N280" s="0" t="s">
        <v>1738</v>
      </c>
      <c r="O280" s="0" t="s">
        <v>49</v>
      </c>
      <c r="P280" s="0" t="s">
        <v>1739</v>
      </c>
      <c r="Q280" s="0" t="n">
        <v>7.307E-005</v>
      </c>
      <c r="R280" s="0" t="n">
        <v>9.188E-005</v>
      </c>
      <c r="S280" s="0" t="n">
        <v>7.467E-005</v>
      </c>
      <c r="T280" s="0" t="n">
        <v>-1</v>
      </c>
      <c r="U280" s="0" t="n">
        <v>0.0002</v>
      </c>
      <c r="V280" s="0" t="s">
        <v>49</v>
      </c>
      <c r="W280" s="0" t="s">
        <v>49</v>
      </c>
      <c r="X280" s="0" t="s">
        <v>517</v>
      </c>
      <c r="Y280" s="0" t="s">
        <v>390</v>
      </c>
      <c r="Z280" s="0" t="s">
        <v>49</v>
      </c>
      <c r="AA280" s="0" t="s">
        <v>49</v>
      </c>
      <c r="AB280" s="0" t="s">
        <v>49</v>
      </c>
      <c r="AC280" s="0" t="s">
        <v>53</v>
      </c>
      <c r="AD280" s="0" t="s">
        <v>725</v>
      </c>
      <c r="AE280" s="0" t="s">
        <v>49</v>
      </c>
      <c r="AF280" s="0" t="s">
        <v>49</v>
      </c>
      <c r="AG280" s="0" t="s">
        <v>49</v>
      </c>
      <c r="AH280" s="0" t="s">
        <v>49</v>
      </c>
      <c r="AI280" s="0" t="s">
        <v>49</v>
      </c>
      <c r="AJ280" s="0" t="s">
        <v>49</v>
      </c>
      <c r="AK280" s="0" t="s">
        <v>49</v>
      </c>
      <c r="AL280" s="0" t="s">
        <v>49</v>
      </c>
    </row>
    <row r="281" customFormat="false" ht="15" hidden="false" customHeight="false" outlineLevel="0" collapsed="false">
      <c r="B281" s="0" t="str">
        <f aca="false">HYPERLINK("https://genome.ucsc.edu/cgi-bin/hgTracks?db=hg19&amp;position=chr21%3A14743800%2D14743800", "chr21:14743800")</f>
        <v>chr21:14743800</v>
      </c>
      <c r="C281" s="0" t="s">
        <v>1734</v>
      </c>
      <c r="D281" s="0" t="n">
        <v>14743800</v>
      </c>
      <c r="E281" s="0" t="n">
        <v>14743800</v>
      </c>
      <c r="F281" s="0" t="s">
        <v>61</v>
      </c>
      <c r="G281" s="0" t="s">
        <v>40</v>
      </c>
      <c r="H281" s="0" t="s">
        <v>1740</v>
      </c>
      <c r="I281" s="0" t="s">
        <v>1741</v>
      </c>
      <c r="J281" s="0" t="s">
        <v>1742</v>
      </c>
      <c r="K281" s="0" t="s">
        <v>49</v>
      </c>
      <c r="L281" s="0" t="str">
        <f aca="false">HYPERLINK("https://www.ncbi.nlm.nih.gov/snp/rs796634144", "rs796634144")</f>
        <v>rs796634144</v>
      </c>
      <c r="M281" s="0" t="s">
        <v>49</v>
      </c>
      <c r="N281" s="0" t="s">
        <v>1743</v>
      </c>
      <c r="O281" s="0" t="s">
        <v>49</v>
      </c>
      <c r="P281" s="0" t="s">
        <v>1744</v>
      </c>
      <c r="Q281" s="0" t="n">
        <v>0.0001</v>
      </c>
      <c r="R281" s="0" t="n">
        <v>0.0001</v>
      </c>
      <c r="S281" s="0" t="n">
        <v>-1</v>
      </c>
      <c r="T281" s="0" t="n">
        <v>-1</v>
      </c>
      <c r="U281" s="0" t="n">
        <v>-1</v>
      </c>
      <c r="V281" s="0" t="s">
        <v>49</v>
      </c>
      <c r="W281" s="0" t="s">
        <v>49</v>
      </c>
      <c r="X281" s="0" t="s">
        <v>517</v>
      </c>
      <c r="Y281" s="0" t="s">
        <v>219</v>
      </c>
      <c r="Z281" s="0" t="s">
        <v>49</v>
      </c>
      <c r="AA281" s="0" t="s">
        <v>49</v>
      </c>
      <c r="AB281" s="0" t="s">
        <v>49</v>
      </c>
      <c r="AC281" s="0" t="s">
        <v>53</v>
      </c>
      <c r="AD281" s="0" t="s">
        <v>725</v>
      </c>
      <c r="AE281" s="0" t="s">
        <v>49</v>
      </c>
      <c r="AF281" s="0" t="s">
        <v>49</v>
      </c>
      <c r="AG281" s="0" t="s">
        <v>49</v>
      </c>
      <c r="AH281" s="0" t="s">
        <v>49</v>
      </c>
      <c r="AI281" s="0" t="s">
        <v>822</v>
      </c>
      <c r="AJ281" s="0" t="s">
        <v>49</v>
      </c>
      <c r="AK281" s="0" t="s">
        <v>49</v>
      </c>
      <c r="AL281" s="0" t="s">
        <v>49</v>
      </c>
    </row>
    <row r="282" customFormat="false" ht="15" hidden="false" customHeight="false" outlineLevel="0" collapsed="false">
      <c r="B282" s="0" t="str">
        <f aca="false">HYPERLINK("https://genome.ucsc.edu/cgi-bin/hgTracks?db=hg19&amp;position=chr21%3A37417782%2D37417783", "chr21:37417782")</f>
        <v>chr21:37417782</v>
      </c>
      <c r="C282" s="0" t="s">
        <v>1734</v>
      </c>
      <c r="D282" s="0" t="n">
        <v>37417782</v>
      </c>
      <c r="E282" s="0" t="n">
        <v>37417783</v>
      </c>
      <c r="F282" s="0" t="s">
        <v>1641</v>
      </c>
      <c r="G282" s="0" t="s">
        <v>190</v>
      </c>
      <c r="H282" s="0" t="s">
        <v>1745</v>
      </c>
      <c r="I282" s="0" t="s">
        <v>238</v>
      </c>
      <c r="J282" s="0" t="s">
        <v>1746</v>
      </c>
      <c r="K282" s="0" t="s">
        <v>49</v>
      </c>
      <c r="L282" s="0" t="str">
        <f aca="false">HYPERLINK("https://www.ncbi.nlm.nih.gov/snp/rs774597105", "rs774597105")</f>
        <v>rs774597105</v>
      </c>
      <c r="M282" s="0" t="str">
        <f aca="false">HYPERLINK("https://www.genecards.org/Search/Keyword?queryString=%5Baliases%5D(%20SETD4%20)&amp;keywords=SETD4", "SETD4")</f>
        <v>SETD4</v>
      </c>
      <c r="N282" s="0" t="s">
        <v>549</v>
      </c>
      <c r="O282" s="0" t="s">
        <v>539</v>
      </c>
      <c r="P282" s="0" t="s">
        <v>1747</v>
      </c>
      <c r="Q282" s="0" t="n">
        <v>0.0172</v>
      </c>
      <c r="R282" s="0" t="n">
        <v>0.0009</v>
      </c>
      <c r="S282" s="0" t="n">
        <v>0.0008</v>
      </c>
      <c r="T282" s="0" t="n">
        <v>-1</v>
      </c>
      <c r="U282" s="0" t="n">
        <v>0.0004</v>
      </c>
      <c r="V282" s="0" t="s">
        <v>49</v>
      </c>
      <c r="W282" s="0" t="s">
        <v>49</v>
      </c>
      <c r="X282" s="0" t="s">
        <v>49</v>
      </c>
      <c r="Y282" s="0" t="s">
        <v>49</v>
      </c>
      <c r="Z282" s="0" t="s">
        <v>49</v>
      </c>
      <c r="AA282" s="0" t="s">
        <v>49</v>
      </c>
      <c r="AB282" s="0" t="s">
        <v>49</v>
      </c>
      <c r="AC282" s="0" t="s">
        <v>53</v>
      </c>
      <c r="AD282" s="0" t="s">
        <v>54</v>
      </c>
      <c r="AE282" s="0" t="s">
        <v>1748</v>
      </c>
      <c r="AF282" s="0" t="s">
        <v>1749</v>
      </c>
      <c r="AG282" s="0" t="s">
        <v>49</v>
      </c>
      <c r="AH282" s="0" t="s">
        <v>49</v>
      </c>
      <c r="AI282" s="0" t="s">
        <v>49</v>
      </c>
      <c r="AJ282" s="0" t="s">
        <v>49</v>
      </c>
      <c r="AK282" s="0" t="s">
        <v>49</v>
      </c>
      <c r="AL282" s="0" t="s">
        <v>49</v>
      </c>
    </row>
    <row r="283" customFormat="false" ht="15" hidden="false" customHeight="false" outlineLevel="0" collapsed="false">
      <c r="B283" s="0" t="str">
        <f aca="false">HYPERLINK("https://genome.ucsc.edu/cgi-bin/hgTracks?db=hg19&amp;position=chr21%3A37716872%2D37716872", "chr21:37716872")</f>
        <v>chr21:37716872</v>
      </c>
      <c r="C283" s="0" t="s">
        <v>1734</v>
      </c>
      <c r="D283" s="0" t="n">
        <v>37716872</v>
      </c>
      <c r="E283" s="0" t="n">
        <v>37716872</v>
      </c>
      <c r="F283" s="0" t="s">
        <v>40</v>
      </c>
      <c r="G283" s="0" t="s">
        <v>60</v>
      </c>
      <c r="H283" s="0" t="s">
        <v>1750</v>
      </c>
      <c r="I283" s="0" t="s">
        <v>1751</v>
      </c>
      <c r="J283" s="0" t="s">
        <v>1752</v>
      </c>
      <c r="K283" s="0" t="s">
        <v>49</v>
      </c>
      <c r="L283" s="0" t="str">
        <f aca="false">HYPERLINK("https://www.ncbi.nlm.nih.gov/snp/rs117131605", "rs117131605")</f>
        <v>rs117131605</v>
      </c>
      <c r="M283" s="0" t="str">
        <f aca="false">HYPERLINK("https://www.genecards.org/Search/Keyword?queryString=%5Baliases%5D(%20MORC3%20)&amp;keywords=MORC3", "MORC3")</f>
        <v>MORC3</v>
      </c>
      <c r="N283" s="0" t="s">
        <v>510</v>
      </c>
      <c r="O283" s="0" t="s">
        <v>49</v>
      </c>
      <c r="P283" s="0" t="s">
        <v>49</v>
      </c>
      <c r="Q283" s="0" t="n">
        <v>0.0284</v>
      </c>
      <c r="R283" s="0" t="n">
        <v>0.0299</v>
      </c>
      <c r="S283" s="0" t="n">
        <v>0.0281</v>
      </c>
      <c r="T283" s="0" t="n">
        <v>-1</v>
      </c>
      <c r="U283" s="0" t="n">
        <v>0.0301</v>
      </c>
      <c r="V283" s="0" t="s">
        <v>49</v>
      </c>
      <c r="W283" s="0" t="s">
        <v>40</v>
      </c>
      <c r="X283" s="0" t="s">
        <v>517</v>
      </c>
      <c r="Y283" s="0" t="s">
        <v>390</v>
      </c>
      <c r="Z283" s="0" t="s">
        <v>49</v>
      </c>
      <c r="AA283" s="0" t="s">
        <v>49</v>
      </c>
      <c r="AB283" s="0" t="s">
        <v>49</v>
      </c>
      <c r="AC283" s="0" t="s">
        <v>53</v>
      </c>
      <c r="AD283" s="0" t="s">
        <v>54</v>
      </c>
      <c r="AE283" s="0" t="s">
        <v>1753</v>
      </c>
      <c r="AF283" s="0" t="s">
        <v>1754</v>
      </c>
      <c r="AG283" s="0" t="s">
        <v>1755</v>
      </c>
      <c r="AH283" s="0" t="s">
        <v>49</v>
      </c>
      <c r="AI283" s="0" t="s">
        <v>49</v>
      </c>
      <c r="AJ283" s="0" t="s">
        <v>49</v>
      </c>
      <c r="AK283" s="0" t="s">
        <v>49</v>
      </c>
      <c r="AL283" s="0" t="s">
        <v>49</v>
      </c>
    </row>
    <row r="284" customFormat="false" ht="15" hidden="false" customHeight="false" outlineLevel="0" collapsed="false">
      <c r="B284" s="0" t="str">
        <f aca="false">HYPERLINK("https://genome.ucsc.edu/cgi-bin/hgTracks?db=hg19&amp;position=chr21%3A46924435%2D46924443", "chr21:46924435")</f>
        <v>chr21:46924435</v>
      </c>
      <c r="C284" s="0" t="s">
        <v>1734</v>
      </c>
      <c r="D284" s="0" t="n">
        <v>46924435</v>
      </c>
      <c r="E284" s="0" t="n">
        <v>46924443</v>
      </c>
      <c r="F284" s="0" t="s">
        <v>1756</v>
      </c>
      <c r="G284" s="0" t="s">
        <v>190</v>
      </c>
      <c r="H284" s="0" t="s">
        <v>1757</v>
      </c>
      <c r="I284" s="0" t="s">
        <v>623</v>
      </c>
      <c r="J284" s="0" t="s">
        <v>1758</v>
      </c>
      <c r="K284" s="0" t="s">
        <v>49</v>
      </c>
      <c r="L284" s="0" t="s">
        <v>49</v>
      </c>
      <c r="M284" s="0" t="str">
        <f aca="false">HYPERLINK("https://www.genecards.org/Search/Keyword?queryString=%5Baliases%5D(%20COL18A1%20)&amp;keywords=COL18A1", "COL18A1")</f>
        <v>COL18A1</v>
      </c>
      <c r="N284" s="0" t="s">
        <v>45</v>
      </c>
      <c r="O284" s="0" t="s">
        <v>1759</v>
      </c>
      <c r="P284" s="0" t="s">
        <v>1760</v>
      </c>
      <c r="Q284" s="0" t="n">
        <v>-1</v>
      </c>
      <c r="R284" s="0" t="n">
        <v>-1</v>
      </c>
      <c r="S284" s="0" t="n">
        <v>-1</v>
      </c>
      <c r="T284" s="0" t="n">
        <v>-1</v>
      </c>
      <c r="U284" s="0" t="n">
        <v>-1</v>
      </c>
      <c r="V284" s="0" t="s">
        <v>49</v>
      </c>
      <c r="W284" s="0" t="s">
        <v>49</v>
      </c>
      <c r="X284" s="0" t="s">
        <v>49</v>
      </c>
      <c r="Y284" s="0" t="s">
        <v>49</v>
      </c>
      <c r="Z284" s="0" t="s">
        <v>49</v>
      </c>
      <c r="AA284" s="0" t="s">
        <v>49</v>
      </c>
      <c r="AB284" s="0" t="s">
        <v>49</v>
      </c>
      <c r="AC284" s="0" t="s">
        <v>231</v>
      </c>
      <c r="AD284" s="0" t="s">
        <v>54</v>
      </c>
      <c r="AE284" s="0" t="s">
        <v>1761</v>
      </c>
      <c r="AF284" s="0" t="s">
        <v>1762</v>
      </c>
      <c r="AG284" s="0" t="s">
        <v>1763</v>
      </c>
      <c r="AH284" s="0" t="s">
        <v>1764</v>
      </c>
      <c r="AI284" s="0" t="s">
        <v>49</v>
      </c>
      <c r="AJ284" s="0" t="s">
        <v>49</v>
      </c>
      <c r="AK284" s="0" t="s">
        <v>49</v>
      </c>
      <c r="AL284" s="0" t="s">
        <v>49</v>
      </c>
    </row>
    <row r="285" customFormat="false" ht="15" hidden="false" customHeight="false" outlineLevel="0" collapsed="false">
      <c r="B285" s="0" t="str">
        <f aca="false">HYPERLINK("https://genome.ucsc.edu/cgi-bin/hgTracks?db=hg19&amp;position=chr22%3A25023993%2D25023993", "chr22:25023993")</f>
        <v>chr22:25023993</v>
      </c>
      <c r="C285" s="0" t="s">
        <v>225</v>
      </c>
      <c r="D285" s="0" t="n">
        <v>25023993</v>
      </c>
      <c r="E285" s="0" t="n">
        <v>25023993</v>
      </c>
      <c r="F285" s="0" t="s">
        <v>60</v>
      </c>
      <c r="G285" s="0" t="s">
        <v>61</v>
      </c>
      <c r="H285" s="0" t="s">
        <v>1765</v>
      </c>
      <c r="I285" s="0" t="s">
        <v>771</v>
      </c>
      <c r="J285" s="0" t="s">
        <v>1766</v>
      </c>
      <c r="K285" s="0" t="s">
        <v>49</v>
      </c>
      <c r="L285" s="0" t="str">
        <f aca="false">HYPERLINK("https://www.ncbi.nlm.nih.gov/snp/rs369136147", "rs369136147")</f>
        <v>rs369136147</v>
      </c>
      <c r="M285" s="0" t="str">
        <f aca="false">HYPERLINK("https://www.genecards.org/Search/Keyword?queryString=%5Baliases%5D(%20GGT1%20)&amp;keywords=GGT1", "GGT1")</f>
        <v>GGT1</v>
      </c>
      <c r="N285" s="0" t="s">
        <v>510</v>
      </c>
      <c r="O285" s="0" t="s">
        <v>49</v>
      </c>
      <c r="P285" s="0" t="s">
        <v>49</v>
      </c>
      <c r="Q285" s="0" t="n">
        <v>0.0008</v>
      </c>
      <c r="R285" s="0" t="n">
        <v>0.0004</v>
      </c>
      <c r="S285" s="0" t="n">
        <v>0.0006</v>
      </c>
      <c r="T285" s="0" t="n">
        <v>-1</v>
      </c>
      <c r="U285" s="0" t="n">
        <v>0.0008</v>
      </c>
      <c r="V285" s="0" t="s">
        <v>49</v>
      </c>
      <c r="W285" s="0" t="s">
        <v>49</v>
      </c>
      <c r="X285" s="0" t="s">
        <v>333</v>
      </c>
      <c r="Y285" s="0" t="s">
        <v>219</v>
      </c>
      <c r="Z285" s="0" t="s">
        <v>49</v>
      </c>
      <c r="AA285" s="0" t="s">
        <v>49</v>
      </c>
      <c r="AB285" s="0" t="s">
        <v>49</v>
      </c>
      <c r="AC285" s="0" t="s">
        <v>53</v>
      </c>
      <c r="AD285" s="0" t="s">
        <v>725</v>
      </c>
      <c r="AE285" s="0" t="s">
        <v>1767</v>
      </c>
      <c r="AF285" s="0" t="s">
        <v>1768</v>
      </c>
      <c r="AG285" s="0" t="s">
        <v>1769</v>
      </c>
      <c r="AH285" s="0" t="s">
        <v>1770</v>
      </c>
      <c r="AI285" s="0" t="s">
        <v>49</v>
      </c>
      <c r="AJ285" s="0" t="s">
        <v>49</v>
      </c>
      <c r="AK285" s="0" t="s">
        <v>49</v>
      </c>
      <c r="AL285" s="0" t="s">
        <v>132</v>
      </c>
    </row>
    <row r="286" customFormat="false" ht="15" hidden="false" customHeight="false" outlineLevel="0" collapsed="false">
      <c r="B286" s="0" t="str">
        <f aca="false">HYPERLINK("https://genome.ucsc.edu/cgi-bin/hgTracks?db=hg19&amp;position=chr22%3A25024040%2D25024040", "chr22:25024040")</f>
        <v>chr22:25024040</v>
      </c>
      <c r="C286" s="0" t="s">
        <v>225</v>
      </c>
      <c r="D286" s="0" t="n">
        <v>25024040</v>
      </c>
      <c r="E286" s="0" t="n">
        <v>25024040</v>
      </c>
      <c r="F286" s="0" t="s">
        <v>60</v>
      </c>
      <c r="G286" s="0" t="s">
        <v>61</v>
      </c>
      <c r="H286" s="0" t="s">
        <v>1771</v>
      </c>
      <c r="I286" s="0" t="s">
        <v>1772</v>
      </c>
      <c r="J286" s="0" t="s">
        <v>1773</v>
      </c>
      <c r="K286" s="0" t="s">
        <v>49</v>
      </c>
      <c r="L286" s="0" t="str">
        <f aca="false">HYPERLINK("https://www.ncbi.nlm.nih.gov/snp/rs74279113", "rs74279113")</f>
        <v>rs74279113</v>
      </c>
      <c r="M286" s="0" t="str">
        <f aca="false">HYPERLINK("https://www.genecards.org/Search/Keyword?queryString=%5Baliases%5D(%20GGT1%20)&amp;keywords=GGT1", "GGT1")</f>
        <v>GGT1</v>
      </c>
      <c r="N286" s="0" t="s">
        <v>510</v>
      </c>
      <c r="O286" s="0" t="s">
        <v>49</v>
      </c>
      <c r="P286" s="0" t="s">
        <v>49</v>
      </c>
      <c r="Q286" s="0" t="n">
        <v>0.0101163</v>
      </c>
      <c r="R286" s="0" t="n">
        <v>-1</v>
      </c>
      <c r="S286" s="0" t="n">
        <v>-1</v>
      </c>
      <c r="T286" s="0" t="n">
        <v>-1</v>
      </c>
      <c r="U286" s="0" t="n">
        <v>-1</v>
      </c>
      <c r="V286" s="0" t="s">
        <v>49</v>
      </c>
      <c r="W286" s="0" t="s">
        <v>333</v>
      </c>
      <c r="X286" s="0" t="s">
        <v>517</v>
      </c>
      <c r="Y286" s="0" t="s">
        <v>390</v>
      </c>
      <c r="Z286" s="0" t="s">
        <v>49</v>
      </c>
      <c r="AA286" s="0" t="s">
        <v>49</v>
      </c>
      <c r="AB286" s="0" t="s">
        <v>49</v>
      </c>
      <c r="AC286" s="0" t="s">
        <v>53</v>
      </c>
      <c r="AD286" s="0" t="s">
        <v>725</v>
      </c>
      <c r="AE286" s="0" t="s">
        <v>1767</v>
      </c>
      <c r="AF286" s="0" t="s">
        <v>1768</v>
      </c>
      <c r="AG286" s="0" t="s">
        <v>1769</v>
      </c>
      <c r="AH286" s="0" t="s">
        <v>1770</v>
      </c>
      <c r="AI286" s="0" t="s">
        <v>822</v>
      </c>
      <c r="AJ286" s="0" t="s">
        <v>49</v>
      </c>
      <c r="AK286" s="0" t="s">
        <v>49</v>
      </c>
      <c r="AL286" s="0" t="s">
        <v>132</v>
      </c>
    </row>
    <row r="287" customFormat="false" ht="15" hidden="false" customHeight="false" outlineLevel="0" collapsed="false">
      <c r="B287" s="0" t="str">
        <f aca="false">HYPERLINK("https://genome.ucsc.edu/cgi-bin/hgTracks?db=hg19&amp;position=chr22%3A25024363%2D25024363", "chr22:25024363")</f>
        <v>chr22:25024363</v>
      </c>
      <c r="C287" s="0" t="s">
        <v>225</v>
      </c>
      <c r="D287" s="0" t="n">
        <v>25024363</v>
      </c>
      <c r="E287" s="0" t="n">
        <v>25024363</v>
      </c>
      <c r="F287" s="0" t="s">
        <v>60</v>
      </c>
      <c r="G287" s="0" t="s">
        <v>61</v>
      </c>
      <c r="H287" s="0" t="s">
        <v>1774</v>
      </c>
      <c r="I287" s="0" t="s">
        <v>1736</v>
      </c>
      <c r="J287" s="0" t="s">
        <v>1775</v>
      </c>
      <c r="K287" s="0" t="s">
        <v>49</v>
      </c>
      <c r="L287" s="0" t="str">
        <f aca="false">HYPERLINK("https://www.ncbi.nlm.nih.gov/snp/rs756886269", "rs756886269")</f>
        <v>rs756886269</v>
      </c>
      <c r="M287" s="0" t="str">
        <f aca="false">HYPERLINK("https://www.genecards.org/Search/Keyword?queryString=%5Baliases%5D(%20GGT1%20)&amp;keywords=GGT1", "GGT1")</f>
        <v>GGT1</v>
      </c>
      <c r="N287" s="0" t="s">
        <v>510</v>
      </c>
      <c r="O287" s="0" t="s">
        <v>49</v>
      </c>
      <c r="P287" s="0" t="s">
        <v>49</v>
      </c>
      <c r="Q287" s="0" t="n">
        <v>6.49E-005</v>
      </c>
      <c r="R287" s="0" t="n">
        <v>9.037E-005</v>
      </c>
      <c r="S287" s="0" t="n">
        <v>7.354E-005</v>
      </c>
      <c r="T287" s="0" t="n">
        <v>-1</v>
      </c>
      <c r="U287" s="0" t="n">
        <v>-1</v>
      </c>
      <c r="V287" s="0" t="s">
        <v>49</v>
      </c>
      <c r="W287" s="0" t="s">
        <v>40</v>
      </c>
      <c r="X287" s="0" t="s">
        <v>333</v>
      </c>
      <c r="Y287" s="0" t="s">
        <v>219</v>
      </c>
      <c r="Z287" s="0" t="s">
        <v>49</v>
      </c>
      <c r="AA287" s="0" t="s">
        <v>49</v>
      </c>
      <c r="AB287" s="0" t="s">
        <v>49</v>
      </c>
      <c r="AC287" s="0" t="s">
        <v>53</v>
      </c>
      <c r="AD287" s="0" t="s">
        <v>725</v>
      </c>
      <c r="AE287" s="0" t="s">
        <v>1767</v>
      </c>
      <c r="AF287" s="0" t="s">
        <v>1768</v>
      </c>
      <c r="AG287" s="0" t="s">
        <v>1769</v>
      </c>
      <c r="AH287" s="0" t="s">
        <v>1770</v>
      </c>
      <c r="AI287" s="0" t="s">
        <v>49</v>
      </c>
      <c r="AJ287" s="0" t="s">
        <v>49</v>
      </c>
      <c r="AK287" s="0" t="s">
        <v>49</v>
      </c>
      <c r="AL287" s="0" t="s">
        <v>132</v>
      </c>
    </row>
    <row r="288" customFormat="false" ht="15" hidden="false" customHeight="false" outlineLevel="0" collapsed="false">
      <c r="B288" s="0" t="str">
        <f aca="false">HYPERLINK("https://genome.ucsc.edu/cgi-bin/hgTracks?db=hg19&amp;position=chr22%3A25753118%2D25753118", "chr22:25753118")</f>
        <v>chr22:25753118</v>
      </c>
      <c r="C288" s="0" t="s">
        <v>225</v>
      </c>
      <c r="D288" s="0" t="n">
        <v>25753118</v>
      </c>
      <c r="E288" s="0" t="n">
        <v>25753118</v>
      </c>
      <c r="F288" s="0" t="s">
        <v>60</v>
      </c>
      <c r="G288" s="0" t="s">
        <v>39</v>
      </c>
      <c r="H288" s="0" t="s">
        <v>1776</v>
      </c>
      <c r="I288" s="0" t="s">
        <v>958</v>
      </c>
      <c r="J288" s="0" t="s">
        <v>1777</v>
      </c>
      <c r="K288" s="0" t="s">
        <v>49</v>
      </c>
      <c r="L288" s="0" t="s">
        <v>49</v>
      </c>
      <c r="M288" s="0" t="str">
        <f aca="false">HYPERLINK("https://www.genecards.org/Search/Keyword?queryString=%5Baliases%5D(%20LRP5L%20)&amp;keywords=LRP5L", "LRP5L")</f>
        <v>LRP5L</v>
      </c>
      <c r="N288" s="0" t="s">
        <v>510</v>
      </c>
      <c r="O288" s="0" t="s">
        <v>49</v>
      </c>
      <c r="P288" s="0" t="s">
        <v>49</v>
      </c>
      <c r="Q288" s="0" t="n">
        <v>-1</v>
      </c>
      <c r="R288" s="0" t="n">
        <v>-1</v>
      </c>
      <c r="S288" s="0" t="n">
        <v>-1</v>
      </c>
      <c r="T288" s="0" t="n">
        <v>-1</v>
      </c>
      <c r="U288" s="0" t="n">
        <v>-1</v>
      </c>
      <c r="V288" s="0" t="s">
        <v>49</v>
      </c>
      <c r="W288" s="0" t="s">
        <v>49</v>
      </c>
      <c r="X288" s="0" t="s">
        <v>333</v>
      </c>
      <c r="Y288" s="0" t="s">
        <v>219</v>
      </c>
      <c r="Z288" s="0" t="s">
        <v>49</v>
      </c>
      <c r="AA288" s="0" t="s">
        <v>49</v>
      </c>
      <c r="AB288" s="0" t="s">
        <v>49</v>
      </c>
      <c r="AC288" s="0" t="s">
        <v>53</v>
      </c>
      <c r="AD288" s="0" t="s">
        <v>54</v>
      </c>
      <c r="AE288" s="0" t="s">
        <v>1778</v>
      </c>
      <c r="AF288" s="0" t="s">
        <v>1779</v>
      </c>
      <c r="AG288" s="0" t="s">
        <v>49</v>
      </c>
      <c r="AH288" s="0" t="s">
        <v>49</v>
      </c>
      <c r="AI288" s="0" t="s">
        <v>49</v>
      </c>
      <c r="AJ288" s="0" t="s">
        <v>49</v>
      </c>
      <c r="AK288" s="0" t="s">
        <v>49</v>
      </c>
      <c r="AL288" s="0" t="s">
        <v>49</v>
      </c>
    </row>
    <row r="289" customFormat="false" ht="15" hidden="false" customHeight="false" outlineLevel="0" collapsed="false">
      <c r="B289" s="0" t="str">
        <f aca="false">HYPERLINK("https://genome.ucsc.edu/cgi-bin/hgTracks?db=hg19&amp;position=chr22%3A31952810%2D31952810", "chr22:31952810")</f>
        <v>chr22:31952810</v>
      </c>
      <c r="C289" s="0" t="s">
        <v>225</v>
      </c>
      <c r="D289" s="0" t="n">
        <v>31952810</v>
      </c>
      <c r="E289" s="0" t="n">
        <v>31952810</v>
      </c>
      <c r="F289" s="0" t="s">
        <v>60</v>
      </c>
      <c r="G289" s="0" t="s">
        <v>61</v>
      </c>
      <c r="H289" s="0" t="s">
        <v>1780</v>
      </c>
      <c r="I289" s="0" t="s">
        <v>1232</v>
      </c>
      <c r="J289" s="0" t="s">
        <v>1781</v>
      </c>
      <c r="K289" s="0" t="s">
        <v>49</v>
      </c>
      <c r="L289" s="0" t="str">
        <f aca="false">HYPERLINK("https://www.ncbi.nlm.nih.gov/snp/rs137886940", "rs137886940")</f>
        <v>rs137886940</v>
      </c>
      <c r="M289" s="0" t="str">
        <f aca="false">HYPERLINK("https://www.genecards.org/Search/Keyword?queryString=%5Baliases%5D(%20SFI1%20)&amp;keywords=SFI1", "SFI1")</f>
        <v>SFI1</v>
      </c>
      <c r="N289" s="0" t="s">
        <v>510</v>
      </c>
      <c r="O289" s="0" t="s">
        <v>49</v>
      </c>
      <c r="P289" s="0" t="s">
        <v>49</v>
      </c>
      <c r="Q289" s="0" t="n">
        <v>0.020525</v>
      </c>
      <c r="R289" s="0" t="n">
        <v>0.0123</v>
      </c>
      <c r="S289" s="0" t="n">
        <v>0.0144</v>
      </c>
      <c r="T289" s="0" t="n">
        <v>-1</v>
      </c>
      <c r="U289" s="0" t="n">
        <v>0.0163</v>
      </c>
      <c r="V289" s="0" t="s">
        <v>49</v>
      </c>
      <c r="W289" s="0" t="s">
        <v>49</v>
      </c>
      <c r="X289" s="0" t="s">
        <v>517</v>
      </c>
      <c r="Y289" s="0" t="s">
        <v>219</v>
      </c>
      <c r="Z289" s="0" t="s">
        <v>49</v>
      </c>
      <c r="AA289" s="0" t="s">
        <v>49</v>
      </c>
      <c r="AB289" s="0" t="s">
        <v>49</v>
      </c>
      <c r="AC289" s="0" t="s">
        <v>53</v>
      </c>
      <c r="AD289" s="0" t="s">
        <v>209</v>
      </c>
      <c r="AE289" s="0" t="s">
        <v>1782</v>
      </c>
      <c r="AF289" s="0" t="s">
        <v>1783</v>
      </c>
      <c r="AG289" s="0" t="s">
        <v>1784</v>
      </c>
      <c r="AH289" s="0" t="s">
        <v>49</v>
      </c>
      <c r="AI289" s="0" t="s">
        <v>49</v>
      </c>
      <c r="AJ289" s="0" t="s">
        <v>49</v>
      </c>
      <c r="AK289" s="0" t="s">
        <v>49</v>
      </c>
      <c r="AL289" s="0" t="s">
        <v>49</v>
      </c>
    </row>
    <row r="290" customFormat="false" ht="15" hidden="false" customHeight="false" outlineLevel="0" collapsed="false">
      <c r="B290" s="0" t="str">
        <f aca="false">HYPERLINK("https://genome.ucsc.edu/cgi-bin/hgTracks?db=hg19&amp;position=chr22%3A31971184%2D31971184", "chr22:31971184")</f>
        <v>chr22:31971184</v>
      </c>
      <c r="C290" s="0" t="s">
        <v>225</v>
      </c>
      <c r="D290" s="0" t="n">
        <v>31971184</v>
      </c>
      <c r="E290" s="0" t="n">
        <v>31971184</v>
      </c>
      <c r="F290" s="0" t="s">
        <v>60</v>
      </c>
      <c r="G290" s="0" t="s">
        <v>61</v>
      </c>
      <c r="H290" s="0" t="s">
        <v>1785</v>
      </c>
      <c r="I290" s="0" t="s">
        <v>214</v>
      </c>
      <c r="J290" s="0" t="s">
        <v>1786</v>
      </c>
      <c r="K290" s="0" t="s">
        <v>49</v>
      </c>
      <c r="L290" s="0" t="str">
        <f aca="false">HYPERLINK("https://www.ncbi.nlm.nih.gov/snp/rs139146917", "rs139146917")</f>
        <v>rs139146917</v>
      </c>
      <c r="M290" s="0" t="str">
        <f aca="false">HYPERLINK("https://www.genecards.org/Search/Keyword?queryString=%5Baliases%5D(%20SFI1%20)&amp;keywords=SFI1", "SFI1")</f>
        <v>SFI1</v>
      </c>
      <c r="N290" s="0" t="s">
        <v>510</v>
      </c>
      <c r="O290" s="0" t="s">
        <v>49</v>
      </c>
      <c r="P290" s="0" t="s">
        <v>49</v>
      </c>
      <c r="Q290" s="0" t="n">
        <v>0.020525</v>
      </c>
      <c r="R290" s="0" t="n">
        <v>0.0112</v>
      </c>
      <c r="S290" s="0" t="n">
        <v>0.0144</v>
      </c>
      <c r="T290" s="0" t="n">
        <v>-1</v>
      </c>
      <c r="U290" s="0" t="n">
        <v>0.0163</v>
      </c>
      <c r="V290" s="0" t="s">
        <v>49</v>
      </c>
      <c r="W290" s="0" t="s">
        <v>49</v>
      </c>
      <c r="X290" s="0" t="s">
        <v>517</v>
      </c>
      <c r="Y290" s="0" t="s">
        <v>219</v>
      </c>
      <c r="Z290" s="0" t="s">
        <v>49</v>
      </c>
      <c r="AA290" s="0" t="s">
        <v>49</v>
      </c>
      <c r="AB290" s="0" t="s">
        <v>49</v>
      </c>
      <c r="AC290" s="0" t="s">
        <v>53</v>
      </c>
      <c r="AD290" s="0" t="s">
        <v>209</v>
      </c>
      <c r="AE290" s="0" t="s">
        <v>1782</v>
      </c>
      <c r="AF290" s="0" t="s">
        <v>1783</v>
      </c>
      <c r="AG290" s="0" t="s">
        <v>1784</v>
      </c>
      <c r="AH290" s="0" t="s">
        <v>49</v>
      </c>
      <c r="AI290" s="0" t="s">
        <v>49</v>
      </c>
      <c r="AJ290" s="0" t="s">
        <v>49</v>
      </c>
      <c r="AK290" s="0" t="s">
        <v>49</v>
      </c>
      <c r="AL290" s="0" t="s">
        <v>49</v>
      </c>
    </row>
    <row r="291" customFormat="false" ht="15" hidden="false" customHeight="false" outlineLevel="0" collapsed="false">
      <c r="B291" s="0" t="str">
        <f aca="false">HYPERLINK("https://genome.ucsc.edu/cgi-bin/hgTracks?db=hg19&amp;position=chr22%3A32286999%2D32286999", "chr22:32286999")</f>
        <v>chr22:32286999</v>
      </c>
      <c r="C291" s="0" t="s">
        <v>225</v>
      </c>
      <c r="D291" s="0" t="n">
        <v>32286999</v>
      </c>
      <c r="E291" s="0" t="n">
        <v>32286999</v>
      </c>
      <c r="F291" s="0" t="s">
        <v>39</v>
      </c>
      <c r="G291" s="0" t="s">
        <v>40</v>
      </c>
      <c r="H291" s="0" t="s">
        <v>1787</v>
      </c>
      <c r="I291" s="0" t="s">
        <v>314</v>
      </c>
      <c r="J291" s="0" t="s">
        <v>667</v>
      </c>
      <c r="K291" s="0" t="s">
        <v>49</v>
      </c>
      <c r="L291" s="0" t="str">
        <f aca="false">HYPERLINK("https://www.ncbi.nlm.nih.gov/snp/rs74994511", "rs74994511")</f>
        <v>rs74994511</v>
      </c>
      <c r="M291" s="0" t="str">
        <f aca="false">HYPERLINK("https://www.genecards.org/Search/Keyword?queryString=%5Baliases%5D(%20DEPDC5%20)&amp;keywords=DEPDC5", "DEPDC5")</f>
        <v>DEPDC5</v>
      </c>
      <c r="N291" s="0" t="s">
        <v>283</v>
      </c>
      <c r="O291" s="0" t="s">
        <v>49</v>
      </c>
      <c r="P291" s="0" t="s">
        <v>49</v>
      </c>
      <c r="Q291" s="0" t="n">
        <v>0.0258</v>
      </c>
      <c r="R291" s="0" t="n">
        <v>0.0149</v>
      </c>
      <c r="S291" s="0" t="n">
        <v>0.0179</v>
      </c>
      <c r="T291" s="0" t="n">
        <v>-1</v>
      </c>
      <c r="U291" s="0" t="n">
        <v>0.0163</v>
      </c>
      <c r="V291" s="0" t="s">
        <v>49</v>
      </c>
      <c r="W291" s="0" t="s">
        <v>49</v>
      </c>
      <c r="X291" s="0" t="s">
        <v>49</v>
      </c>
      <c r="Y291" s="0" t="s">
        <v>49</v>
      </c>
      <c r="Z291" s="0" t="s">
        <v>49</v>
      </c>
      <c r="AA291" s="0" t="s">
        <v>49</v>
      </c>
      <c r="AB291" s="0" t="s">
        <v>49</v>
      </c>
      <c r="AC291" s="0" t="s">
        <v>53</v>
      </c>
      <c r="AD291" s="0" t="s">
        <v>54</v>
      </c>
      <c r="AE291" s="0" t="s">
        <v>1788</v>
      </c>
      <c r="AF291" s="0" t="s">
        <v>1789</v>
      </c>
      <c r="AG291" s="0" t="s">
        <v>1790</v>
      </c>
      <c r="AH291" s="0" t="s">
        <v>1791</v>
      </c>
      <c r="AI291" s="0" t="s">
        <v>49</v>
      </c>
      <c r="AJ291" s="0" t="s">
        <v>49</v>
      </c>
      <c r="AK291" s="0" t="s">
        <v>49</v>
      </c>
      <c r="AL291" s="0" t="s">
        <v>49</v>
      </c>
    </row>
    <row r="292" customFormat="false" ht="15" hidden="false" customHeight="false" outlineLevel="0" collapsed="false">
      <c r="B292" s="0" t="str">
        <f aca="false">HYPERLINK("https://genome.ucsc.edu/cgi-bin/hgTracks?db=hg19&amp;position=chr22%3A45577027%2D45577027", "chr22:45577027")</f>
        <v>chr22:45577027</v>
      </c>
      <c r="C292" s="0" t="s">
        <v>225</v>
      </c>
      <c r="D292" s="0" t="n">
        <v>45577027</v>
      </c>
      <c r="E292" s="0" t="n">
        <v>45577027</v>
      </c>
      <c r="F292" s="0" t="s">
        <v>39</v>
      </c>
      <c r="G292" s="0" t="s">
        <v>60</v>
      </c>
      <c r="H292" s="0" t="s">
        <v>1792</v>
      </c>
      <c r="I292" s="0" t="s">
        <v>289</v>
      </c>
      <c r="J292" s="0" t="s">
        <v>1793</v>
      </c>
      <c r="K292" s="0" t="s">
        <v>49</v>
      </c>
      <c r="L292" s="0" t="str">
        <f aca="false">HYPERLINK("https://www.ncbi.nlm.nih.gov/snp/rs969532104", "rs969532104")</f>
        <v>rs969532104</v>
      </c>
      <c r="M292" s="0" t="str">
        <f aca="false">HYPERLINK("https://www.genecards.org/Search/Keyword?queryString=%5Baliases%5D(%20LOC105373064%20)%20OR%20%5Baliases%5D(%20NUP50%20)&amp;keywords=LOC105373064,NUP50", "LOC105373064;NUP50")</f>
        <v>LOC105373064;NUP50</v>
      </c>
      <c r="N292" s="0" t="s">
        <v>283</v>
      </c>
      <c r="O292" s="0" t="s">
        <v>49</v>
      </c>
      <c r="P292" s="0" t="s">
        <v>49</v>
      </c>
      <c r="Q292" s="0" t="n">
        <v>0.0001</v>
      </c>
      <c r="R292" s="0" t="n">
        <v>0.0001</v>
      </c>
      <c r="S292" s="0" t="n">
        <v>-1</v>
      </c>
      <c r="T292" s="0" t="n">
        <v>-1</v>
      </c>
      <c r="U292" s="0" t="n">
        <v>-1</v>
      </c>
      <c r="V292" s="0" t="s">
        <v>49</v>
      </c>
      <c r="W292" s="0" t="s">
        <v>49</v>
      </c>
      <c r="X292" s="0" t="s">
        <v>333</v>
      </c>
      <c r="Y292" s="0" t="s">
        <v>219</v>
      </c>
      <c r="Z292" s="0" t="s">
        <v>49</v>
      </c>
      <c r="AA292" s="0" t="s">
        <v>49</v>
      </c>
      <c r="AB292" s="0" t="s">
        <v>49</v>
      </c>
      <c r="AC292" s="0" t="s">
        <v>503</v>
      </c>
      <c r="AD292" s="0" t="s">
        <v>220</v>
      </c>
      <c r="AE292" s="0" t="s">
        <v>1794</v>
      </c>
      <c r="AF292" s="0" t="s">
        <v>1795</v>
      </c>
      <c r="AG292" s="0" t="s">
        <v>1796</v>
      </c>
      <c r="AH292" s="0" t="s">
        <v>49</v>
      </c>
      <c r="AI292" s="0" t="s">
        <v>49</v>
      </c>
      <c r="AJ292" s="0" t="s">
        <v>49</v>
      </c>
      <c r="AK292" s="0" t="s">
        <v>49</v>
      </c>
      <c r="AL292" s="0" t="s">
        <v>49</v>
      </c>
    </row>
    <row r="293" customFormat="false" ht="15" hidden="false" customHeight="false" outlineLevel="0" collapsed="false">
      <c r="B293" s="0" t="str">
        <f aca="false">HYPERLINK("https://genome.ucsc.edu/cgi-bin/hgTracks?db=hg19&amp;position=chr3%3A16926562%2D16926562", "chr3:16926562")</f>
        <v>chr3:16926562</v>
      </c>
      <c r="C293" s="0" t="s">
        <v>255</v>
      </c>
      <c r="D293" s="0" t="n">
        <v>16926562</v>
      </c>
      <c r="E293" s="0" t="n">
        <v>16926562</v>
      </c>
      <c r="F293" s="0" t="s">
        <v>40</v>
      </c>
      <c r="G293" s="0" t="s">
        <v>709</v>
      </c>
      <c r="H293" s="0" t="s">
        <v>1797</v>
      </c>
      <c r="I293" s="0" t="s">
        <v>1028</v>
      </c>
      <c r="J293" s="0" t="s">
        <v>1798</v>
      </c>
      <c r="K293" s="0" t="s">
        <v>49</v>
      </c>
      <c r="L293" s="0" t="s">
        <v>49</v>
      </c>
      <c r="M293" s="0" t="str">
        <f aca="false">HYPERLINK("https://www.genecards.org/Search/Keyword?queryString=%5Baliases%5D(%20PLCL2%20)&amp;keywords=PLCL2", "PLCL2")</f>
        <v>PLCL2</v>
      </c>
      <c r="N293" s="0" t="s">
        <v>1799</v>
      </c>
      <c r="O293" s="0" t="s">
        <v>49</v>
      </c>
      <c r="P293" s="0" t="s">
        <v>1800</v>
      </c>
      <c r="Q293" s="0" t="n">
        <v>-1</v>
      </c>
      <c r="R293" s="0" t="n">
        <v>-1</v>
      </c>
      <c r="S293" s="0" t="n">
        <v>-1</v>
      </c>
      <c r="T293" s="0" t="n">
        <v>-1</v>
      </c>
      <c r="U293" s="0" t="n">
        <v>-1</v>
      </c>
      <c r="V293" s="0" t="s">
        <v>49</v>
      </c>
      <c r="W293" s="0" t="s">
        <v>49</v>
      </c>
      <c r="X293" s="0" t="s">
        <v>49</v>
      </c>
      <c r="Y293" s="0" t="s">
        <v>49</v>
      </c>
      <c r="Z293" s="0" t="s">
        <v>49</v>
      </c>
      <c r="AA293" s="0" t="s">
        <v>49</v>
      </c>
      <c r="AB293" s="0" t="s">
        <v>49</v>
      </c>
      <c r="AC293" s="0" t="s">
        <v>231</v>
      </c>
      <c r="AD293" s="0" t="s">
        <v>54</v>
      </c>
      <c r="AE293" s="0" t="s">
        <v>1801</v>
      </c>
      <c r="AF293" s="0" t="s">
        <v>1802</v>
      </c>
      <c r="AG293" s="0" t="s">
        <v>1803</v>
      </c>
      <c r="AH293" s="0" t="s">
        <v>49</v>
      </c>
      <c r="AI293" s="0" t="s">
        <v>49</v>
      </c>
      <c r="AJ293" s="0" t="s">
        <v>49</v>
      </c>
      <c r="AK293" s="0" t="s">
        <v>49</v>
      </c>
      <c r="AL293" s="0" t="s">
        <v>49</v>
      </c>
    </row>
    <row r="294" customFormat="false" ht="15" hidden="false" customHeight="false" outlineLevel="0" collapsed="false">
      <c r="B294" s="0" t="str">
        <f aca="false">HYPERLINK("https://genome.ucsc.edu/cgi-bin/hgTracks?db=hg19&amp;position=chr3%3A20156209%2D20156209", "chr3:20156209")</f>
        <v>chr3:20156209</v>
      </c>
      <c r="C294" s="0" t="s">
        <v>255</v>
      </c>
      <c r="D294" s="0" t="n">
        <v>20156209</v>
      </c>
      <c r="E294" s="0" t="n">
        <v>20156209</v>
      </c>
      <c r="F294" s="0" t="s">
        <v>61</v>
      </c>
      <c r="G294" s="0" t="s">
        <v>60</v>
      </c>
      <c r="H294" s="0" t="s">
        <v>1804</v>
      </c>
      <c r="I294" s="0" t="s">
        <v>606</v>
      </c>
      <c r="J294" s="0" t="s">
        <v>1805</v>
      </c>
      <c r="K294" s="0" t="s">
        <v>49</v>
      </c>
      <c r="L294" s="0" t="str">
        <f aca="false">HYPERLINK("https://www.ncbi.nlm.nih.gov/snp/rs950812645", "rs950812645")</f>
        <v>rs950812645</v>
      </c>
      <c r="M294" s="0" t="str">
        <f aca="false">HYPERLINK("https://www.genecards.org/Search/Keyword?queryString=%5Baliases%5D(%20KAT2B%20)&amp;keywords=KAT2B", "KAT2B")</f>
        <v>KAT2B</v>
      </c>
      <c r="N294" s="0" t="s">
        <v>510</v>
      </c>
      <c r="O294" s="0" t="s">
        <v>49</v>
      </c>
      <c r="P294" s="0" t="s">
        <v>49</v>
      </c>
      <c r="Q294" s="0" t="n">
        <v>-1</v>
      </c>
      <c r="R294" s="0" t="n">
        <v>-1</v>
      </c>
      <c r="S294" s="0" t="n">
        <v>-1</v>
      </c>
      <c r="T294" s="0" t="n">
        <v>-1</v>
      </c>
      <c r="U294" s="0" t="n">
        <v>-1</v>
      </c>
      <c r="V294" s="0" t="s">
        <v>49</v>
      </c>
      <c r="W294" s="0" t="s">
        <v>49</v>
      </c>
      <c r="X294" s="0" t="s">
        <v>333</v>
      </c>
      <c r="Y294" s="0" t="s">
        <v>219</v>
      </c>
      <c r="Z294" s="0" t="s">
        <v>49</v>
      </c>
      <c r="AA294" s="0" t="s">
        <v>49</v>
      </c>
      <c r="AB294" s="0" t="s">
        <v>49</v>
      </c>
      <c r="AC294" s="0" t="s">
        <v>53</v>
      </c>
      <c r="AD294" s="0" t="s">
        <v>54</v>
      </c>
      <c r="AE294" s="0" t="s">
        <v>1806</v>
      </c>
      <c r="AF294" s="0" t="s">
        <v>1807</v>
      </c>
      <c r="AG294" s="0" t="s">
        <v>1808</v>
      </c>
      <c r="AH294" s="0" t="s">
        <v>49</v>
      </c>
      <c r="AI294" s="0" t="s">
        <v>49</v>
      </c>
      <c r="AJ294" s="0" t="s">
        <v>49</v>
      </c>
      <c r="AK294" s="0" t="s">
        <v>49</v>
      </c>
      <c r="AL294" s="0" t="s">
        <v>49</v>
      </c>
    </row>
    <row r="295" customFormat="false" ht="15" hidden="false" customHeight="false" outlineLevel="0" collapsed="false">
      <c r="B295" s="0" t="str">
        <f aca="false">HYPERLINK("https://genome.ucsc.edu/cgi-bin/hgTracks?db=hg19&amp;position=chr3%3A43744231%2D43744231", "chr3:43744231")</f>
        <v>chr3:43744231</v>
      </c>
      <c r="C295" s="0" t="s">
        <v>255</v>
      </c>
      <c r="D295" s="0" t="n">
        <v>43744231</v>
      </c>
      <c r="E295" s="0" t="n">
        <v>43744231</v>
      </c>
      <c r="F295" s="0" t="s">
        <v>61</v>
      </c>
      <c r="G295" s="0" t="s">
        <v>60</v>
      </c>
      <c r="H295" s="0" t="s">
        <v>1809</v>
      </c>
      <c r="I295" s="0" t="s">
        <v>673</v>
      </c>
      <c r="J295" s="0" t="s">
        <v>1810</v>
      </c>
      <c r="K295" s="0" t="s">
        <v>49</v>
      </c>
      <c r="L295" s="0" t="str">
        <f aca="false">HYPERLINK("https://www.ncbi.nlm.nih.gov/snp/rs185835481", "rs185835481")</f>
        <v>rs185835481</v>
      </c>
      <c r="M295" s="0" t="str">
        <f aca="false">HYPERLINK("https://www.genecards.org/Search/Keyword?queryString=%5Baliases%5D(%20ABHD5%20)&amp;keywords=ABHD5", "ABHD5")</f>
        <v>ABHD5</v>
      </c>
      <c r="N295" s="0" t="s">
        <v>510</v>
      </c>
      <c r="O295" s="0" t="s">
        <v>49</v>
      </c>
      <c r="P295" s="0" t="s">
        <v>49</v>
      </c>
      <c r="Q295" s="0" t="n">
        <v>0.008</v>
      </c>
      <c r="R295" s="0" t="n">
        <v>0.0082</v>
      </c>
      <c r="S295" s="0" t="n">
        <v>0.0081</v>
      </c>
      <c r="T295" s="0" t="n">
        <v>-1</v>
      </c>
      <c r="U295" s="0" t="n">
        <v>0.0072</v>
      </c>
      <c r="V295" s="0" t="s">
        <v>49</v>
      </c>
      <c r="W295" s="0" t="s">
        <v>49</v>
      </c>
      <c r="X295" s="0" t="s">
        <v>333</v>
      </c>
      <c r="Y295" s="0" t="s">
        <v>219</v>
      </c>
      <c r="Z295" s="0" t="s">
        <v>49</v>
      </c>
      <c r="AA295" s="0" t="s">
        <v>49</v>
      </c>
      <c r="AB295" s="0" t="s">
        <v>49</v>
      </c>
      <c r="AC295" s="0" t="s">
        <v>53</v>
      </c>
      <c r="AD295" s="0" t="s">
        <v>54</v>
      </c>
      <c r="AE295" s="0" t="s">
        <v>1811</v>
      </c>
      <c r="AF295" s="0" t="s">
        <v>1812</v>
      </c>
      <c r="AG295" s="0" t="s">
        <v>1813</v>
      </c>
      <c r="AH295" s="0" t="s">
        <v>1814</v>
      </c>
      <c r="AI295" s="0" t="s">
        <v>49</v>
      </c>
      <c r="AJ295" s="0" t="s">
        <v>49</v>
      </c>
      <c r="AK295" s="0" t="s">
        <v>49</v>
      </c>
      <c r="AL295" s="0" t="s">
        <v>49</v>
      </c>
    </row>
    <row r="296" customFormat="false" ht="15" hidden="false" customHeight="false" outlineLevel="0" collapsed="false">
      <c r="B296" s="0" t="str">
        <f aca="false">HYPERLINK("https://genome.ucsc.edu/cgi-bin/hgTracks?db=hg19&amp;position=chr3%3A45031156%2D45031156", "chr3:45031156")</f>
        <v>chr3:45031156</v>
      </c>
      <c r="C296" s="0" t="s">
        <v>255</v>
      </c>
      <c r="D296" s="0" t="n">
        <v>45031156</v>
      </c>
      <c r="E296" s="0" t="n">
        <v>45031156</v>
      </c>
      <c r="F296" s="0" t="s">
        <v>61</v>
      </c>
      <c r="G296" s="0" t="s">
        <v>60</v>
      </c>
      <c r="H296" s="0" t="s">
        <v>1815</v>
      </c>
      <c r="I296" s="0" t="s">
        <v>629</v>
      </c>
      <c r="J296" s="0" t="s">
        <v>1816</v>
      </c>
      <c r="K296" s="0" t="s">
        <v>49</v>
      </c>
      <c r="L296" s="0" t="str">
        <f aca="false">HYPERLINK("https://www.ncbi.nlm.nih.gov/snp/rs191178618", "rs191178618")</f>
        <v>rs191178618</v>
      </c>
      <c r="M296" s="0" t="str">
        <f aca="false">HYPERLINK("https://www.genecards.org/Search/Keyword?queryString=%5Baliases%5D(%20EXOSC7%20)&amp;keywords=EXOSC7", "EXOSC7")</f>
        <v>EXOSC7</v>
      </c>
      <c r="N296" s="0" t="s">
        <v>510</v>
      </c>
      <c r="O296" s="0" t="s">
        <v>49</v>
      </c>
      <c r="P296" s="0" t="s">
        <v>49</v>
      </c>
      <c r="Q296" s="0" t="n">
        <v>0.0038</v>
      </c>
      <c r="R296" s="0" t="n">
        <v>0.0042</v>
      </c>
      <c r="S296" s="0" t="n">
        <v>0.0036</v>
      </c>
      <c r="T296" s="0" t="n">
        <v>-1</v>
      </c>
      <c r="U296" s="0" t="n">
        <v>0.0053</v>
      </c>
      <c r="V296" s="0" t="s">
        <v>49</v>
      </c>
      <c r="W296" s="0" t="s">
        <v>49</v>
      </c>
      <c r="X296" s="0" t="s">
        <v>333</v>
      </c>
      <c r="Y296" s="0" t="s">
        <v>219</v>
      </c>
      <c r="Z296" s="0" t="s">
        <v>49</v>
      </c>
      <c r="AA296" s="0" t="s">
        <v>49</v>
      </c>
      <c r="AB296" s="0" t="s">
        <v>49</v>
      </c>
      <c r="AC296" s="0" t="s">
        <v>53</v>
      </c>
      <c r="AD296" s="0" t="s">
        <v>54</v>
      </c>
      <c r="AE296" s="0" t="s">
        <v>1817</v>
      </c>
      <c r="AF296" s="0" t="s">
        <v>1818</v>
      </c>
      <c r="AG296" s="0" t="s">
        <v>1819</v>
      </c>
      <c r="AH296" s="0" t="s">
        <v>49</v>
      </c>
      <c r="AI296" s="0" t="s">
        <v>49</v>
      </c>
      <c r="AJ296" s="0" t="s">
        <v>49</v>
      </c>
      <c r="AK296" s="0" t="s">
        <v>49</v>
      </c>
      <c r="AL296" s="0" t="s">
        <v>49</v>
      </c>
    </row>
    <row r="297" customFormat="false" ht="15" hidden="false" customHeight="false" outlineLevel="0" collapsed="false">
      <c r="B297" s="0" t="str">
        <f aca="false">HYPERLINK("https://genome.ucsc.edu/cgi-bin/hgTracks?db=hg19&amp;position=chr3%3A50098996%2D50098996", "chr3:50098996")</f>
        <v>chr3:50098996</v>
      </c>
      <c r="C297" s="0" t="s">
        <v>255</v>
      </c>
      <c r="D297" s="0" t="n">
        <v>50098996</v>
      </c>
      <c r="E297" s="0" t="n">
        <v>50098996</v>
      </c>
      <c r="F297" s="0" t="s">
        <v>190</v>
      </c>
      <c r="G297" s="0" t="s">
        <v>40</v>
      </c>
      <c r="H297" s="0" t="s">
        <v>1820</v>
      </c>
      <c r="I297" s="0" t="s">
        <v>123</v>
      </c>
      <c r="J297" s="0" t="s">
        <v>1821</v>
      </c>
      <c r="K297" s="0" t="s">
        <v>49</v>
      </c>
      <c r="L297" s="0" t="s">
        <v>49</v>
      </c>
      <c r="M297" s="0" t="str">
        <f aca="false">HYPERLINK("https://www.genecards.org/Search/Keyword?queryString=%5Baliases%5D(%20RBM6%20)&amp;keywords=RBM6", "RBM6")</f>
        <v>RBM6</v>
      </c>
      <c r="N297" s="0" t="s">
        <v>549</v>
      </c>
      <c r="O297" s="0" t="s">
        <v>259</v>
      </c>
      <c r="P297" s="0" t="s">
        <v>1822</v>
      </c>
      <c r="Q297" s="0" t="n">
        <v>-1</v>
      </c>
      <c r="R297" s="0" t="n">
        <v>-1</v>
      </c>
      <c r="S297" s="0" t="n">
        <v>-1</v>
      </c>
      <c r="T297" s="0" t="n">
        <v>-1</v>
      </c>
      <c r="U297" s="0" t="n">
        <v>-1</v>
      </c>
      <c r="V297" s="0" t="s">
        <v>49</v>
      </c>
      <c r="W297" s="0" t="s">
        <v>49</v>
      </c>
      <c r="X297" s="0" t="s">
        <v>49</v>
      </c>
      <c r="Y297" s="0" t="s">
        <v>49</v>
      </c>
      <c r="Z297" s="0" t="s">
        <v>49</v>
      </c>
      <c r="AA297" s="0" t="s">
        <v>49</v>
      </c>
      <c r="AB297" s="0" t="s">
        <v>49</v>
      </c>
      <c r="AC297" s="0" t="s">
        <v>231</v>
      </c>
      <c r="AD297" s="0" t="s">
        <v>54</v>
      </c>
      <c r="AE297" s="0" t="s">
        <v>1823</v>
      </c>
      <c r="AF297" s="0" t="s">
        <v>1824</v>
      </c>
      <c r="AG297" s="0" t="s">
        <v>1825</v>
      </c>
      <c r="AH297" s="0" t="s">
        <v>49</v>
      </c>
      <c r="AI297" s="0" t="s">
        <v>49</v>
      </c>
      <c r="AJ297" s="0" t="s">
        <v>49</v>
      </c>
      <c r="AK297" s="0" t="s">
        <v>49</v>
      </c>
      <c r="AL297" s="0" t="s">
        <v>49</v>
      </c>
    </row>
    <row r="298" customFormat="false" ht="15" hidden="false" customHeight="false" outlineLevel="0" collapsed="false">
      <c r="B298" s="0" t="str">
        <f aca="false">HYPERLINK("https://genome.ucsc.edu/cgi-bin/hgTracks?db=hg19&amp;position=chr3%3A56605240%2D56605241", "chr3:56605240")</f>
        <v>chr3:56605240</v>
      </c>
      <c r="C298" s="0" t="s">
        <v>255</v>
      </c>
      <c r="D298" s="0" t="n">
        <v>56605240</v>
      </c>
      <c r="E298" s="0" t="n">
        <v>56605241</v>
      </c>
      <c r="F298" s="0" t="s">
        <v>535</v>
      </c>
      <c r="G298" s="0" t="s">
        <v>190</v>
      </c>
      <c r="H298" s="0" t="s">
        <v>1826</v>
      </c>
      <c r="I298" s="0" t="s">
        <v>847</v>
      </c>
      <c r="J298" s="0" t="s">
        <v>1827</v>
      </c>
      <c r="K298" s="0" t="s">
        <v>49</v>
      </c>
      <c r="L298" s="0" t="str">
        <f aca="false">HYPERLINK("https://www.ncbi.nlm.nih.gov/snp/rs778701709", "rs778701709")</f>
        <v>rs778701709</v>
      </c>
      <c r="M298" s="0" t="str">
        <f aca="false">HYPERLINK("https://www.genecards.org/Search/Keyword?queryString=%5Baliases%5D(%20CCDC66%20)&amp;keywords=CCDC66", "CCDC66")</f>
        <v>CCDC66</v>
      </c>
      <c r="N298" s="0" t="s">
        <v>45</v>
      </c>
      <c r="O298" s="0" t="s">
        <v>539</v>
      </c>
      <c r="P298" s="0" t="s">
        <v>1828</v>
      </c>
      <c r="Q298" s="0" t="n">
        <v>0.0004</v>
      </c>
      <c r="R298" s="0" t="n">
        <v>-1</v>
      </c>
      <c r="S298" s="0" t="n">
        <v>7.345E-005</v>
      </c>
      <c r="T298" s="0" t="n">
        <v>-1</v>
      </c>
      <c r="U298" s="0" t="n">
        <v>-1</v>
      </c>
      <c r="V298" s="0" t="s">
        <v>49</v>
      </c>
      <c r="W298" s="0" t="s">
        <v>49</v>
      </c>
      <c r="X298" s="0" t="s">
        <v>49</v>
      </c>
      <c r="Y298" s="0" t="s">
        <v>49</v>
      </c>
      <c r="Z298" s="0" t="s">
        <v>49</v>
      </c>
      <c r="AA298" s="0" t="s">
        <v>49</v>
      </c>
      <c r="AB298" s="0" t="s">
        <v>49</v>
      </c>
      <c r="AC298" s="0" t="s">
        <v>53</v>
      </c>
      <c r="AD298" s="0" t="s">
        <v>209</v>
      </c>
      <c r="AE298" s="0" t="s">
        <v>405</v>
      </c>
      <c r="AF298" s="0" t="s">
        <v>406</v>
      </c>
      <c r="AG298" s="0" t="s">
        <v>49</v>
      </c>
      <c r="AH298" s="0" t="s">
        <v>49</v>
      </c>
      <c r="AI298" s="0" t="s">
        <v>49</v>
      </c>
      <c r="AJ298" s="0" t="s">
        <v>49</v>
      </c>
      <c r="AK298" s="0" t="s">
        <v>49</v>
      </c>
      <c r="AL298" s="0" t="s">
        <v>49</v>
      </c>
    </row>
    <row r="299" customFormat="false" ht="15" hidden="false" customHeight="false" outlineLevel="0" collapsed="false">
      <c r="B299" s="0" t="str">
        <f aca="false">HYPERLINK("https://genome.ucsc.edu/cgi-bin/hgTracks?db=hg19&amp;position=chr3%3A75475669%2D75475672", "chr3:75475669")</f>
        <v>chr3:75475669</v>
      </c>
      <c r="C299" s="0" t="s">
        <v>255</v>
      </c>
      <c r="D299" s="0" t="n">
        <v>75475669</v>
      </c>
      <c r="E299" s="0" t="n">
        <v>75475672</v>
      </c>
      <c r="F299" s="0" t="s">
        <v>1829</v>
      </c>
      <c r="G299" s="0" t="s">
        <v>190</v>
      </c>
      <c r="H299" s="0" t="s">
        <v>1830</v>
      </c>
      <c r="I299" s="0" t="s">
        <v>435</v>
      </c>
      <c r="J299" s="0" t="s">
        <v>1831</v>
      </c>
      <c r="K299" s="0" t="s">
        <v>49</v>
      </c>
      <c r="L299" s="0" t="str">
        <f aca="false">HYPERLINK("https://www.ncbi.nlm.nih.gov/snp/rs771707082", "rs771707082")</f>
        <v>rs771707082</v>
      </c>
      <c r="M299" s="0" t="str">
        <f aca="false">HYPERLINK("https://www.genecards.org/Search/Keyword?queryString=%5Baliases%5D(%20FAM86DP%20)&amp;keywords=FAM86DP", "FAM86DP")</f>
        <v>FAM86DP</v>
      </c>
      <c r="N299" s="0" t="s">
        <v>428</v>
      </c>
      <c r="O299" s="0" t="s">
        <v>539</v>
      </c>
      <c r="P299" s="0" t="s">
        <v>1832</v>
      </c>
      <c r="Q299" s="0" t="n">
        <v>0.0001</v>
      </c>
      <c r="R299" s="0" t="n">
        <v>9.301E-005</v>
      </c>
      <c r="S299" s="0" t="n">
        <v>0.0002</v>
      </c>
      <c r="T299" s="0" t="n">
        <v>-1</v>
      </c>
      <c r="U299" s="0" t="n">
        <v>-1</v>
      </c>
      <c r="V299" s="0" t="s">
        <v>49</v>
      </c>
      <c r="W299" s="0" t="s">
        <v>49</v>
      </c>
      <c r="X299" s="0" t="s">
        <v>49</v>
      </c>
      <c r="Y299" s="0" t="s">
        <v>49</v>
      </c>
      <c r="Z299" s="0" t="s">
        <v>49</v>
      </c>
      <c r="AA299" s="0" t="s">
        <v>49</v>
      </c>
      <c r="AB299" s="0" t="s">
        <v>49</v>
      </c>
      <c r="AC299" s="0" t="s">
        <v>53</v>
      </c>
      <c r="AD299" s="0" t="s">
        <v>54</v>
      </c>
      <c r="AE299" s="0" t="s">
        <v>49</v>
      </c>
      <c r="AF299" s="0" t="s">
        <v>1833</v>
      </c>
      <c r="AG299" s="0" t="s">
        <v>49</v>
      </c>
      <c r="AH299" s="0" t="s">
        <v>49</v>
      </c>
      <c r="AI299" s="0" t="s">
        <v>49</v>
      </c>
      <c r="AJ299" s="0" t="s">
        <v>49</v>
      </c>
      <c r="AK299" s="0" t="s">
        <v>49</v>
      </c>
      <c r="AL299" s="0" t="s">
        <v>49</v>
      </c>
    </row>
    <row r="300" customFormat="false" ht="15" hidden="false" customHeight="false" outlineLevel="0" collapsed="false">
      <c r="B300" s="0" t="str">
        <f aca="false">HYPERLINK("https://genome.ucsc.edu/cgi-bin/hgTracks?db=hg19&amp;position=chr3%3A108300239%2D108300239", "chr3:108300239")</f>
        <v>chr3:108300239</v>
      </c>
      <c r="C300" s="0" t="s">
        <v>255</v>
      </c>
      <c r="D300" s="0" t="n">
        <v>108300239</v>
      </c>
      <c r="E300" s="0" t="n">
        <v>108300239</v>
      </c>
      <c r="F300" s="0" t="s">
        <v>40</v>
      </c>
      <c r="G300" s="0" t="s">
        <v>39</v>
      </c>
      <c r="H300" s="0" t="s">
        <v>1834</v>
      </c>
      <c r="I300" s="0" t="s">
        <v>1835</v>
      </c>
      <c r="J300" s="0" t="s">
        <v>1836</v>
      </c>
      <c r="K300" s="0" t="s">
        <v>49</v>
      </c>
      <c r="L300" s="0" t="str">
        <f aca="false">HYPERLINK("https://www.ncbi.nlm.nih.gov/snp/rs191673808", "rs191673808")</f>
        <v>rs191673808</v>
      </c>
      <c r="M300" s="0" t="str">
        <f aca="false">HYPERLINK("https://www.genecards.org/Search/Keyword?queryString=%5Baliases%5D(%20CIP2A%20)%20OR%20%5Baliases%5D(%20KIAA1524%20)&amp;keywords=CIP2A,KIAA1524", "CIP2A;KIAA1524")</f>
        <v>CIP2A;KIAA1524</v>
      </c>
      <c r="N300" s="0" t="s">
        <v>510</v>
      </c>
      <c r="O300" s="0" t="s">
        <v>49</v>
      </c>
      <c r="P300" s="0" t="s">
        <v>49</v>
      </c>
      <c r="Q300" s="0" t="n">
        <v>0.005</v>
      </c>
      <c r="R300" s="0" t="n">
        <v>0.0025</v>
      </c>
      <c r="S300" s="0" t="n">
        <v>0.0036</v>
      </c>
      <c r="T300" s="0" t="n">
        <v>-1</v>
      </c>
      <c r="U300" s="0" t="n">
        <v>0.0081</v>
      </c>
      <c r="V300" s="0" t="s">
        <v>49</v>
      </c>
      <c r="W300" s="0" t="s">
        <v>49</v>
      </c>
      <c r="X300" s="0" t="s">
        <v>333</v>
      </c>
      <c r="Y300" s="0" t="s">
        <v>219</v>
      </c>
      <c r="Z300" s="0" t="s">
        <v>49</v>
      </c>
      <c r="AA300" s="0" t="s">
        <v>49</v>
      </c>
      <c r="AB300" s="0" t="s">
        <v>49</v>
      </c>
      <c r="AC300" s="0" t="s">
        <v>53</v>
      </c>
      <c r="AD300" s="0" t="s">
        <v>220</v>
      </c>
      <c r="AE300" s="0" t="s">
        <v>1837</v>
      </c>
      <c r="AF300" s="0" t="s">
        <v>1838</v>
      </c>
      <c r="AG300" s="0" t="s">
        <v>1839</v>
      </c>
      <c r="AH300" s="0" t="s">
        <v>49</v>
      </c>
      <c r="AI300" s="0" t="s">
        <v>49</v>
      </c>
      <c r="AJ300" s="0" t="s">
        <v>49</v>
      </c>
      <c r="AK300" s="0" t="s">
        <v>49</v>
      </c>
      <c r="AL300" s="0" t="s">
        <v>49</v>
      </c>
    </row>
    <row r="301" customFormat="false" ht="15" hidden="false" customHeight="false" outlineLevel="0" collapsed="false">
      <c r="B301" s="0" t="str">
        <f aca="false">HYPERLINK("https://genome.ucsc.edu/cgi-bin/hgTracks?db=hg19&amp;position=chr3%3A127820493%2D127820493", "chr3:127820493")</f>
        <v>chr3:127820493</v>
      </c>
      <c r="C301" s="0" t="s">
        <v>255</v>
      </c>
      <c r="D301" s="0" t="n">
        <v>127820493</v>
      </c>
      <c r="E301" s="0" t="n">
        <v>127820493</v>
      </c>
      <c r="F301" s="0" t="s">
        <v>190</v>
      </c>
      <c r="G301" s="0" t="s">
        <v>61</v>
      </c>
      <c r="H301" s="0" t="s">
        <v>1840</v>
      </c>
      <c r="I301" s="0" t="s">
        <v>1409</v>
      </c>
      <c r="J301" s="0" t="s">
        <v>1841</v>
      </c>
      <c r="K301" s="0" t="s">
        <v>49</v>
      </c>
      <c r="L301" s="0" t="str">
        <f aca="false">HYPERLINK("https://www.ncbi.nlm.nih.gov/snp/rs746886040", "rs746886040")</f>
        <v>rs746886040</v>
      </c>
      <c r="M301" s="0" t="str">
        <f aca="false">HYPERLINK("https://www.genecards.org/Search/Keyword?queryString=%5Baliases%5D(%20RUVBL1%20)&amp;keywords=RUVBL1", "RUVBL1")</f>
        <v>RUVBL1</v>
      </c>
      <c r="N301" s="0" t="s">
        <v>196</v>
      </c>
      <c r="O301" s="0" t="s">
        <v>49</v>
      </c>
      <c r="P301" s="0" t="s">
        <v>1842</v>
      </c>
      <c r="Q301" s="0" t="n">
        <v>0.0025</v>
      </c>
      <c r="R301" s="0" t="n">
        <v>0.0013</v>
      </c>
      <c r="S301" s="0" t="n">
        <v>0.0014</v>
      </c>
      <c r="T301" s="0" t="n">
        <v>-1</v>
      </c>
      <c r="U301" s="0" t="n">
        <v>0.0012</v>
      </c>
      <c r="V301" s="0" t="s">
        <v>49</v>
      </c>
      <c r="W301" s="0" t="s">
        <v>49</v>
      </c>
      <c r="X301" s="0" t="s">
        <v>49</v>
      </c>
      <c r="Y301" s="0" t="s">
        <v>49</v>
      </c>
      <c r="Z301" s="0" t="s">
        <v>49</v>
      </c>
      <c r="AA301" s="0" t="s">
        <v>49</v>
      </c>
      <c r="AB301" s="0" t="s">
        <v>49</v>
      </c>
      <c r="AC301" s="0" t="s">
        <v>53</v>
      </c>
      <c r="AD301" s="0" t="s">
        <v>54</v>
      </c>
      <c r="AE301" s="0" t="s">
        <v>1843</v>
      </c>
      <c r="AF301" s="0" t="s">
        <v>1844</v>
      </c>
      <c r="AG301" s="0" t="s">
        <v>1845</v>
      </c>
      <c r="AH301" s="0" t="s">
        <v>49</v>
      </c>
      <c r="AI301" s="0" t="s">
        <v>49</v>
      </c>
      <c r="AJ301" s="0" t="s">
        <v>49</v>
      </c>
      <c r="AK301" s="0" t="s">
        <v>49</v>
      </c>
      <c r="AL301" s="0" t="s">
        <v>49</v>
      </c>
    </row>
    <row r="302" customFormat="false" ht="15" hidden="false" customHeight="false" outlineLevel="0" collapsed="false">
      <c r="B302" s="0" t="str">
        <f aca="false">HYPERLINK("https://genome.ucsc.edu/cgi-bin/hgTracks?db=hg19&amp;position=chr3%3A141923491%2D141923491", "chr3:141923491")</f>
        <v>chr3:141923491</v>
      </c>
      <c r="C302" s="0" t="s">
        <v>255</v>
      </c>
      <c r="D302" s="0" t="n">
        <v>141923491</v>
      </c>
      <c r="E302" s="0" t="n">
        <v>141923491</v>
      </c>
      <c r="F302" s="0" t="s">
        <v>190</v>
      </c>
      <c r="G302" s="0" t="s">
        <v>61</v>
      </c>
      <c r="H302" s="0" t="s">
        <v>313</v>
      </c>
      <c r="I302" s="0" t="s">
        <v>1386</v>
      </c>
      <c r="J302" s="0" t="s">
        <v>1846</v>
      </c>
      <c r="K302" s="0" t="s">
        <v>49</v>
      </c>
      <c r="L302" s="0" t="str">
        <f aca="false">HYPERLINK("https://www.ncbi.nlm.nih.gov/snp/rs200595097", "rs200595097")</f>
        <v>rs200595097</v>
      </c>
      <c r="M302" s="0" t="str">
        <f aca="false">HYPERLINK("https://www.genecards.org/Search/Keyword?queryString=%5Baliases%5D(%20GK5%20)&amp;keywords=GK5", "GK5")</f>
        <v>GK5</v>
      </c>
      <c r="N302" s="0" t="s">
        <v>549</v>
      </c>
      <c r="O302" s="0" t="s">
        <v>259</v>
      </c>
      <c r="P302" s="0" t="s">
        <v>1847</v>
      </c>
      <c r="Q302" s="0" t="n">
        <v>0.0276</v>
      </c>
      <c r="R302" s="0" t="n">
        <v>0.0064</v>
      </c>
      <c r="S302" s="0" t="n">
        <v>0.0079</v>
      </c>
      <c r="T302" s="0" t="n">
        <v>-1</v>
      </c>
      <c r="U302" s="0" t="n">
        <v>0.0081</v>
      </c>
      <c r="V302" s="0" t="s">
        <v>49</v>
      </c>
      <c r="W302" s="0" t="s">
        <v>49</v>
      </c>
      <c r="X302" s="0" t="s">
        <v>49</v>
      </c>
      <c r="Y302" s="0" t="s">
        <v>49</v>
      </c>
      <c r="Z302" s="0" t="s">
        <v>49</v>
      </c>
      <c r="AA302" s="0" t="s">
        <v>49</v>
      </c>
      <c r="AB302" s="0" t="s">
        <v>49</v>
      </c>
      <c r="AC302" s="0" t="s">
        <v>53</v>
      </c>
      <c r="AD302" s="0" t="s">
        <v>54</v>
      </c>
      <c r="AE302" s="0" t="s">
        <v>1848</v>
      </c>
      <c r="AF302" s="0" t="s">
        <v>1849</v>
      </c>
      <c r="AG302" s="0" t="s">
        <v>49</v>
      </c>
      <c r="AH302" s="0" t="s">
        <v>49</v>
      </c>
      <c r="AI302" s="0" t="s">
        <v>49</v>
      </c>
      <c r="AJ302" s="0" t="s">
        <v>49</v>
      </c>
      <c r="AK302" s="0" t="s">
        <v>49</v>
      </c>
      <c r="AL302" s="0" t="s">
        <v>49</v>
      </c>
    </row>
    <row r="303" customFormat="false" ht="15" hidden="false" customHeight="false" outlineLevel="0" collapsed="false">
      <c r="B303" s="0" t="str">
        <f aca="false">HYPERLINK("https://genome.ucsc.edu/cgi-bin/hgTracks?db=hg19&amp;position=chr3%3A142170590%2D142170590", "chr3:142170590")</f>
        <v>chr3:142170590</v>
      </c>
      <c r="C303" s="0" t="s">
        <v>255</v>
      </c>
      <c r="D303" s="0" t="n">
        <v>142170590</v>
      </c>
      <c r="E303" s="0" t="n">
        <v>142170590</v>
      </c>
      <c r="F303" s="0" t="s">
        <v>190</v>
      </c>
      <c r="G303" s="0" t="s">
        <v>61</v>
      </c>
      <c r="H303" s="0" t="s">
        <v>1850</v>
      </c>
      <c r="I303" s="0" t="s">
        <v>238</v>
      </c>
      <c r="J303" s="0" t="s">
        <v>1851</v>
      </c>
      <c r="K303" s="0" t="s">
        <v>49</v>
      </c>
      <c r="L303" s="0" t="str">
        <f aca="false">HYPERLINK("https://www.ncbi.nlm.nih.gov/snp/rs201772557", "rs201772557")</f>
        <v>rs201772557</v>
      </c>
      <c r="M303" s="0" t="str">
        <f aca="false">HYPERLINK("https://www.genecards.org/Search/Keyword?queryString=%5Baliases%5D(%20ATR%20)&amp;keywords=ATR", "ATR")</f>
        <v>ATR</v>
      </c>
      <c r="N303" s="0" t="s">
        <v>1852</v>
      </c>
      <c r="O303" s="0" t="s">
        <v>49</v>
      </c>
      <c r="P303" s="0" t="s">
        <v>1853</v>
      </c>
      <c r="Q303" s="0" t="n">
        <v>0.0113</v>
      </c>
      <c r="R303" s="0" t="n">
        <v>0.007</v>
      </c>
      <c r="S303" s="0" t="n">
        <v>0.0058</v>
      </c>
      <c r="T303" s="0" t="n">
        <v>-1</v>
      </c>
      <c r="U303" s="0" t="n">
        <v>0.0101</v>
      </c>
      <c r="V303" s="0" t="s">
        <v>49</v>
      </c>
      <c r="W303" s="0" t="s">
        <v>49</v>
      </c>
      <c r="X303" s="0" t="s">
        <v>49</v>
      </c>
      <c r="Y303" s="0" t="s">
        <v>49</v>
      </c>
      <c r="Z303" s="0" t="s">
        <v>49</v>
      </c>
      <c r="AA303" s="0" t="s">
        <v>49</v>
      </c>
      <c r="AB303" s="0" t="s">
        <v>49</v>
      </c>
      <c r="AC303" s="0" t="s">
        <v>53</v>
      </c>
      <c r="AD303" s="0" t="s">
        <v>209</v>
      </c>
      <c r="AE303" s="0" t="s">
        <v>1854</v>
      </c>
      <c r="AF303" s="0" t="s">
        <v>1855</v>
      </c>
      <c r="AG303" s="0" t="s">
        <v>1856</v>
      </c>
      <c r="AH303" s="0" t="s">
        <v>1857</v>
      </c>
      <c r="AI303" s="0" t="s">
        <v>49</v>
      </c>
      <c r="AJ303" s="0" t="s">
        <v>49</v>
      </c>
      <c r="AK303" s="0" t="s">
        <v>49</v>
      </c>
      <c r="AL303" s="0" t="s">
        <v>49</v>
      </c>
    </row>
    <row r="304" customFormat="false" ht="15" hidden="false" customHeight="false" outlineLevel="0" collapsed="false">
      <c r="B304" s="0" t="str">
        <f aca="false">HYPERLINK("https://genome.ucsc.edu/cgi-bin/hgTracks?db=hg19&amp;position=chr3%3A142215153%2D142215153", "chr3:142215153")</f>
        <v>chr3:142215153</v>
      </c>
      <c r="C304" s="0" t="s">
        <v>255</v>
      </c>
      <c r="D304" s="0" t="n">
        <v>142215153</v>
      </c>
      <c r="E304" s="0" t="n">
        <v>142215153</v>
      </c>
      <c r="F304" s="0" t="s">
        <v>40</v>
      </c>
      <c r="G304" s="0" t="s">
        <v>39</v>
      </c>
      <c r="H304" s="0" t="s">
        <v>1780</v>
      </c>
      <c r="I304" s="0" t="s">
        <v>265</v>
      </c>
      <c r="J304" s="0" t="s">
        <v>1858</v>
      </c>
      <c r="K304" s="0" t="s">
        <v>49</v>
      </c>
      <c r="L304" s="0" t="str">
        <f aca="false">HYPERLINK("https://www.ncbi.nlm.nih.gov/snp/rs760822510", "rs760822510")</f>
        <v>rs760822510</v>
      </c>
      <c r="M304" s="0" t="str">
        <f aca="false">HYPERLINK("https://www.genecards.org/Search/Keyword?queryString=%5Baliases%5D(%20ATR%20)&amp;keywords=ATR", "ATR")</f>
        <v>ATR</v>
      </c>
      <c r="N304" s="0" t="s">
        <v>510</v>
      </c>
      <c r="O304" s="0" t="s">
        <v>49</v>
      </c>
      <c r="P304" s="0" t="s">
        <v>49</v>
      </c>
      <c r="Q304" s="0" t="n">
        <v>0.0011</v>
      </c>
      <c r="R304" s="0" t="n">
        <v>0.0006</v>
      </c>
      <c r="S304" s="0" t="n">
        <v>0.0008</v>
      </c>
      <c r="T304" s="0" t="n">
        <v>-1</v>
      </c>
      <c r="U304" s="0" t="n">
        <v>-1</v>
      </c>
      <c r="V304" s="0" t="s">
        <v>49</v>
      </c>
      <c r="W304" s="0" t="s">
        <v>49</v>
      </c>
      <c r="X304" s="0" t="s">
        <v>517</v>
      </c>
      <c r="Y304" s="0" t="s">
        <v>219</v>
      </c>
      <c r="Z304" s="0" t="s">
        <v>49</v>
      </c>
      <c r="AA304" s="0" t="s">
        <v>49</v>
      </c>
      <c r="AB304" s="0" t="s">
        <v>49</v>
      </c>
      <c r="AC304" s="0" t="s">
        <v>53</v>
      </c>
      <c r="AD304" s="0" t="s">
        <v>209</v>
      </c>
      <c r="AE304" s="0" t="s">
        <v>1854</v>
      </c>
      <c r="AF304" s="0" t="s">
        <v>1855</v>
      </c>
      <c r="AG304" s="0" t="s">
        <v>1856</v>
      </c>
      <c r="AH304" s="0" t="s">
        <v>1857</v>
      </c>
      <c r="AI304" s="0" t="s">
        <v>49</v>
      </c>
      <c r="AJ304" s="0" t="s">
        <v>49</v>
      </c>
      <c r="AK304" s="0" t="s">
        <v>49</v>
      </c>
      <c r="AL304" s="0" t="s">
        <v>49</v>
      </c>
    </row>
    <row r="305" customFormat="false" ht="15" hidden="false" customHeight="false" outlineLevel="0" collapsed="false">
      <c r="B305" s="0" t="str">
        <f aca="false">HYPERLINK("https://genome.ucsc.edu/cgi-bin/hgTracks?db=hg19&amp;position=chr3%3A154022868%2D154022868", "chr3:154022868")</f>
        <v>chr3:154022868</v>
      </c>
      <c r="C305" s="0" t="s">
        <v>255</v>
      </c>
      <c r="D305" s="0" t="n">
        <v>154022868</v>
      </c>
      <c r="E305" s="0" t="n">
        <v>154022868</v>
      </c>
      <c r="F305" s="0" t="s">
        <v>40</v>
      </c>
      <c r="G305" s="0" t="s">
        <v>39</v>
      </c>
      <c r="H305" s="0" t="s">
        <v>1859</v>
      </c>
      <c r="I305" s="0" t="s">
        <v>1860</v>
      </c>
      <c r="J305" s="0" t="s">
        <v>1861</v>
      </c>
      <c r="K305" s="0" t="s">
        <v>49</v>
      </c>
      <c r="L305" s="0" t="str">
        <f aca="false">HYPERLINK("https://www.ncbi.nlm.nih.gov/snp/rs201106325", "rs201106325")</f>
        <v>rs201106325</v>
      </c>
      <c r="M305" s="0" t="str">
        <f aca="false">HYPERLINK("https://www.genecards.org/Search/Keyword?queryString=%5Baliases%5D(%20DHX36%20)&amp;keywords=DHX36", "DHX36")</f>
        <v>DHX36</v>
      </c>
      <c r="N305" s="0" t="s">
        <v>510</v>
      </c>
      <c r="O305" s="0" t="s">
        <v>49</v>
      </c>
      <c r="P305" s="0" t="s">
        <v>49</v>
      </c>
      <c r="Q305" s="0" t="n">
        <v>0.0082</v>
      </c>
      <c r="R305" s="0" t="n">
        <v>0.0005</v>
      </c>
      <c r="S305" s="0" t="n">
        <v>0.0005</v>
      </c>
      <c r="T305" s="0" t="n">
        <v>-1</v>
      </c>
      <c r="U305" s="0" t="n">
        <v>0.0004</v>
      </c>
      <c r="V305" s="0" t="s">
        <v>49</v>
      </c>
      <c r="W305" s="0" t="s">
        <v>49</v>
      </c>
      <c r="X305" s="0" t="s">
        <v>517</v>
      </c>
      <c r="Y305" s="0" t="s">
        <v>219</v>
      </c>
      <c r="Z305" s="0" t="s">
        <v>49</v>
      </c>
      <c r="AA305" s="0" t="s">
        <v>49</v>
      </c>
      <c r="AB305" s="0" t="s">
        <v>49</v>
      </c>
      <c r="AC305" s="0" t="s">
        <v>53</v>
      </c>
      <c r="AD305" s="0" t="s">
        <v>54</v>
      </c>
      <c r="AE305" s="0" t="s">
        <v>1862</v>
      </c>
      <c r="AF305" s="0" t="s">
        <v>1863</v>
      </c>
      <c r="AG305" s="0" t="s">
        <v>1864</v>
      </c>
      <c r="AH305" s="0" t="s">
        <v>49</v>
      </c>
      <c r="AI305" s="0" t="s">
        <v>49</v>
      </c>
      <c r="AJ305" s="0" t="s">
        <v>49</v>
      </c>
      <c r="AK305" s="0" t="s">
        <v>49</v>
      </c>
      <c r="AL305" s="0" t="s">
        <v>49</v>
      </c>
    </row>
    <row r="306" customFormat="false" ht="15" hidden="false" customHeight="false" outlineLevel="0" collapsed="false">
      <c r="B306" s="0" t="str">
        <f aca="false">HYPERLINK("https://genome.ucsc.edu/cgi-bin/hgTracks?db=hg19&amp;position=chr3%3A156711188%2D156711188", "chr3:156711188")</f>
        <v>chr3:156711188</v>
      </c>
      <c r="C306" s="0" t="s">
        <v>255</v>
      </c>
      <c r="D306" s="0" t="n">
        <v>156711188</v>
      </c>
      <c r="E306" s="0" t="n">
        <v>156711188</v>
      </c>
      <c r="F306" s="0" t="s">
        <v>40</v>
      </c>
      <c r="G306" s="0" t="s">
        <v>60</v>
      </c>
      <c r="H306" s="0" t="s">
        <v>1865</v>
      </c>
      <c r="I306" s="0" t="s">
        <v>816</v>
      </c>
      <c r="J306" s="0" t="s">
        <v>1866</v>
      </c>
      <c r="K306" s="0" t="s">
        <v>49</v>
      </c>
      <c r="L306" s="0" t="s">
        <v>49</v>
      </c>
      <c r="M306" s="0" t="str">
        <f aca="false">HYPERLINK("https://www.genecards.org/Search/Keyword?queryString=%5Baliases%5D(%20LEKR1%20)&amp;keywords=LEKR1", "LEKR1")</f>
        <v>LEKR1</v>
      </c>
      <c r="N306" s="0" t="s">
        <v>510</v>
      </c>
      <c r="O306" s="0" t="s">
        <v>49</v>
      </c>
      <c r="P306" s="0" t="s">
        <v>49</v>
      </c>
      <c r="Q306" s="0" t="n">
        <v>-1</v>
      </c>
      <c r="R306" s="0" t="n">
        <v>-1</v>
      </c>
      <c r="S306" s="0" t="n">
        <v>-1</v>
      </c>
      <c r="T306" s="0" t="n">
        <v>-1</v>
      </c>
      <c r="U306" s="0" t="n">
        <v>-1</v>
      </c>
      <c r="V306" s="0" t="s">
        <v>49</v>
      </c>
      <c r="W306" s="0" t="s">
        <v>49</v>
      </c>
      <c r="X306" s="0" t="s">
        <v>333</v>
      </c>
      <c r="Y306" s="0" t="s">
        <v>219</v>
      </c>
      <c r="Z306" s="0" t="s">
        <v>49</v>
      </c>
      <c r="AA306" s="0" t="s">
        <v>49</v>
      </c>
      <c r="AB306" s="0" t="s">
        <v>49</v>
      </c>
      <c r="AC306" s="0" t="s">
        <v>53</v>
      </c>
      <c r="AD306" s="0" t="s">
        <v>54</v>
      </c>
      <c r="AE306" s="0" t="s">
        <v>49</v>
      </c>
      <c r="AF306" s="0" t="s">
        <v>1867</v>
      </c>
      <c r="AG306" s="0" t="s">
        <v>49</v>
      </c>
      <c r="AH306" s="0" t="s">
        <v>49</v>
      </c>
      <c r="AI306" s="0" t="s">
        <v>49</v>
      </c>
      <c r="AJ306" s="0" t="s">
        <v>49</v>
      </c>
      <c r="AK306" s="0" t="s">
        <v>49</v>
      </c>
      <c r="AL306" s="0" t="s">
        <v>49</v>
      </c>
    </row>
    <row r="307" customFormat="false" ht="15" hidden="false" customHeight="false" outlineLevel="0" collapsed="false">
      <c r="B307" s="0" t="str">
        <f aca="false">HYPERLINK("https://genome.ucsc.edu/cgi-bin/hgTracks?db=hg19&amp;position=chr3%3A160964381%2D160964381", "chr3:160964381")</f>
        <v>chr3:160964381</v>
      </c>
      <c r="C307" s="0" t="s">
        <v>255</v>
      </c>
      <c r="D307" s="0" t="n">
        <v>160964381</v>
      </c>
      <c r="E307" s="0" t="n">
        <v>160964381</v>
      </c>
      <c r="F307" s="0" t="s">
        <v>61</v>
      </c>
      <c r="G307" s="0" t="s">
        <v>60</v>
      </c>
      <c r="H307" s="0" t="s">
        <v>1237</v>
      </c>
      <c r="I307" s="0" t="s">
        <v>1868</v>
      </c>
      <c r="J307" s="0" t="s">
        <v>1869</v>
      </c>
      <c r="K307" s="0" t="s">
        <v>49</v>
      </c>
      <c r="L307" s="0" t="str">
        <f aca="false">HYPERLINK("https://www.ncbi.nlm.nih.gov/snp/rs765590487", "rs765590487")</f>
        <v>rs765590487</v>
      </c>
      <c r="M307" s="0" t="str">
        <f aca="false">HYPERLINK("https://www.genecards.org/Search/Keyword?queryString=%5Baliases%5D(%20NMD3%20)&amp;keywords=NMD3", "NMD3")</f>
        <v>NMD3</v>
      </c>
      <c r="N307" s="0" t="s">
        <v>510</v>
      </c>
      <c r="O307" s="0" t="s">
        <v>49</v>
      </c>
      <c r="P307" s="0" t="s">
        <v>49</v>
      </c>
      <c r="Q307" s="0" t="n">
        <v>0.0003</v>
      </c>
      <c r="R307" s="0" t="n">
        <v>0.0005</v>
      </c>
      <c r="S307" s="0" t="n">
        <v>0.0004</v>
      </c>
      <c r="T307" s="0" t="n">
        <v>-1</v>
      </c>
      <c r="U307" s="0" t="n">
        <v>0.0009</v>
      </c>
      <c r="V307" s="0" t="s">
        <v>49</v>
      </c>
      <c r="W307" s="0" t="s">
        <v>49</v>
      </c>
      <c r="X307" s="0" t="s">
        <v>333</v>
      </c>
      <c r="Y307" s="0" t="s">
        <v>219</v>
      </c>
      <c r="Z307" s="0" t="s">
        <v>49</v>
      </c>
      <c r="AA307" s="0" t="s">
        <v>49</v>
      </c>
      <c r="AB307" s="0" t="s">
        <v>49</v>
      </c>
      <c r="AC307" s="0" t="s">
        <v>53</v>
      </c>
      <c r="AD307" s="0" t="s">
        <v>54</v>
      </c>
      <c r="AE307" s="0" t="s">
        <v>1870</v>
      </c>
      <c r="AF307" s="0" t="s">
        <v>1871</v>
      </c>
      <c r="AG307" s="0" t="s">
        <v>1872</v>
      </c>
      <c r="AH307" s="0" t="s">
        <v>49</v>
      </c>
      <c r="AI307" s="0" t="s">
        <v>49</v>
      </c>
      <c r="AJ307" s="0" t="s">
        <v>49</v>
      </c>
      <c r="AK307" s="0" t="s">
        <v>49</v>
      </c>
      <c r="AL307" s="0" t="s">
        <v>49</v>
      </c>
    </row>
    <row r="308" customFormat="false" ht="15" hidden="false" customHeight="false" outlineLevel="0" collapsed="false">
      <c r="B308" s="0" t="str">
        <f aca="false">HYPERLINK("https://genome.ucsc.edu/cgi-bin/hgTracks?db=hg19&amp;position=chr3%3A193044725%2D193044725", "chr3:193044725")</f>
        <v>chr3:193044725</v>
      </c>
      <c r="C308" s="0" t="s">
        <v>255</v>
      </c>
      <c r="D308" s="0" t="n">
        <v>193044725</v>
      </c>
      <c r="E308" s="0" t="n">
        <v>193044725</v>
      </c>
      <c r="F308" s="0" t="s">
        <v>40</v>
      </c>
      <c r="G308" s="0" t="s">
        <v>39</v>
      </c>
      <c r="H308" s="0" t="s">
        <v>1873</v>
      </c>
      <c r="I308" s="0" t="s">
        <v>180</v>
      </c>
      <c r="J308" s="0" t="s">
        <v>1874</v>
      </c>
      <c r="K308" s="0" t="s">
        <v>49</v>
      </c>
      <c r="L308" s="0" t="str">
        <f aca="false">HYPERLINK("https://www.ncbi.nlm.nih.gov/snp/rs144816946", "rs144816946")</f>
        <v>rs144816946</v>
      </c>
      <c r="M308" s="0" t="str">
        <f aca="false">HYPERLINK("https://www.genecards.org/Search/Keyword?queryString=%5Baliases%5D(%20ATP13A5%20)&amp;keywords=ATP13A5", "ATP13A5")</f>
        <v>ATP13A5</v>
      </c>
      <c r="N308" s="0" t="s">
        <v>510</v>
      </c>
      <c r="O308" s="0" t="s">
        <v>49</v>
      </c>
      <c r="P308" s="0" t="s">
        <v>49</v>
      </c>
      <c r="Q308" s="0" t="n">
        <v>0.0024</v>
      </c>
      <c r="R308" s="0" t="n">
        <v>0.0012</v>
      </c>
      <c r="S308" s="0" t="n">
        <v>0.0036</v>
      </c>
      <c r="T308" s="0" t="n">
        <v>-1</v>
      </c>
      <c r="U308" s="0" t="n">
        <v>0.0041</v>
      </c>
      <c r="V308" s="0" t="s">
        <v>49</v>
      </c>
      <c r="W308" s="0" t="s">
        <v>49</v>
      </c>
      <c r="X308" s="0" t="s">
        <v>517</v>
      </c>
      <c r="Y308" s="0" t="s">
        <v>219</v>
      </c>
      <c r="Z308" s="0" t="s">
        <v>49</v>
      </c>
      <c r="AA308" s="0" t="s">
        <v>49</v>
      </c>
      <c r="AB308" s="0" t="s">
        <v>49</v>
      </c>
      <c r="AC308" s="0" t="s">
        <v>53</v>
      </c>
      <c r="AD308" s="0" t="s">
        <v>54</v>
      </c>
      <c r="AE308" s="0" t="s">
        <v>1875</v>
      </c>
      <c r="AF308" s="0" t="s">
        <v>1876</v>
      </c>
      <c r="AG308" s="0" t="s">
        <v>49</v>
      </c>
      <c r="AH308" s="0" t="s">
        <v>49</v>
      </c>
      <c r="AI308" s="0" t="s">
        <v>49</v>
      </c>
      <c r="AJ308" s="0" t="s">
        <v>49</v>
      </c>
      <c r="AK308" s="0" t="s">
        <v>49</v>
      </c>
      <c r="AL308" s="0" t="s">
        <v>49</v>
      </c>
    </row>
    <row r="309" customFormat="false" ht="15" hidden="false" customHeight="false" outlineLevel="0" collapsed="false">
      <c r="B309" s="0" t="str">
        <f aca="false">HYPERLINK("https://genome.ucsc.edu/cgi-bin/hgTracks?db=hg19&amp;position=chr3%3A193272445%2D193272448", "chr3:193272445")</f>
        <v>chr3:193272445</v>
      </c>
      <c r="C309" s="0" t="s">
        <v>255</v>
      </c>
      <c r="D309" s="0" t="n">
        <v>193272445</v>
      </c>
      <c r="E309" s="0" t="n">
        <v>193272448</v>
      </c>
      <c r="F309" s="0" t="s">
        <v>1877</v>
      </c>
      <c r="G309" s="0" t="s">
        <v>190</v>
      </c>
      <c r="H309" s="0" t="s">
        <v>1878</v>
      </c>
      <c r="I309" s="0" t="s">
        <v>804</v>
      </c>
      <c r="J309" s="0" t="s">
        <v>1879</v>
      </c>
      <c r="K309" s="0" t="s">
        <v>49</v>
      </c>
      <c r="L309" s="0" t="s">
        <v>49</v>
      </c>
      <c r="M309" s="0" t="str">
        <f aca="false">HYPERLINK("https://www.genecards.org/Search/Keyword?queryString=%5Baliases%5D(%20ATP13A4%20)%20OR%20%5Baliases%5D(%20ATP13A4-AS1%20)&amp;keywords=ATP13A4,ATP13A4-AS1", "ATP13A4;ATP13A4-AS1")</f>
        <v>ATP13A4;ATP13A4-AS1</v>
      </c>
      <c r="N309" s="0" t="s">
        <v>300</v>
      </c>
      <c r="O309" s="0" t="s">
        <v>49</v>
      </c>
      <c r="P309" s="0" t="s">
        <v>49</v>
      </c>
      <c r="Q309" s="0" t="n">
        <v>-1</v>
      </c>
      <c r="R309" s="0" t="n">
        <v>-1</v>
      </c>
      <c r="S309" s="0" t="n">
        <v>-1</v>
      </c>
      <c r="T309" s="0" t="n">
        <v>-1</v>
      </c>
      <c r="U309" s="0" t="n">
        <v>-1</v>
      </c>
      <c r="V309" s="0" t="s">
        <v>49</v>
      </c>
      <c r="W309" s="0" t="s">
        <v>49</v>
      </c>
      <c r="X309" s="0" t="s">
        <v>49</v>
      </c>
      <c r="Y309" s="0" t="s">
        <v>49</v>
      </c>
      <c r="Z309" s="0" t="s">
        <v>49</v>
      </c>
      <c r="AA309" s="0" t="s">
        <v>49</v>
      </c>
      <c r="AB309" s="0" t="s">
        <v>49</v>
      </c>
      <c r="AC309" s="0" t="s">
        <v>231</v>
      </c>
      <c r="AD309" s="0" t="s">
        <v>220</v>
      </c>
      <c r="AE309" s="0" t="s">
        <v>1880</v>
      </c>
      <c r="AF309" s="0" t="s">
        <v>1881</v>
      </c>
      <c r="AG309" s="0" t="s">
        <v>49</v>
      </c>
      <c r="AH309" s="0" t="s">
        <v>1882</v>
      </c>
      <c r="AI309" s="0" t="s">
        <v>49</v>
      </c>
      <c r="AJ309" s="0" t="s">
        <v>49</v>
      </c>
      <c r="AK309" s="0" t="s">
        <v>49</v>
      </c>
      <c r="AL309" s="0" t="s">
        <v>49</v>
      </c>
    </row>
    <row r="310" customFormat="false" ht="15" hidden="false" customHeight="false" outlineLevel="0" collapsed="false">
      <c r="B310" s="0" t="str">
        <f aca="false">HYPERLINK("https://genome.ucsc.edu/cgi-bin/hgTracks?db=hg19&amp;position=chr3%3A195047507%2D195047507", "chr3:195047507")</f>
        <v>chr3:195047507</v>
      </c>
      <c r="C310" s="0" t="s">
        <v>255</v>
      </c>
      <c r="D310" s="0" t="n">
        <v>195047507</v>
      </c>
      <c r="E310" s="0" t="n">
        <v>195047507</v>
      </c>
      <c r="F310" s="0" t="s">
        <v>40</v>
      </c>
      <c r="G310" s="0" t="s">
        <v>39</v>
      </c>
      <c r="H310" s="0" t="s">
        <v>1883</v>
      </c>
      <c r="I310" s="0" t="s">
        <v>497</v>
      </c>
      <c r="J310" s="0" t="s">
        <v>1884</v>
      </c>
      <c r="K310" s="0" t="s">
        <v>49</v>
      </c>
      <c r="L310" s="0" t="str">
        <f aca="false">HYPERLINK("https://www.ncbi.nlm.nih.gov/snp/rs79917977", "rs79917977")</f>
        <v>rs79917977</v>
      </c>
      <c r="M310" s="0" t="str">
        <f aca="false">HYPERLINK("https://www.genecards.org/Search/Keyword?queryString=%5Baliases%5D(%20ACAP2%20)&amp;keywords=ACAP2", "ACAP2")</f>
        <v>ACAP2</v>
      </c>
      <c r="N310" s="0" t="s">
        <v>510</v>
      </c>
      <c r="O310" s="0" t="s">
        <v>49</v>
      </c>
      <c r="P310" s="0" t="s">
        <v>49</v>
      </c>
      <c r="Q310" s="0" t="n">
        <v>0.0108</v>
      </c>
      <c r="R310" s="0" t="n">
        <v>0.0105</v>
      </c>
      <c r="S310" s="0" t="n">
        <v>0.0109</v>
      </c>
      <c r="T310" s="0" t="n">
        <v>-1</v>
      </c>
      <c r="U310" s="0" t="n">
        <v>0.0101</v>
      </c>
      <c r="V310" s="0" t="s">
        <v>49</v>
      </c>
      <c r="W310" s="0" t="s">
        <v>49</v>
      </c>
      <c r="X310" s="0" t="s">
        <v>333</v>
      </c>
      <c r="Y310" s="0" t="s">
        <v>219</v>
      </c>
      <c r="Z310" s="0" t="s">
        <v>49</v>
      </c>
      <c r="AA310" s="0" t="s">
        <v>49</v>
      </c>
      <c r="AB310" s="0" t="s">
        <v>49</v>
      </c>
      <c r="AC310" s="0" t="s">
        <v>53</v>
      </c>
      <c r="AD310" s="0" t="s">
        <v>54</v>
      </c>
      <c r="AE310" s="0" t="s">
        <v>1885</v>
      </c>
      <c r="AF310" s="0" t="s">
        <v>1886</v>
      </c>
      <c r="AG310" s="0" t="s">
        <v>1887</v>
      </c>
      <c r="AH310" s="0" t="s">
        <v>49</v>
      </c>
      <c r="AI310" s="0" t="s">
        <v>49</v>
      </c>
      <c r="AJ310" s="0" t="s">
        <v>49</v>
      </c>
      <c r="AK310" s="0" t="s">
        <v>49</v>
      </c>
      <c r="AL310" s="0" t="s">
        <v>49</v>
      </c>
    </row>
    <row r="311" customFormat="false" ht="15" hidden="false" customHeight="false" outlineLevel="0" collapsed="false">
      <c r="B311" s="0" t="str">
        <f aca="false">HYPERLINK("https://genome.ucsc.edu/cgi-bin/hgTracks?db=hg19&amp;position=chr4%3A5990869%2D5990870", "chr4:5990869")</f>
        <v>chr4:5990869</v>
      </c>
      <c r="C311" s="0" t="s">
        <v>407</v>
      </c>
      <c r="D311" s="0" t="n">
        <v>5990869</v>
      </c>
      <c r="E311" s="0" t="n">
        <v>5990870</v>
      </c>
      <c r="F311" s="0" t="s">
        <v>1641</v>
      </c>
      <c r="G311" s="0" t="s">
        <v>190</v>
      </c>
      <c r="H311" s="0" t="s">
        <v>1888</v>
      </c>
      <c r="I311" s="0" t="s">
        <v>1772</v>
      </c>
      <c r="J311" s="0" t="s">
        <v>1889</v>
      </c>
      <c r="K311" s="0" t="s">
        <v>49</v>
      </c>
      <c r="L311" s="0" t="str">
        <f aca="false">HYPERLINK("https://www.ncbi.nlm.nih.gov/snp/rs143859826", "rs143859826")</f>
        <v>rs143859826</v>
      </c>
      <c r="M311" s="0" t="str">
        <f aca="false">HYPERLINK("https://www.genecards.org/Search/Keyword?queryString=%5Baliases%5D(%20C4orf50%20)%20OR%20%5Baliases%5D(%20FLJ46481%20)&amp;keywords=C4orf50,FLJ46481", "C4orf50;FLJ46481")</f>
        <v>C4orf50;FLJ46481</v>
      </c>
      <c r="N311" s="0" t="s">
        <v>428</v>
      </c>
      <c r="O311" s="0" t="s">
        <v>539</v>
      </c>
      <c r="P311" s="0" t="s">
        <v>1890</v>
      </c>
      <c r="Q311" s="0" t="n">
        <v>0.0107</v>
      </c>
      <c r="R311" s="0" t="n">
        <v>0.0016</v>
      </c>
      <c r="S311" s="0" t="n">
        <v>7.591E-005</v>
      </c>
      <c r="T311" s="0" t="n">
        <v>-1</v>
      </c>
      <c r="U311" s="0" t="n">
        <v>0.0002</v>
      </c>
      <c r="V311" s="0" t="s">
        <v>49</v>
      </c>
      <c r="W311" s="0" t="s">
        <v>49</v>
      </c>
      <c r="X311" s="0" t="s">
        <v>49</v>
      </c>
      <c r="Y311" s="0" t="s">
        <v>49</v>
      </c>
      <c r="Z311" s="0" t="s">
        <v>49</v>
      </c>
      <c r="AA311" s="0" t="s">
        <v>49</v>
      </c>
      <c r="AB311" s="0" t="s">
        <v>49</v>
      </c>
      <c r="AC311" s="0" t="s">
        <v>53</v>
      </c>
      <c r="AD311" s="0" t="s">
        <v>220</v>
      </c>
      <c r="AE311" s="0" t="s">
        <v>1891</v>
      </c>
      <c r="AF311" s="0" t="s">
        <v>1892</v>
      </c>
      <c r="AG311" s="0" t="s">
        <v>49</v>
      </c>
      <c r="AH311" s="0" t="s">
        <v>49</v>
      </c>
      <c r="AI311" s="0" t="s">
        <v>49</v>
      </c>
      <c r="AJ311" s="0" t="s">
        <v>49</v>
      </c>
      <c r="AK311" s="0" t="s">
        <v>49</v>
      </c>
      <c r="AL311" s="0" t="s">
        <v>49</v>
      </c>
    </row>
    <row r="312" customFormat="false" ht="15" hidden="false" customHeight="false" outlineLevel="0" collapsed="false">
      <c r="B312" s="0" t="str">
        <f aca="false">HYPERLINK("https://genome.ucsc.edu/cgi-bin/hgTracks?db=hg19&amp;position=chr4%3A17660190%2D17660190", "chr4:17660190")</f>
        <v>chr4:17660190</v>
      </c>
      <c r="C312" s="0" t="s">
        <v>407</v>
      </c>
      <c r="D312" s="0" t="n">
        <v>17660190</v>
      </c>
      <c r="E312" s="0" t="n">
        <v>17660190</v>
      </c>
      <c r="F312" s="0" t="s">
        <v>60</v>
      </c>
      <c r="G312" s="0" t="s">
        <v>40</v>
      </c>
      <c r="H312" s="0" t="s">
        <v>1893</v>
      </c>
      <c r="I312" s="0" t="s">
        <v>193</v>
      </c>
      <c r="J312" s="0" t="s">
        <v>1894</v>
      </c>
      <c r="K312" s="0" t="s">
        <v>49</v>
      </c>
      <c r="L312" s="0" t="s">
        <v>49</v>
      </c>
      <c r="M312" s="0" t="str">
        <f aca="false">HYPERLINK("https://www.genecards.org/Search/Keyword?queryString=%5Baliases%5D(%20FAM184B%20)&amp;keywords=FAM184B", "FAM184B")</f>
        <v>FAM184B</v>
      </c>
      <c r="N312" s="0" t="s">
        <v>510</v>
      </c>
      <c r="O312" s="0" t="s">
        <v>49</v>
      </c>
      <c r="P312" s="0" t="s">
        <v>49</v>
      </c>
      <c r="Q312" s="0" t="n">
        <v>-1</v>
      </c>
      <c r="R312" s="0" t="n">
        <v>-1</v>
      </c>
      <c r="S312" s="0" t="n">
        <v>-1</v>
      </c>
      <c r="T312" s="0" t="n">
        <v>-1</v>
      </c>
      <c r="U312" s="0" t="n">
        <v>-1</v>
      </c>
      <c r="V312" s="0" t="s">
        <v>49</v>
      </c>
      <c r="W312" s="0" t="s">
        <v>333</v>
      </c>
      <c r="X312" s="0" t="s">
        <v>517</v>
      </c>
      <c r="Y312" s="0" t="s">
        <v>390</v>
      </c>
      <c r="Z312" s="0" t="s">
        <v>49</v>
      </c>
      <c r="AA312" s="0" t="s">
        <v>49</v>
      </c>
      <c r="AB312" s="0" t="s">
        <v>49</v>
      </c>
      <c r="AC312" s="0" t="s">
        <v>53</v>
      </c>
      <c r="AD312" s="0" t="s">
        <v>54</v>
      </c>
      <c r="AE312" s="0" t="s">
        <v>49</v>
      </c>
      <c r="AF312" s="0" t="s">
        <v>1895</v>
      </c>
      <c r="AG312" s="0" t="s">
        <v>49</v>
      </c>
      <c r="AH312" s="0" t="s">
        <v>49</v>
      </c>
      <c r="AI312" s="0" t="s">
        <v>49</v>
      </c>
      <c r="AJ312" s="0" t="s">
        <v>49</v>
      </c>
      <c r="AK312" s="0" t="s">
        <v>49</v>
      </c>
      <c r="AL312" s="0" t="s">
        <v>49</v>
      </c>
    </row>
    <row r="313" customFormat="false" ht="15" hidden="false" customHeight="false" outlineLevel="0" collapsed="false">
      <c r="B313" s="0" t="str">
        <f aca="false">HYPERLINK("https://genome.ucsc.edu/cgi-bin/hgTracks?db=hg19&amp;position=chr4%3A25777756%2D25777756", "chr4:25777756")</f>
        <v>chr4:25777756</v>
      </c>
      <c r="C313" s="0" t="s">
        <v>407</v>
      </c>
      <c r="D313" s="0" t="n">
        <v>25777756</v>
      </c>
      <c r="E313" s="0" t="n">
        <v>25777756</v>
      </c>
      <c r="F313" s="0" t="s">
        <v>60</v>
      </c>
      <c r="G313" s="0" t="s">
        <v>39</v>
      </c>
      <c r="H313" s="0" t="s">
        <v>672</v>
      </c>
      <c r="I313" s="0" t="s">
        <v>1896</v>
      </c>
      <c r="J313" s="0" t="s">
        <v>1897</v>
      </c>
      <c r="K313" s="0" t="s">
        <v>49</v>
      </c>
      <c r="L313" s="0" t="str">
        <f aca="false">HYPERLINK("https://www.ncbi.nlm.nih.gov/snp/rs143873073", "rs143873073")</f>
        <v>rs143873073</v>
      </c>
      <c r="M313" s="0" t="str">
        <f aca="false">HYPERLINK("https://www.genecards.org/Search/Keyword?queryString=%5Baliases%5D(%20SEL1L3%20)&amp;keywords=SEL1L3", "SEL1L3")</f>
        <v>SEL1L3</v>
      </c>
      <c r="N313" s="0" t="s">
        <v>510</v>
      </c>
      <c r="O313" s="0" t="s">
        <v>49</v>
      </c>
      <c r="P313" s="0" t="s">
        <v>49</v>
      </c>
      <c r="Q313" s="0" t="n">
        <v>0.0098</v>
      </c>
      <c r="R313" s="0" t="n">
        <v>0.0039</v>
      </c>
      <c r="S313" s="0" t="n">
        <v>0.0041</v>
      </c>
      <c r="T313" s="0" t="n">
        <v>-1</v>
      </c>
      <c r="U313" s="0" t="n">
        <v>0.0045</v>
      </c>
      <c r="V313" s="0" t="s">
        <v>49</v>
      </c>
      <c r="W313" s="0" t="s">
        <v>49</v>
      </c>
      <c r="X313" s="0" t="s">
        <v>517</v>
      </c>
      <c r="Y313" s="0" t="s">
        <v>219</v>
      </c>
      <c r="Z313" s="0" t="s">
        <v>49</v>
      </c>
      <c r="AA313" s="0" t="s">
        <v>49</v>
      </c>
      <c r="AB313" s="0" t="s">
        <v>49</v>
      </c>
      <c r="AC313" s="0" t="s">
        <v>53</v>
      </c>
      <c r="AD313" s="0" t="s">
        <v>54</v>
      </c>
      <c r="AE313" s="0" t="s">
        <v>1898</v>
      </c>
      <c r="AF313" s="0" t="s">
        <v>1899</v>
      </c>
      <c r="AG313" s="0" t="s">
        <v>49</v>
      </c>
      <c r="AH313" s="0" t="s">
        <v>49</v>
      </c>
      <c r="AI313" s="0" t="s">
        <v>49</v>
      </c>
      <c r="AJ313" s="0" t="s">
        <v>49</v>
      </c>
      <c r="AK313" s="0" t="s">
        <v>49</v>
      </c>
      <c r="AL313" s="0" t="s">
        <v>49</v>
      </c>
    </row>
    <row r="314" customFormat="false" ht="15" hidden="false" customHeight="false" outlineLevel="0" collapsed="false">
      <c r="B314" s="0" t="str">
        <f aca="false">HYPERLINK("https://genome.ucsc.edu/cgi-bin/hgTracks?db=hg19&amp;position=chr4%3A88585219%2D88585219", "chr4:88585219")</f>
        <v>chr4:88585219</v>
      </c>
      <c r="C314" s="0" t="s">
        <v>407</v>
      </c>
      <c r="D314" s="0" t="n">
        <v>88585219</v>
      </c>
      <c r="E314" s="0" t="n">
        <v>88585219</v>
      </c>
      <c r="F314" s="0" t="s">
        <v>40</v>
      </c>
      <c r="G314" s="0" t="s">
        <v>190</v>
      </c>
      <c r="H314" s="0" t="s">
        <v>1900</v>
      </c>
      <c r="I314" s="0" t="s">
        <v>1467</v>
      </c>
      <c r="J314" s="0" t="s">
        <v>1901</v>
      </c>
      <c r="K314" s="0" t="s">
        <v>49</v>
      </c>
      <c r="L314" s="0" t="s">
        <v>49</v>
      </c>
      <c r="M314" s="0" t="str">
        <f aca="false">HYPERLINK("https://www.genecards.org/Search/Keyword?queryString=%5Baliases%5D(%20DMP1%20)&amp;keywords=DMP1", "DMP1")</f>
        <v>DMP1</v>
      </c>
      <c r="N314" s="0" t="s">
        <v>229</v>
      </c>
      <c r="O314" s="0" t="s">
        <v>49</v>
      </c>
      <c r="P314" s="0" t="s">
        <v>1902</v>
      </c>
      <c r="Q314" s="0" t="n">
        <v>-1</v>
      </c>
      <c r="R314" s="0" t="n">
        <v>-1</v>
      </c>
      <c r="S314" s="0" t="n">
        <v>-1</v>
      </c>
      <c r="T314" s="0" t="n">
        <v>-1</v>
      </c>
      <c r="U314" s="0" t="n">
        <v>-1</v>
      </c>
      <c r="V314" s="0" t="s">
        <v>49</v>
      </c>
      <c r="W314" s="0" t="s">
        <v>49</v>
      </c>
      <c r="X314" s="0" t="s">
        <v>49</v>
      </c>
      <c r="Y314" s="0" t="s">
        <v>49</v>
      </c>
      <c r="Z314" s="0" t="s">
        <v>49</v>
      </c>
      <c r="AA314" s="0" t="s">
        <v>49</v>
      </c>
      <c r="AB314" s="0" t="s">
        <v>49</v>
      </c>
      <c r="AC314" s="0" t="s">
        <v>231</v>
      </c>
      <c r="AD314" s="0" t="s">
        <v>54</v>
      </c>
      <c r="AE314" s="0" t="s">
        <v>1903</v>
      </c>
      <c r="AF314" s="0" t="s">
        <v>1904</v>
      </c>
      <c r="AG314" s="0" t="s">
        <v>1905</v>
      </c>
      <c r="AH314" s="0" t="s">
        <v>1906</v>
      </c>
      <c r="AI314" s="0" t="s">
        <v>49</v>
      </c>
      <c r="AJ314" s="0" t="s">
        <v>49</v>
      </c>
      <c r="AK314" s="0" t="s">
        <v>49</v>
      </c>
      <c r="AL314" s="0" t="s">
        <v>49</v>
      </c>
    </row>
    <row r="315" customFormat="false" ht="15" hidden="false" customHeight="false" outlineLevel="0" collapsed="false">
      <c r="B315" s="0" t="str">
        <f aca="false">HYPERLINK("https://genome.ucsc.edu/cgi-bin/hgTracks?db=hg19&amp;position=chr4%3A100349793%2D100349793", "chr4:100349793")</f>
        <v>chr4:100349793</v>
      </c>
      <c r="C315" s="0" t="s">
        <v>407</v>
      </c>
      <c r="D315" s="0" t="n">
        <v>100349793</v>
      </c>
      <c r="E315" s="0" t="n">
        <v>100349793</v>
      </c>
      <c r="F315" s="0" t="s">
        <v>40</v>
      </c>
      <c r="G315" s="0" t="s">
        <v>39</v>
      </c>
      <c r="H315" s="0" t="s">
        <v>1907</v>
      </c>
      <c r="I315" s="0" t="s">
        <v>616</v>
      </c>
      <c r="J315" s="0" t="s">
        <v>1908</v>
      </c>
      <c r="K315" s="0" t="s">
        <v>49</v>
      </c>
      <c r="L315" s="0" t="str">
        <f aca="false">HYPERLINK("https://www.ncbi.nlm.nih.gov/snp/rs72681953", "rs72681953")</f>
        <v>rs72681953</v>
      </c>
      <c r="M315" s="0" t="str">
        <f aca="false">HYPERLINK("https://www.genecards.org/Search/Keyword?queryString=%5Baliases%5D(%20ADH7%20)&amp;keywords=ADH7", "ADH7")</f>
        <v>ADH7</v>
      </c>
      <c r="N315" s="0" t="s">
        <v>510</v>
      </c>
      <c r="O315" s="0" t="s">
        <v>49</v>
      </c>
      <c r="P315" s="0" t="s">
        <v>49</v>
      </c>
      <c r="Q315" s="0" t="n">
        <v>0.0276</v>
      </c>
      <c r="R315" s="0" t="n">
        <v>0.0199</v>
      </c>
      <c r="S315" s="0" t="n">
        <v>0.0192</v>
      </c>
      <c r="T315" s="0" t="n">
        <v>-1</v>
      </c>
      <c r="U315" s="0" t="n">
        <v>0.0203</v>
      </c>
      <c r="V315" s="0" t="s">
        <v>49</v>
      </c>
      <c r="W315" s="0" t="s">
        <v>333</v>
      </c>
      <c r="X315" s="0" t="s">
        <v>218</v>
      </c>
      <c r="Y315" s="0" t="s">
        <v>390</v>
      </c>
      <c r="Z315" s="0" t="s">
        <v>49</v>
      </c>
      <c r="AA315" s="0" t="s">
        <v>49</v>
      </c>
      <c r="AB315" s="0" t="s">
        <v>49</v>
      </c>
      <c r="AC315" s="0" t="s">
        <v>53</v>
      </c>
      <c r="AD315" s="0" t="s">
        <v>54</v>
      </c>
      <c r="AE315" s="0" t="s">
        <v>1909</v>
      </c>
      <c r="AF315" s="0" t="s">
        <v>1910</v>
      </c>
      <c r="AG315" s="0" t="s">
        <v>1911</v>
      </c>
      <c r="AH315" s="0" t="s">
        <v>49</v>
      </c>
      <c r="AI315" s="0" t="s">
        <v>49</v>
      </c>
      <c r="AJ315" s="0" t="s">
        <v>49</v>
      </c>
      <c r="AK315" s="0" t="s">
        <v>49</v>
      </c>
      <c r="AL315" s="0" t="s">
        <v>49</v>
      </c>
    </row>
    <row r="316" customFormat="false" ht="15" hidden="false" customHeight="false" outlineLevel="0" collapsed="false">
      <c r="B316" s="0" t="str">
        <f aca="false">HYPERLINK("https://genome.ucsc.edu/cgi-bin/hgTracks?db=hg19&amp;position=chr4%3A100521604%2D100521604", "chr4:100521604")</f>
        <v>chr4:100521604</v>
      </c>
      <c r="C316" s="0" t="s">
        <v>407</v>
      </c>
      <c r="D316" s="0" t="n">
        <v>100521604</v>
      </c>
      <c r="E316" s="0" t="n">
        <v>100521604</v>
      </c>
      <c r="F316" s="0" t="s">
        <v>190</v>
      </c>
      <c r="G316" s="0" t="s">
        <v>61</v>
      </c>
      <c r="H316" s="0" t="s">
        <v>1912</v>
      </c>
      <c r="I316" s="0" t="s">
        <v>816</v>
      </c>
      <c r="J316" s="0" t="s">
        <v>1866</v>
      </c>
      <c r="K316" s="0" t="s">
        <v>49</v>
      </c>
      <c r="L316" s="0" t="str">
        <f aca="false">HYPERLINK("https://www.ncbi.nlm.nih.gov/snp/rs879171796", "rs879171796")</f>
        <v>rs879171796</v>
      </c>
      <c r="M316" s="0" t="str">
        <f aca="false">HYPERLINK("https://www.genecards.org/Search/Keyword?queryString=%5Baliases%5D(%20MTTP%20)&amp;keywords=MTTP", "MTTP")</f>
        <v>MTTP</v>
      </c>
      <c r="N316" s="0" t="s">
        <v>283</v>
      </c>
      <c r="O316" s="0" t="s">
        <v>49</v>
      </c>
      <c r="P316" s="0" t="s">
        <v>49</v>
      </c>
      <c r="Q316" s="0" t="n">
        <v>0.0286</v>
      </c>
      <c r="R316" s="0" t="n">
        <v>0.0258</v>
      </c>
      <c r="S316" s="0" t="n">
        <v>0.0241</v>
      </c>
      <c r="T316" s="0" t="n">
        <v>-1</v>
      </c>
      <c r="U316" s="0" t="n">
        <v>0.031</v>
      </c>
      <c r="V316" s="0" t="s">
        <v>49</v>
      </c>
      <c r="W316" s="0" t="s">
        <v>49</v>
      </c>
      <c r="X316" s="0" t="s">
        <v>49</v>
      </c>
      <c r="Y316" s="0" t="s">
        <v>49</v>
      </c>
      <c r="Z316" s="0" t="s">
        <v>49</v>
      </c>
      <c r="AA316" s="0" t="s">
        <v>49</v>
      </c>
      <c r="AB316" s="0" t="s">
        <v>49</v>
      </c>
      <c r="AC316" s="0" t="s">
        <v>53</v>
      </c>
      <c r="AD316" s="0" t="s">
        <v>54</v>
      </c>
      <c r="AE316" s="0" t="s">
        <v>1913</v>
      </c>
      <c r="AF316" s="0" t="s">
        <v>1914</v>
      </c>
      <c r="AG316" s="0" t="s">
        <v>1915</v>
      </c>
      <c r="AH316" s="0" t="s">
        <v>1916</v>
      </c>
      <c r="AI316" s="0" t="s">
        <v>49</v>
      </c>
      <c r="AJ316" s="0" t="s">
        <v>49</v>
      </c>
      <c r="AK316" s="0" t="s">
        <v>49</v>
      </c>
      <c r="AL316" s="0" t="s">
        <v>49</v>
      </c>
    </row>
    <row r="317" customFormat="false" ht="15" hidden="false" customHeight="false" outlineLevel="0" collapsed="false">
      <c r="B317" s="0" t="str">
        <f aca="false">HYPERLINK("https://genome.ucsc.edu/cgi-bin/hgTracks?db=hg19&amp;position=chr4%3A102946733%2D102946733", "chr4:102946733")</f>
        <v>chr4:102946733</v>
      </c>
      <c r="C317" s="0" t="s">
        <v>407</v>
      </c>
      <c r="D317" s="0" t="n">
        <v>102946733</v>
      </c>
      <c r="E317" s="0" t="n">
        <v>102946733</v>
      </c>
      <c r="F317" s="0" t="s">
        <v>61</v>
      </c>
      <c r="G317" s="0" t="s">
        <v>60</v>
      </c>
      <c r="H317" s="0" t="s">
        <v>1710</v>
      </c>
      <c r="I317" s="0" t="s">
        <v>227</v>
      </c>
      <c r="J317" s="0" t="s">
        <v>1917</v>
      </c>
      <c r="K317" s="0" t="s">
        <v>49</v>
      </c>
      <c r="L317" s="0" t="str">
        <f aca="false">HYPERLINK("https://www.ncbi.nlm.nih.gov/snp/rs112409728", "rs112409728")</f>
        <v>rs112409728</v>
      </c>
      <c r="M317" s="0" t="str">
        <f aca="false">HYPERLINK("https://www.genecards.org/Search/Keyword?queryString=%5Baliases%5D(%20BANK1%20)&amp;keywords=BANK1", "BANK1")</f>
        <v>BANK1</v>
      </c>
      <c r="N317" s="0" t="s">
        <v>283</v>
      </c>
      <c r="O317" s="0" t="s">
        <v>49</v>
      </c>
      <c r="P317" s="0" t="s">
        <v>49</v>
      </c>
      <c r="Q317" s="0" t="n">
        <v>0.019492</v>
      </c>
      <c r="R317" s="0" t="n">
        <v>0.0185</v>
      </c>
      <c r="S317" s="0" t="n">
        <v>0.0199</v>
      </c>
      <c r="T317" s="0" t="n">
        <v>-1</v>
      </c>
      <c r="U317" s="0" t="n">
        <v>0.0121</v>
      </c>
      <c r="V317" s="0" t="s">
        <v>49</v>
      </c>
      <c r="W317" s="0" t="s">
        <v>49</v>
      </c>
      <c r="X317" s="0" t="s">
        <v>333</v>
      </c>
      <c r="Y317" s="0" t="s">
        <v>219</v>
      </c>
      <c r="Z317" s="0" t="s">
        <v>49</v>
      </c>
      <c r="AA317" s="0" t="s">
        <v>49</v>
      </c>
      <c r="AB317" s="0" t="s">
        <v>49</v>
      </c>
      <c r="AC317" s="0" t="s">
        <v>53</v>
      </c>
      <c r="AD317" s="0" t="s">
        <v>54</v>
      </c>
      <c r="AE317" s="0" t="s">
        <v>1918</v>
      </c>
      <c r="AF317" s="0" t="s">
        <v>1919</v>
      </c>
      <c r="AG317" s="0" t="s">
        <v>1920</v>
      </c>
      <c r="AH317" s="0" t="s">
        <v>1921</v>
      </c>
      <c r="AI317" s="0" t="s">
        <v>49</v>
      </c>
      <c r="AJ317" s="0" t="s">
        <v>49</v>
      </c>
      <c r="AK317" s="0" t="s">
        <v>49</v>
      </c>
      <c r="AL317" s="0" t="s">
        <v>49</v>
      </c>
    </row>
    <row r="318" customFormat="false" ht="15" hidden="false" customHeight="false" outlineLevel="0" collapsed="false">
      <c r="B318" s="0" t="str">
        <f aca="false">HYPERLINK("https://genome.ucsc.edu/cgi-bin/hgTracks?db=hg19&amp;position=chr4%3A103826631%2D103826631", "chr4:103826631")</f>
        <v>chr4:103826631</v>
      </c>
      <c r="C318" s="0" t="s">
        <v>407</v>
      </c>
      <c r="D318" s="0" t="n">
        <v>103826631</v>
      </c>
      <c r="E318" s="0" t="n">
        <v>103826631</v>
      </c>
      <c r="F318" s="0" t="s">
        <v>61</v>
      </c>
      <c r="G318" s="0" t="s">
        <v>40</v>
      </c>
      <c r="H318" s="0" t="s">
        <v>1922</v>
      </c>
      <c r="I318" s="0" t="s">
        <v>1124</v>
      </c>
      <c r="J318" s="0" t="s">
        <v>1923</v>
      </c>
      <c r="K318" s="0" t="s">
        <v>49</v>
      </c>
      <c r="L318" s="0" t="s">
        <v>49</v>
      </c>
      <c r="M318" s="0" t="str">
        <f aca="false">HYPERLINK("https://www.genecards.org/Search/Keyword?queryString=%5Baliases%5D(%20SLC9B1%20)&amp;keywords=SLC9B1", "SLC9B1")</f>
        <v>SLC9B1</v>
      </c>
      <c r="N318" s="0" t="s">
        <v>510</v>
      </c>
      <c r="O318" s="0" t="s">
        <v>49</v>
      </c>
      <c r="P318" s="0" t="s">
        <v>49</v>
      </c>
      <c r="Q318" s="0" t="n">
        <v>0.0141</v>
      </c>
      <c r="R318" s="0" t="n">
        <v>0.0007</v>
      </c>
      <c r="S318" s="0" t="n">
        <v>0.0007</v>
      </c>
      <c r="T318" s="0" t="n">
        <v>-1</v>
      </c>
      <c r="U318" s="0" t="n">
        <v>-1</v>
      </c>
      <c r="V318" s="0" t="s">
        <v>49</v>
      </c>
      <c r="W318" s="0" t="s">
        <v>49</v>
      </c>
      <c r="X318" s="0" t="s">
        <v>333</v>
      </c>
      <c r="Y318" s="0" t="s">
        <v>219</v>
      </c>
      <c r="Z318" s="0" t="s">
        <v>49</v>
      </c>
      <c r="AA318" s="0" t="s">
        <v>49</v>
      </c>
      <c r="AB318" s="0" t="s">
        <v>49</v>
      </c>
      <c r="AC318" s="0" t="s">
        <v>53</v>
      </c>
      <c r="AD318" s="0" t="s">
        <v>209</v>
      </c>
      <c r="AE318" s="0" t="s">
        <v>411</v>
      </c>
      <c r="AF318" s="0" t="s">
        <v>412</v>
      </c>
      <c r="AG318" s="0" t="s">
        <v>49</v>
      </c>
      <c r="AH318" s="0" t="s">
        <v>49</v>
      </c>
      <c r="AI318" s="0" t="s">
        <v>49</v>
      </c>
      <c r="AJ318" s="0" t="s">
        <v>49</v>
      </c>
      <c r="AK318" s="0" t="s">
        <v>49</v>
      </c>
      <c r="AL318" s="0" t="s">
        <v>120</v>
      </c>
    </row>
    <row r="319" customFormat="false" ht="15" hidden="false" customHeight="false" outlineLevel="0" collapsed="false">
      <c r="B319" s="0" t="str">
        <f aca="false">HYPERLINK("https://genome.ucsc.edu/cgi-bin/hgTracks?db=hg19&amp;position=chr4%3A106621246%2D106621246", "chr4:106621246")</f>
        <v>chr4:106621246</v>
      </c>
      <c r="C319" s="0" t="s">
        <v>407</v>
      </c>
      <c r="D319" s="0" t="n">
        <v>106621246</v>
      </c>
      <c r="E319" s="0" t="n">
        <v>106621246</v>
      </c>
      <c r="F319" s="0" t="s">
        <v>40</v>
      </c>
      <c r="G319" s="0" t="s">
        <v>39</v>
      </c>
      <c r="H319" s="0" t="s">
        <v>1924</v>
      </c>
      <c r="I319" s="0" t="s">
        <v>1675</v>
      </c>
      <c r="J319" s="0" t="s">
        <v>1925</v>
      </c>
      <c r="K319" s="0" t="s">
        <v>49</v>
      </c>
      <c r="L319" s="0" t="str">
        <f aca="false">HYPERLINK("https://www.ncbi.nlm.nih.gov/snp/rs545806515", "rs545806515")</f>
        <v>rs545806515</v>
      </c>
      <c r="M319" s="0" t="str">
        <f aca="false">HYPERLINK("https://www.genecards.org/Search/Keyword?queryString=%5Baliases%5D(%20INTS12%20)&amp;keywords=INTS12", "INTS12")</f>
        <v>INTS12</v>
      </c>
      <c r="N319" s="0" t="s">
        <v>510</v>
      </c>
      <c r="O319" s="0" t="s">
        <v>49</v>
      </c>
      <c r="P319" s="0" t="s">
        <v>49</v>
      </c>
      <c r="Q319" s="0" t="n">
        <v>0.0034</v>
      </c>
      <c r="R319" s="0" t="n">
        <v>0.0025</v>
      </c>
      <c r="S319" s="0" t="n">
        <v>0.0014</v>
      </c>
      <c r="T319" s="0" t="n">
        <v>-1</v>
      </c>
      <c r="U319" s="0" t="n">
        <v>0.0008</v>
      </c>
      <c r="V319" s="0" t="s">
        <v>49</v>
      </c>
      <c r="W319" s="0" t="s">
        <v>49</v>
      </c>
      <c r="X319" s="0" t="s">
        <v>517</v>
      </c>
      <c r="Y319" s="0" t="s">
        <v>219</v>
      </c>
      <c r="Z319" s="0" t="s">
        <v>49</v>
      </c>
      <c r="AA319" s="0" t="s">
        <v>49</v>
      </c>
      <c r="AB319" s="0" t="s">
        <v>49</v>
      </c>
      <c r="AC319" s="0" t="s">
        <v>53</v>
      </c>
      <c r="AD319" s="0" t="s">
        <v>54</v>
      </c>
      <c r="AE319" s="0" t="s">
        <v>1926</v>
      </c>
      <c r="AF319" s="0" t="s">
        <v>1927</v>
      </c>
      <c r="AG319" s="0" t="s">
        <v>1928</v>
      </c>
      <c r="AH319" s="0" t="s">
        <v>49</v>
      </c>
      <c r="AI319" s="0" t="s">
        <v>49</v>
      </c>
      <c r="AJ319" s="0" t="s">
        <v>49</v>
      </c>
      <c r="AK319" s="0" t="s">
        <v>49</v>
      </c>
      <c r="AL319" s="0" t="s">
        <v>49</v>
      </c>
    </row>
    <row r="320" customFormat="false" ht="15" hidden="false" customHeight="false" outlineLevel="0" collapsed="false">
      <c r="B320" s="0" t="str">
        <f aca="false">HYPERLINK("https://genome.ucsc.edu/cgi-bin/hgTracks?db=hg19&amp;position=chr4%3A159754866%2D159754866", "chr4:159754866")</f>
        <v>chr4:159754866</v>
      </c>
      <c r="C320" s="0" t="s">
        <v>407</v>
      </c>
      <c r="D320" s="0" t="n">
        <v>159754866</v>
      </c>
      <c r="E320" s="0" t="n">
        <v>159754866</v>
      </c>
      <c r="F320" s="0" t="s">
        <v>40</v>
      </c>
      <c r="G320" s="0" t="s">
        <v>190</v>
      </c>
      <c r="H320" s="0" t="s">
        <v>1929</v>
      </c>
      <c r="I320" s="0" t="s">
        <v>214</v>
      </c>
      <c r="J320" s="0" t="s">
        <v>1930</v>
      </c>
      <c r="K320" s="0" t="s">
        <v>49</v>
      </c>
      <c r="L320" s="0" t="str">
        <f aca="false">HYPERLINK("https://www.ncbi.nlm.nih.gov/snp/rs774350247", "rs774350247")</f>
        <v>rs774350247</v>
      </c>
      <c r="M320" s="0" t="str">
        <f aca="false">HYPERLINK("https://www.genecards.org/Search/Keyword?queryString=%5Baliases%5D(%20FNIP2%20)&amp;keywords=FNIP2", "FNIP2")</f>
        <v>FNIP2</v>
      </c>
      <c r="N320" s="0" t="s">
        <v>549</v>
      </c>
      <c r="O320" s="0" t="s">
        <v>539</v>
      </c>
      <c r="P320" s="0" t="s">
        <v>1931</v>
      </c>
      <c r="Q320" s="0" t="n">
        <v>0.014</v>
      </c>
      <c r="R320" s="0" t="n">
        <v>0.0047</v>
      </c>
      <c r="S320" s="0" t="n">
        <v>0.0028</v>
      </c>
      <c r="T320" s="0" t="n">
        <v>-1</v>
      </c>
      <c r="U320" s="0" t="n">
        <v>0.0161</v>
      </c>
      <c r="V320" s="0" t="s">
        <v>49</v>
      </c>
      <c r="W320" s="0" t="s">
        <v>49</v>
      </c>
      <c r="X320" s="0" t="s">
        <v>49</v>
      </c>
      <c r="Y320" s="0" t="s">
        <v>49</v>
      </c>
      <c r="Z320" s="0" t="s">
        <v>49</v>
      </c>
      <c r="AA320" s="0" t="s">
        <v>49</v>
      </c>
      <c r="AB320" s="0" t="s">
        <v>49</v>
      </c>
      <c r="AC320" s="0" t="s">
        <v>53</v>
      </c>
      <c r="AD320" s="0" t="s">
        <v>54</v>
      </c>
      <c r="AE320" s="0" t="s">
        <v>1932</v>
      </c>
      <c r="AF320" s="0" t="s">
        <v>1933</v>
      </c>
      <c r="AG320" s="0" t="s">
        <v>1934</v>
      </c>
      <c r="AH320" s="0" t="s">
        <v>49</v>
      </c>
      <c r="AI320" s="0" t="s">
        <v>49</v>
      </c>
      <c r="AJ320" s="0" t="s">
        <v>49</v>
      </c>
      <c r="AK320" s="0" t="s">
        <v>49</v>
      </c>
      <c r="AL320" s="0" t="s">
        <v>49</v>
      </c>
    </row>
    <row r="321" customFormat="false" ht="15" hidden="false" customHeight="false" outlineLevel="0" collapsed="false">
      <c r="B321" s="0" t="str">
        <f aca="false">HYPERLINK("https://genome.ucsc.edu/cgi-bin/hgTracks?db=hg19&amp;position=chr5%3A13866061%2D13866061", "chr5:13866061")</f>
        <v>chr5:13866061</v>
      </c>
      <c r="C321" s="0" t="s">
        <v>155</v>
      </c>
      <c r="D321" s="0" t="n">
        <v>13866061</v>
      </c>
      <c r="E321" s="0" t="n">
        <v>13866061</v>
      </c>
      <c r="F321" s="0" t="s">
        <v>61</v>
      </c>
      <c r="G321" s="0" t="s">
        <v>60</v>
      </c>
      <c r="H321" s="0" t="s">
        <v>1935</v>
      </c>
      <c r="I321" s="0" t="s">
        <v>1936</v>
      </c>
      <c r="J321" s="0" t="s">
        <v>1937</v>
      </c>
      <c r="K321" s="0" t="s">
        <v>49</v>
      </c>
      <c r="L321" s="0" t="str">
        <f aca="false">HYPERLINK("https://www.ncbi.nlm.nih.gov/snp/rs200088015", "rs200088015")</f>
        <v>rs200088015</v>
      </c>
      <c r="M321" s="0" t="str">
        <f aca="false">HYPERLINK("https://www.genecards.org/Search/Keyword?queryString=%5Baliases%5D(%20DNAH5%20)&amp;keywords=DNAH5", "DNAH5")</f>
        <v>DNAH5</v>
      </c>
      <c r="N321" s="0" t="s">
        <v>283</v>
      </c>
      <c r="O321" s="0" t="s">
        <v>49</v>
      </c>
      <c r="P321" s="0" t="s">
        <v>49</v>
      </c>
      <c r="Q321" s="0" t="n">
        <v>0.0049</v>
      </c>
      <c r="R321" s="0" t="n">
        <v>0.0064</v>
      </c>
      <c r="S321" s="0" t="n">
        <v>0.0052</v>
      </c>
      <c r="T321" s="0" t="n">
        <v>-1</v>
      </c>
      <c r="U321" s="0" t="n">
        <v>0.0114</v>
      </c>
      <c r="V321" s="0" t="s">
        <v>49</v>
      </c>
      <c r="W321" s="0" t="s">
        <v>49</v>
      </c>
      <c r="X321" s="0" t="s">
        <v>218</v>
      </c>
      <c r="Y321" s="0" t="s">
        <v>219</v>
      </c>
      <c r="Z321" s="0" t="s">
        <v>49</v>
      </c>
      <c r="AA321" s="0" t="s">
        <v>49</v>
      </c>
      <c r="AB321" s="0" t="s">
        <v>49</v>
      </c>
      <c r="AC321" s="0" t="s">
        <v>53</v>
      </c>
      <c r="AD321" s="0" t="s">
        <v>209</v>
      </c>
      <c r="AE321" s="0" t="s">
        <v>1938</v>
      </c>
      <c r="AF321" s="0" t="s">
        <v>1939</v>
      </c>
      <c r="AG321" s="0" t="s">
        <v>1940</v>
      </c>
      <c r="AH321" s="0" t="s">
        <v>1941</v>
      </c>
      <c r="AI321" s="0" t="s">
        <v>49</v>
      </c>
      <c r="AJ321" s="0" t="s">
        <v>49</v>
      </c>
      <c r="AK321" s="0" t="s">
        <v>49</v>
      </c>
      <c r="AL321" s="0" t="s">
        <v>49</v>
      </c>
    </row>
    <row r="322" customFormat="false" ht="15" hidden="false" customHeight="false" outlineLevel="0" collapsed="false">
      <c r="B322" s="0" t="str">
        <f aca="false">HYPERLINK("https://genome.ucsc.edu/cgi-bin/hgTracks?db=hg19&amp;position=chr5%3A13886246%2D13886246", "chr5:13886246")</f>
        <v>chr5:13886246</v>
      </c>
      <c r="C322" s="0" t="s">
        <v>155</v>
      </c>
      <c r="D322" s="0" t="n">
        <v>13886246</v>
      </c>
      <c r="E322" s="0" t="n">
        <v>13886246</v>
      </c>
      <c r="F322" s="0" t="s">
        <v>61</v>
      </c>
      <c r="G322" s="0" t="s">
        <v>190</v>
      </c>
      <c r="H322" s="0" t="s">
        <v>1942</v>
      </c>
      <c r="I322" s="0" t="s">
        <v>1722</v>
      </c>
      <c r="J322" s="0" t="s">
        <v>1943</v>
      </c>
      <c r="K322" s="0" t="s">
        <v>49</v>
      </c>
      <c r="L322" s="0" t="s">
        <v>49</v>
      </c>
      <c r="M322" s="0" t="str">
        <f aca="false">HYPERLINK("https://www.genecards.org/Search/Keyword?queryString=%5Baliases%5D(%20DNAH5%20)&amp;keywords=DNAH5", "DNAH5")</f>
        <v>DNAH5</v>
      </c>
      <c r="N322" s="0" t="s">
        <v>283</v>
      </c>
      <c r="O322" s="0" t="s">
        <v>49</v>
      </c>
      <c r="P322" s="0" t="s">
        <v>49</v>
      </c>
      <c r="Q322" s="0" t="n">
        <v>-1</v>
      </c>
      <c r="R322" s="0" t="n">
        <v>-1</v>
      </c>
      <c r="S322" s="0" t="n">
        <v>-1</v>
      </c>
      <c r="T322" s="0" t="n">
        <v>-1</v>
      </c>
      <c r="U322" s="0" t="n">
        <v>-1</v>
      </c>
      <c r="V322" s="0" t="s">
        <v>49</v>
      </c>
      <c r="W322" s="0" t="s">
        <v>49</v>
      </c>
      <c r="X322" s="0" t="s">
        <v>49</v>
      </c>
      <c r="Y322" s="0" t="s">
        <v>49</v>
      </c>
      <c r="Z322" s="0" t="s">
        <v>49</v>
      </c>
      <c r="AA322" s="0" t="s">
        <v>49</v>
      </c>
      <c r="AB322" s="0" t="s">
        <v>49</v>
      </c>
      <c r="AC322" s="0" t="s">
        <v>231</v>
      </c>
      <c r="AD322" s="0" t="s">
        <v>209</v>
      </c>
      <c r="AE322" s="0" t="s">
        <v>1938</v>
      </c>
      <c r="AF322" s="0" t="s">
        <v>1939</v>
      </c>
      <c r="AG322" s="0" t="s">
        <v>1940</v>
      </c>
      <c r="AH322" s="0" t="s">
        <v>1941</v>
      </c>
      <c r="AI322" s="0" t="s">
        <v>49</v>
      </c>
      <c r="AJ322" s="0" t="s">
        <v>49</v>
      </c>
      <c r="AK322" s="0" t="s">
        <v>49</v>
      </c>
      <c r="AL322" s="0" t="s">
        <v>49</v>
      </c>
    </row>
    <row r="323" customFormat="false" ht="15" hidden="false" customHeight="false" outlineLevel="0" collapsed="false">
      <c r="B323" s="0" t="str">
        <f aca="false">HYPERLINK("https://genome.ucsc.edu/cgi-bin/hgTracks?db=hg19&amp;position=chr5%3A32404320%2D32404320", "chr5:32404320")</f>
        <v>chr5:32404320</v>
      </c>
      <c r="C323" s="0" t="s">
        <v>155</v>
      </c>
      <c r="D323" s="0" t="n">
        <v>32404320</v>
      </c>
      <c r="E323" s="0" t="n">
        <v>32404320</v>
      </c>
      <c r="F323" s="0" t="s">
        <v>61</v>
      </c>
      <c r="G323" s="0" t="s">
        <v>39</v>
      </c>
      <c r="H323" s="0" t="s">
        <v>1944</v>
      </c>
      <c r="I323" s="0" t="s">
        <v>854</v>
      </c>
      <c r="J323" s="0" t="s">
        <v>855</v>
      </c>
      <c r="K323" s="0" t="s">
        <v>49</v>
      </c>
      <c r="L323" s="0" t="str">
        <f aca="false">HYPERLINK("https://www.ncbi.nlm.nih.gov/snp/rs79275345", "rs79275345")</f>
        <v>rs79275345</v>
      </c>
      <c r="M323" s="0" t="str">
        <f aca="false">HYPERLINK("https://www.genecards.org/Search/Keyword?queryString=%5Baliases%5D(%20ZFR%20)&amp;keywords=ZFR", "ZFR")</f>
        <v>ZFR</v>
      </c>
      <c r="N323" s="0" t="s">
        <v>510</v>
      </c>
      <c r="O323" s="0" t="s">
        <v>49</v>
      </c>
      <c r="P323" s="0" t="s">
        <v>49</v>
      </c>
      <c r="Q323" s="0" t="n">
        <v>0.0248</v>
      </c>
      <c r="R323" s="0" t="n">
        <v>0.0247</v>
      </c>
      <c r="S323" s="0" t="n">
        <v>0.0229</v>
      </c>
      <c r="T323" s="0" t="n">
        <v>-1</v>
      </c>
      <c r="U323" s="0" t="n">
        <v>0.0217</v>
      </c>
      <c r="V323" s="0" t="s">
        <v>49</v>
      </c>
      <c r="W323" s="0" t="s">
        <v>49</v>
      </c>
      <c r="X323" s="0" t="s">
        <v>517</v>
      </c>
      <c r="Y323" s="0" t="s">
        <v>219</v>
      </c>
      <c r="Z323" s="0" t="s">
        <v>49</v>
      </c>
      <c r="AA323" s="0" t="s">
        <v>49</v>
      </c>
      <c r="AB323" s="0" t="s">
        <v>49</v>
      </c>
      <c r="AC323" s="0" t="s">
        <v>53</v>
      </c>
      <c r="AD323" s="0" t="s">
        <v>54</v>
      </c>
      <c r="AE323" s="0" t="s">
        <v>1945</v>
      </c>
      <c r="AF323" s="0" t="s">
        <v>1946</v>
      </c>
      <c r="AG323" s="0" t="s">
        <v>1947</v>
      </c>
      <c r="AH323" s="0" t="s">
        <v>49</v>
      </c>
      <c r="AI323" s="0" t="s">
        <v>49</v>
      </c>
      <c r="AJ323" s="0" t="s">
        <v>49</v>
      </c>
      <c r="AK323" s="0" t="s">
        <v>49</v>
      </c>
      <c r="AL323" s="0" t="s">
        <v>49</v>
      </c>
    </row>
    <row r="324" customFormat="false" ht="15" hidden="false" customHeight="false" outlineLevel="0" collapsed="false">
      <c r="B324" s="0" t="str">
        <f aca="false">HYPERLINK("https://genome.ucsc.edu/cgi-bin/hgTracks?db=hg19&amp;position=chr5%3A42467349%2D42467349", "chr5:42467349")</f>
        <v>chr5:42467349</v>
      </c>
      <c r="C324" s="0" t="s">
        <v>155</v>
      </c>
      <c r="D324" s="0" t="n">
        <v>42467349</v>
      </c>
      <c r="E324" s="0" t="n">
        <v>42467349</v>
      </c>
      <c r="F324" s="0" t="s">
        <v>60</v>
      </c>
      <c r="G324" s="0" t="s">
        <v>40</v>
      </c>
      <c r="H324" s="0" t="s">
        <v>1948</v>
      </c>
      <c r="I324" s="0" t="s">
        <v>346</v>
      </c>
      <c r="J324" s="0" t="s">
        <v>1949</v>
      </c>
      <c r="K324" s="0" t="s">
        <v>49</v>
      </c>
      <c r="L324" s="0" t="str">
        <f aca="false">HYPERLINK("https://www.ncbi.nlm.nih.gov/snp/rs141697102", "rs141697102")</f>
        <v>rs141697102</v>
      </c>
      <c r="M324" s="0" t="str">
        <f aca="false">HYPERLINK("https://www.genecards.org/Search/Keyword?queryString=%5Baliases%5D(%20GHR%20)&amp;keywords=GHR", "GHR")</f>
        <v>GHR</v>
      </c>
      <c r="N324" s="0" t="s">
        <v>300</v>
      </c>
      <c r="O324" s="0" t="s">
        <v>49</v>
      </c>
      <c r="P324" s="0" t="s">
        <v>49</v>
      </c>
      <c r="Q324" s="0" t="n">
        <v>0.0285</v>
      </c>
      <c r="R324" s="0" t="n">
        <v>0.0195</v>
      </c>
      <c r="S324" s="0" t="n">
        <v>0.0189</v>
      </c>
      <c r="T324" s="0" t="n">
        <v>-1</v>
      </c>
      <c r="U324" s="0" t="n">
        <v>0.0203</v>
      </c>
      <c r="V324" s="0" t="s">
        <v>49</v>
      </c>
      <c r="W324" s="0" t="s">
        <v>49</v>
      </c>
      <c r="X324" s="0" t="s">
        <v>49</v>
      </c>
      <c r="Y324" s="0" t="s">
        <v>49</v>
      </c>
      <c r="Z324" s="0" t="s">
        <v>49</v>
      </c>
      <c r="AA324" s="0" t="s">
        <v>49</v>
      </c>
      <c r="AB324" s="0" t="s">
        <v>49</v>
      </c>
      <c r="AC324" s="0" t="s">
        <v>53</v>
      </c>
      <c r="AD324" s="0" t="s">
        <v>54</v>
      </c>
      <c r="AE324" s="0" t="s">
        <v>1950</v>
      </c>
      <c r="AF324" s="0" t="s">
        <v>1951</v>
      </c>
      <c r="AG324" s="0" t="s">
        <v>1952</v>
      </c>
      <c r="AH324" s="0" t="s">
        <v>1953</v>
      </c>
      <c r="AI324" s="0" t="s">
        <v>49</v>
      </c>
      <c r="AJ324" s="0" t="s">
        <v>49</v>
      </c>
      <c r="AK324" s="0" t="s">
        <v>49</v>
      </c>
      <c r="AL324" s="0" t="s">
        <v>49</v>
      </c>
    </row>
    <row r="325" customFormat="false" ht="15" hidden="false" customHeight="false" outlineLevel="0" collapsed="false">
      <c r="B325" s="0" t="str">
        <f aca="false">HYPERLINK("https://genome.ucsc.edu/cgi-bin/hgTracks?db=hg19&amp;position=chr5%3A65088487%2D65088487", "chr5:65088487")</f>
        <v>chr5:65088487</v>
      </c>
      <c r="C325" s="0" t="s">
        <v>155</v>
      </c>
      <c r="D325" s="0" t="n">
        <v>65088487</v>
      </c>
      <c r="E325" s="0" t="n">
        <v>65088487</v>
      </c>
      <c r="F325" s="0" t="s">
        <v>190</v>
      </c>
      <c r="G325" s="0" t="s">
        <v>40</v>
      </c>
      <c r="H325" s="0" t="s">
        <v>1954</v>
      </c>
      <c r="I325" s="0" t="s">
        <v>145</v>
      </c>
      <c r="J325" s="0" t="s">
        <v>1955</v>
      </c>
      <c r="K325" s="0" t="s">
        <v>49</v>
      </c>
      <c r="L325" s="0" t="str">
        <f aca="false">HYPERLINK("https://www.ncbi.nlm.nih.gov/snp/rs766824315", "rs766824315")</f>
        <v>rs766824315</v>
      </c>
      <c r="M325" s="0" t="str">
        <f aca="false">HYPERLINK("https://www.genecards.org/Search/Keyword?queryString=%5Baliases%5D(%20NLN%20)&amp;keywords=NLN", "NLN")</f>
        <v>NLN</v>
      </c>
      <c r="N325" s="0" t="s">
        <v>549</v>
      </c>
      <c r="O325" s="0" t="s">
        <v>259</v>
      </c>
      <c r="P325" s="0" t="s">
        <v>1956</v>
      </c>
      <c r="Q325" s="0" t="n">
        <v>0.0049</v>
      </c>
      <c r="R325" s="0" t="n">
        <v>0.0027</v>
      </c>
      <c r="S325" s="0" t="n">
        <v>0.0039</v>
      </c>
      <c r="T325" s="0" t="n">
        <v>-1</v>
      </c>
      <c r="U325" s="0" t="n">
        <v>0.0093</v>
      </c>
      <c r="V325" s="0" t="s">
        <v>49</v>
      </c>
      <c r="W325" s="0" t="s">
        <v>49</v>
      </c>
      <c r="X325" s="0" t="s">
        <v>49</v>
      </c>
      <c r="Y325" s="0" t="s">
        <v>49</v>
      </c>
      <c r="Z325" s="0" t="s">
        <v>49</v>
      </c>
      <c r="AA325" s="0" t="s">
        <v>49</v>
      </c>
      <c r="AB325" s="0" t="s">
        <v>49</v>
      </c>
      <c r="AC325" s="0" t="s">
        <v>53</v>
      </c>
      <c r="AD325" s="0" t="s">
        <v>54</v>
      </c>
      <c r="AE325" s="0" t="s">
        <v>1957</v>
      </c>
      <c r="AF325" s="0" t="s">
        <v>1958</v>
      </c>
      <c r="AG325" s="0" t="s">
        <v>1959</v>
      </c>
      <c r="AH325" s="0" t="s">
        <v>49</v>
      </c>
      <c r="AI325" s="0" t="s">
        <v>49</v>
      </c>
      <c r="AJ325" s="0" t="s">
        <v>49</v>
      </c>
      <c r="AK325" s="0" t="s">
        <v>49</v>
      </c>
      <c r="AL325" s="0" t="s">
        <v>49</v>
      </c>
    </row>
    <row r="326" customFormat="false" ht="15" hidden="false" customHeight="false" outlineLevel="0" collapsed="false">
      <c r="B326" s="0" t="str">
        <f aca="false">HYPERLINK("https://genome.ucsc.edu/cgi-bin/hgTracks?db=hg19&amp;position=chr5%3A95757699%2D95757706", "chr5:95757699")</f>
        <v>chr5:95757699</v>
      </c>
      <c r="C326" s="0" t="s">
        <v>155</v>
      </c>
      <c r="D326" s="0" t="n">
        <v>95757699</v>
      </c>
      <c r="E326" s="0" t="n">
        <v>95757706</v>
      </c>
      <c r="F326" s="0" t="s">
        <v>1960</v>
      </c>
      <c r="G326" s="0" t="s">
        <v>190</v>
      </c>
      <c r="H326" s="0" t="s">
        <v>1961</v>
      </c>
      <c r="I326" s="0" t="s">
        <v>566</v>
      </c>
      <c r="J326" s="0" t="s">
        <v>1962</v>
      </c>
      <c r="K326" s="0" t="s">
        <v>49</v>
      </c>
      <c r="L326" s="0" t="s">
        <v>49</v>
      </c>
      <c r="M326" s="0" t="str">
        <f aca="false">HYPERLINK("https://www.genecards.org/Search/Keyword?queryString=%5Baliases%5D(%20LOC101929710%20)%20OR%20%5Baliases%5D(%20PCSK1%20)&amp;keywords=LOC101929710,PCSK1", "LOC101929710;PCSK1")</f>
        <v>LOC101929710;PCSK1</v>
      </c>
      <c r="N326" s="0" t="s">
        <v>283</v>
      </c>
      <c r="O326" s="0" t="s">
        <v>49</v>
      </c>
      <c r="P326" s="0" t="s">
        <v>49</v>
      </c>
      <c r="Q326" s="0" t="n">
        <v>-1</v>
      </c>
      <c r="R326" s="0" t="n">
        <v>-1</v>
      </c>
      <c r="S326" s="0" t="n">
        <v>-1</v>
      </c>
      <c r="T326" s="0" t="n">
        <v>-1</v>
      </c>
      <c r="U326" s="0" t="n">
        <v>-1</v>
      </c>
      <c r="V326" s="0" t="s">
        <v>49</v>
      </c>
      <c r="W326" s="0" t="s">
        <v>49</v>
      </c>
      <c r="X326" s="0" t="s">
        <v>49</v>
      </c>
      <c r="Y326" s="0" t="s">
        <v>49</v>
      </c>
      <c r="Z326" s="0" t="s">
        <v>49</v>
      </c>
      <c r="AA326" s="0" t="s">
        <v>49</v>
      </c>
      <c r="AB326" s="0" t="s">
        <v>49</v>
      </c>
      <c r="AC326" s="0" t="s">
        <v>231</v>
      </c>
      <c r="AD326" s="0" t="s">
        <v>220</v>
      </c>
      <c r="AE326" s="0" t="s">
        <v>1963</v>
      </c>
      <c r="AF326" s="0" t="s">
        <v>1964</v>
      </c>
      <c r="AG326" s="0" t="s">
        <v>1965</v>
      </c>
      <c r="AH326" s="0" t="s">
        <v>1966</v>
      </c>
      <c r="AI326" s="0" t="s">
        <v>49</v>
      </c>
      <c r="AJ326" s="0" t="s">
        <v>49</v>
      </c>
      <c r="AK326" s="0" t="s">
        <v>49</v>
      </c>
      <c r="AL326" s="0" t="s">
        <v>49</v>
      </c>
    </row>
    <row r="327" customFormat="false" ht="15" hidden="false" customHeight="false" outlineLevel="0" collapsed="false">
      <c r="B327" s="0" t="str">
        <f aca="false">HYPERLINK("https://genome.ucsc.edu/cgi-bin/hgTracks?db=hg19&amp;position=chr5%3A137217570%2D137217570", "chr5:137217570")</f>
        <v>chr5:137217570</v>
      </c>
      <c r="C327" s="0" t="s">
        <v>155</v>
      </c>
      <c r="D327" s="0" t="n">
        <v>137217570</v>
      </c>
      <c r="E327" s="0" t="n">
        <v>137217570</v>
      </c>
      <c r="F327" s="0" t="s">
        <v>190</v>
      </c>
      <c r="G327" s="0" t="s">
        <v>61</v>
      </c>
      <c r="H327" s="0" t="s">
        <v>1967</v>
      </c>
      <c r="I327" s="0" t="s">
        <v>100</v>
      </c>
      <c r="J327" s="0" t="s">
        <v>101</v>
      </c>
      <c r="K327" s="0" t="s">
        <v>49</v>
      </c>
      <c r="L327" s="0" t="s">
        <v>49</v>
      </c>
      <c r="M327" s="0" t="str">
        <f aca="false">HYPERLINK("https://www.genecards.org/Search/Keyword?queryString=%5Baliases%5D(%20MYOT%20)&amp;keywords=MYOT", "MYOT")</f>
        <v>MYOT</v>
      </c>
      <c r="N327" s="0" t="s">
        <v>283</v>
      </c>
      <c r="O327" s="0" t="s">
        <v>49</v>
      </c>
      <c r="P327" s="0" t="s">
        <v>49</v>
      </c>
      <c r="Q327" s="0" t="n">
        <v>0.0093</v>
      </c>
      <c r="R327" s="0" t="n">
        <v>0.0082</v>
      </c>
      <c r="S327" s="0" t="n">
        <v>0.0093</v>
      </c>
      <c r="T327" s="0" t="n">
        <v>-1</v>
      </c>
      <c r="U327" s="0" t="n">
        <v>0.0079</v>
      </c>
      <c r="V327" s="0" t="s">
        <v>49</v>
      </c>
      <c r="W327" s="0" t="s">
        <v>49</v>
      </c>
      <c r="X327" s="0" t="s">
        <v>49</v>
      </c>
      <c r="Y327" s="0" t="s">
        <v>49</v>
      </c>
      <c r="Z327" s="0" t="s">
        <v>49</v>
      </c>
      <c r="AA327" s="0" t="s">
        <v>49</v>
      </c>
      <c r="AB327" s="0" t="s">
        <v>49</v>
      </c>
      <c r="AC327" s="0" t="s">
        <v>53</v>
      </c>
      <c r="AD327" s="0" t="s">
        <v>209</v>
      </c>
      <c r="AE327" s="0" t="s">
        <v>1968</v>
      </c>
      <c r="AF327" s="0" t="s">
        <v>1969</v>
      </c>
      <c r="AG327" s="0" t="s">
        <v>1970</v>
      </c>
      <c r="AH327" s="0" t="s">
        <v>1971</v>
      </c>
      <c r="AI327" s="0" t="s">
        <v>49</v>
      </c>
      <c r="AJ327" s="0" t="s">
        <v>49</v>
      </c>
      <c r="AK327" s="0" t="s">
        <v>49</v>
      </c>
      <c r="AL327" s="0" t="s">
        <v>49</v>
      </c>
    </row>
    <row r="328" customFormat="false" ht="15" hidden="false" customHeight="false" outlineLevel="0" collapsed="false">
      <c r="B328" s="0" t="str">
        <f aca="false">HYPERLINK("https://genome.ucsc.edu/cgi-bin/hgTracks?db=hg19&amp;position=chr5%3A137218953%2D137218953", "chr5:137218953")</f>
        <v>chr5:137218953</v>
      </c>
      <c r="C328" s="0" t="s">
        <v>155</v>
      </c>
      <c r="D328" s="0" t="n">
        <v>137218953</v>
      </c>
      <c r="E328" s="0" t="n">
        <v>137218953</v>
      </c>
      <c r="F328" s="0" t="s">
        <v>40</v>
      </c>
      <c r="G328" s="0" t="s">
        <v>60</v>
      </c>
      <c r="H328" s="0" t="s">
        <v>1972</v>
      </c>
      <c r="I328" s="0" t="s">
        <v>1312</v>
      </c>
      <c r="J328" s="0" t="s">
        <v>1665</v>
      </c>
      <c r="K328" s="0" t="s">
        <v>49</v>
      </c>
      <c r="L328" s="0" t="s">
        <v>49</v>
      </c>
      <c r="M328" s="0" t="str">
        <f aca="false">HYPERLINK("https://www.genecards.org/Search/Keyword?queryString=%5Baliases%5D(%20MYOT%20)&amp;keywords=MYOT", "MYOT")</f>
        <v>MYOT</v>
      </c>
      <c r="N328" s="0" t="s">
        <v>300</v>
      </c>
      <c r="O328" s="0" t="s">
        <v>49</v>
      </c>
      <c r="P328" s="0" t="s">
        <v>49</v>
      </c>
      <c r="Q328" s="0" t="n">
        <v>-1</v>
      </c>
      <c r="R328" s="0" t="n">
        <v>-1</v>
      </c>
      <c r="S328" s="0" t="n">
        <v>-1</v>
      </c>
      <c r="T328" s="0" t="n">
        <v>-1</v>
      </c>
      <c r="U328" s="0" t="n">
        <v>-1</v>
      </c>
      <c r="V328" s="0" t="s">
        <v>49</v>
      </c>
      <c r="W328" s="0" t="s">
        <v>49</v>
      </c>
      <c r="X328" s="0" t="s">
        <v>49</v>
      </c>
      <c r="Y328" s="0" t="s">
        <v>49</v>
      </c>
      <c r="Z328" s="0" t="s">
        <v>49</v>
      </c>
      <c r="AA328" s="0" t="s">
        <v>49</v>
      </c>
      <c r="AB328" s="0" t="s">
        <v>49</v>
      </c>
      <c r="AC328" s="0" t="s">
        <v>53</v>
      </c>
      <c r="AD328" s="0" t="s">
        <v>209</v>
      </c>
      <c r="AE328" s="0" t="s">
        <v>1968</v>
      </c>
      <c r="AF328" s="0" t="s">
        <v>1969</v>
      </c>
      <c r="AG328" s="0" t="s">
        <v>1970</v>
      </c>
      <c r="AH328" s="0" t="s">
        <v>1971</v>
      </c>
      <c r="AI328" s="0" t="s">
        <v>49</v>
      </c>
      <c r="AJ328" s="0" t="s">
        <v>49</v>
      </c>
      <c r="AK328" s="0" t="s">
        <v>49</v>
      </c>
      <c r="AL328" s="0" t="s">
        <v>49</v>
      </c>
    </row>
    <row r="329" customFormat="false" ht="15" hidden="false" customHeight="false" outlineLevel="0" collapsed="false">
      <c r="B329" s="0" t="str">
        <f aca="false">HYPERLINK("https://genome.ucsc.edu/cgi-bin/hgTracks?db=hg19&amp;position=chr5%3A139231093%2D139231093", "chr5:139231093")</f>
        <v>chr5:139231093</v>
      </c>
      <c r="C329" s="0" t="s">
        <v>155</v>
      </c>
      <c r="D329" s="0" t="n">
        <v>139231093</v>
      </c>
      <c r="E329" s="0" t="n">
        <v>139231093</v>
      </c>
      <c r="F329" s="0" t="s">
        <v>40</v>
      </c>
      <c r="G329" s="0" t="s">
        <v>39</v>
      </c>
      <c r="H329" s="0" t="s">
        <v>1973</v>
      </c>
      <c r="I329" s="0" t="s">
        <v>701</v>
      </c>
      <c r="J329" s="0" t="s">
        <v>1974</v>
      </c>
      <c r="K329" s="0" t="s">
        <v>49</v>
      </c>
      <c r="L329" s="0" t="str">
        <f aca="false">HYPERLINK("https://www.ncbi.nlm.nih.gov/snp/rs558727600", "rs558727600")</f>
        <v>rs558727600</v>
      </c>
      <c r="M329" s="0" t="str">
        <f aca="false">HYPERLINK("https://www.genecards.org/Search/Keyword?queryString=%5Baliases%5D(%20NRG2%20)&amp;keywords=NRG2", "NRG2")</f>
        <v>NRG2</v>
      </c>
      <c r="N329" s="0" t="s">
        <v>283</v>
      </c>
      <c r="O329" s="0" t="s">
        <v>49</v>
      </c>
      <c r="P329" s="0" t="s">
        <v>49</v>
      </c>
      <c r="Q329" s="0" t="n">
        <v>0.0055</v>
      </c>
      <c r="R329" s="0" t="n">
        <v>0.0009</v>
      </c>
      <c r="S329" s="0" t="n">
        <v>0.0007</v>
      </c>
      <c r="T329" s="0" t="n">
        <v>-1</v>
      </c>
      <c r="U329" s="0" t="n">
        <v>0.0015</v>
      </c>
      <c r="V329" s="0" t="s">
        <v>49</v>
      </c>
      <c r="W329" s="0" t="s">
        <v>49</v>
      </c>
      <c r="X329" s="0" t="s">
        <v>333</v>
      </c>
      <c r="Y329" s="0" t="s">
        <v>219</v>
      </c>
      <c r="Z329" s="0" t="s">
        <v>49</v>
      </c>
      <c r="AA329" s="0" t="s">
        <v>49</v>
      </c>
      <c r="AB329" s="0" t="s">
        <v>49</v>
      </c>
      <c r="AC329" s="0" t="s">
        <v>53</v>
      </c>
      <c r="AD329" s="0" t="s">
        <v>54</v>
      </c>
      <c r="AE329" s="0" t="s">
        <v>1975</v>
      </c>
      <c r="AF329" s="0" t="s">
        <v>1976</v>
      </c>
      <c r="AG329" s="0" t="s">
        <v>1977</v>
      </c>
      <c r="AH329" s="0" t="s">
        <v>49</v>
      </c>
      <c r="AI329" s="0" t="s">
        <v>49</v>
      </c>
      <c r="AJ329" s="0" t="s">
        <v>49</v>
      </c>
      <c r="AK329" s="0" t="s">
        <v>49</v>
      </c>
      <c r="AL329" s="0" t="s">
        <v>49</v>
      </c>
    </row>
    <row r="330" customFormat="false" ht="15" hidden="false" customHeight="false" outlineLevel="0" collapsed="false">
      <c r="B330" s="0" t="str">
        <f aca="false">HYPERLINK("https://genome.ucsc.edu/cgi-bin/hgTracks?db=hg19&amp;position=chr5%3A149311631%2D149311631", "chr5:149311631")</f>
        <v>chr5:149311631</v>
      </c>
      <c r="C330" s="0" t="s">
        <v>155</v>
      </c>
      <c r="D330" s="0" t="n">
        <v>149311631</v>
      </c>
      <c r="E330" s="0" t="n">
        <v>149311631</v>
      </c>
      <c r="F330" s="0" t="s">
        <v>39</v>
      </c>
      <c r="G330" s="0" t="s">
        <v>40</v>
      </c>
      <c r="H330" s="0" t="s">
        <v>1978</v>
      </c>
      <c r="I330" s="0" t="s">
        <v>1979</v>
      </c>
      <c r="J330" s="0" t="s">
        <v>1980</v>
      </c>
      <c r="K330" s="0" t="s">
        <v>49</v>
      </c>
      <c r="L330" s="0" t="str">
        <f aca="false">HYPERLINK("https://www.ncbi.nlm.nih.gov/snp/rs867484092", "rs867484092")</f>
        <v>rs867484092</v>
      </c>
      <c r="M330" s="0" t="str">
        <f aca="false">HYPERLINK("https://www.genecards.org/Search/Keyword?queryString=%5Baliases%5D(%20LOC644762%20)%20OR%20%5Baliases%5D(%20PDE6A%20)&amp;keywords=LOC644762,PDE6A", "LOC644762;PDE6A")</f>
        <v>LOC644762;PDE6A</v>
      </c>
      <c r="N330" s="0" t="s">
        <v>300</v>
      </c>
      <c r="O330" s="0" t="s">
        <v>49</v>
      </c>
      <c r="P330" s="0" t="s">
        <v>49</v>
      </c>
      <c r="Q330" s="0" t="n">
        <v>0.0101</v>
      </c>
      <c r="R330" s="0" t="n">
        <v>0.001</v>
      </c>
      <c r="S330" s="0" t="n">
        <v>0.001</v>
      </c>
      <c r="T330" s="0" t="n">
        <v>-1</v>
      </c>
      <c r="U330" s="0" t="n">
        <v>0.0004</v>
      </c>
      <c r="V330" s="0" t="s">
        <v>49</v>
      </c>
      <c r="W330" s="0" t="s">
        <v>49</v>
      </c>
      <c r="X330" s="0" t="s">
        <v>49</v>
      </c>
      <c r="Y330" s="0" t="s">
        <v>49</v>
      </c>
      <c r="Z330" s="0" t="s">
        <v>49</v>
      </c>
      <c r="AA330" s="0" t="s">
        <v>49</v>
      </c>
      <c r="AB330" s="0" t="s">
        <v>49</v>
      </c>
      <c r="AC330" s="0" t="s">
        <v>53</v>
      </c>
      <c r="AD330" s="0" t="s">
        <v>1443</v>
      </c>
      <c r="AE330" s="0" t="s">
        <v>1981</v>
      </c>
      <c r="AF330" s="0" t="s">
        <v>1982</v>
      </c>
      <c r="AG330" s="0" t="s">
        <v>1983</v>
      </c>
      <c r="AH330" s="0" t="s">
        <v>1984</v>
      </c>
      <c r="AI330" s="0" t="s">
        <v>49</v>
      </c>
      <c r="AJ330" s="0" t="s">
        <v>49</v>
      </c>
      <c r="AK330" s="0" t="s">
        <v>49</v>
      </c>
      <c r="AL330" s="0" t="s">
        <v>49</v>
      </c>
    </row>
    <row r="331" customFormat="false" ht="15" hidden="false" customHeight="false" outlineLevel="0" collapsed="false">
      <c r="B331" s="0" t="str">
        <f aca="false">HYPERLINK("https://genome.ucsc.edu/cgi-bin/hgTracks?db=hg19&amp;position=chr5%3A149311749%2D149311749", "chr5:149311749")</f>
        <v>chr5:149311749</v>
      </c>
      <c r="C331" s="0" t="s">
        <v>155</v>
      </c>
      <c r="D331" s="0" t="n">
        <v>149311749</v>
      </c>
      <c r="E331" s="0" t="n">
        <v>149311749</v>
      </c>
      <c r="F331" s="0" t="s">
        <v>40</v>
      </c>
      <c r="G331" s="0" t="s">
        <v>39</v>
      </c>
      <c r="H331" s="0" t="s">
        <v>1668</v>
      </c>
      <c r="I331" s="0" t="s">
        <v>477</v>
      </c>
      <c r="J331" s="0" t="s">
        <v>1985</v>
      </c>
      <c r="K331" s="0" t="s">
        <v>49</v>
      </c>
      <c r="L331" s="0" t="str">
        <f aca="false">HYPERLINK("https://www.ncbi.nlm.nih.gov/snp/rs879169124", "rs879169124")</f>
        <v>rs879169124</v>
      </c>
      <c r="M331" s="0" t="str">
        <f aca="false">HYPERLINK("https://www.genecards.org/Search/Keyword?queryString=%5Baliases%5D(%20LOC644762%20)%20OR%20%5Baliases%5D(%20PDE6A%20)&amp;keywords=LOC644762,PDE6A", "LOC644762;PDE6A")</f>
        <v>LOC644762;PDE6A</v>
      </c>
      <c r="N331" s="0" t="s">
        <v>300</v>
      </c>
      <c r="O331" s="0" t="s">
        <v>49</v>
      </c>
      <c r="P331" s="0" t="s">
        <v>49</v>
      </c>
      <c r="Q331" s="0" t="n">
        <v>0.0069</v>
      </c>
      <c r="R331" s="0" t="n">
        <v>0.0007</v>
      </c>
      <c r="S331" s="0" t="n">
        <v>0.0006</v>
      </c>
      <c r="T331" s="0" t="n">
        <v>-1</v>
      </c>
      <c r="U331" s="0" t="n">
        <v>0.0008</v>
      </c>
      <c r="V331" s="0" t="s">
        <v>49</v>
      </c>
      <c r="W331" s="0" t="s">
        <v>49</v>
      </c>
      <c r="X331" s="0" t="s">
        <v>49</v>
      </c>
      <c r="Y331" s="0" t="s">
        <v>49</v>
      </c>
      <c r="Z331" s="0" t="s">
        <v>49</v>
      </c>
      <c r="AA331" s="0" t="s">
        <v>49</v>
      </c>
      <c r="AB331" s="0" t="s">
        <v>49</v>
      </c>
      <c r="AC331" s="0" t="s">
        <v>53</v>
      </c>
      <c r="AD331" s="0" t="s">
        <v>1443</v>
      </c>
      <c r="AE331" s="0" t="s">
        <v>1981</v>
      </c>
      <c r="AF331" s="0" t="s">
        <v>1982</v>
      </c>
      <c r="AG331" s="0" t="s">
        <v>1983</v>
      </c>
      <c r="AH331" s="0" t="s">
        <v>1984</v>
      </c>
      <c r="AI331" s="0" t="s">
        <v>49</v>
      </c>
      <c r="AJ331" s="0" t="s">
        <v>49</v>
      </c>
      <c r="AK331" s="0" t="s">
        <v>49</v>
      </c>
      <c r="AL331" s="0" t="s">
        <v>49</v>
      </c>
    </row>
    <row r="332" customFormat="false" ht="15" hidden="false" customHeight="false" outlineLevel="0" collapsed="false">
      <c r="B332" s="0" t="str">
        <f aca="false">HYPERLINK("https://genome.ucsc.edu/cgi-bin/hgTracks?db=hg19&amp;position=chr5%3A149311761%2D149311761", "chr5:149311761")</f>
        <v>chr5:149311761</v>
      </c>
      <c r="C332" s="0" t="s">
        <v>155</v>
      </c>
      <c r="D332" s="0" t="n">
        <v>149311761</v>
      </c>
      <c r="E332" s="0" t="n">
        <v>149311761</v>
      </c>
      <c r="F332" s="0" t="s">
        <v>40</v>
      </c>
      <c r="G332" s="0" t="s">
        <v>60</v>
      </c>
      <c r="H332" s="0" t="s">
        <v>1986</v>
      </c>
      <c r="I332" s="0" t="s">
        <v>477</v>
      </c>
      <c r="J332" s="0" t="s">
        <v>1987</v>
      </c>
      <c r="K332" s="0" t="s">
        <v>49</v>
      </c>
      <c r="L332" s="0" t="str">
        <f aca="false">HYPERLINK("https://www.ncbi.nlm.nih.gov/snp/rs762770568", "rs762770568")</f>
        <v>rs762770568</v>
      </c>
      <c r="M332" s="0" t="str">
        <f aca="false">HYPERLINK("https://www.genecards.org/Search/Keyword?queryString=%5Baliases%5D(%20LOC644762%20)%20OR%20%5Baliases%5D(%20PDE6A%20)&amp;keywords=LOC644762,PDE6A", "LOC644762;PDE6A")</f>
        <v>LOC644762;PDE6A</v>
      </c>
      <c r="N332" s="0" t="s">
        <v>300</v>
      </c>
      <c r="O332" s="0" t="s">
        <v>49</v>
      </c>
      <c r="P332" s="0" t="s">
        <v>49</v>
      </c>
      <c r="Q332" s="0" t="n">
        <v>0.0083</v>
      </c>
      <c r="R332" s="0" t="n">
        <v>0.0005</v>
      </c>
      <c r="S332" s="0" t="n">
        <v>0.0003</v>
      </c>
      <c r="T332" s="0" t="n">
        <v>-1</v>
      </c>
      <c r="U332" s="0" t="n">
        <v>0.0004</v>
      </c>
      <c r="V332" s="0" t="s">
        <v>49</v>
      </c>
      <c r="W332" s="0" t="s">
        <v>49</v>
      </c>
      <c r="X332" s="0" t="s">
        <v>49</v>
      </c>
      <c r="Y332" s="0" t="s">
        <v>49</v>
      </c>
      <c r="Z332" s="0" t="s">
        <v>49</v>
      </c>
      <c r="AA332" s="0" t="s">
        <v>49</v>
      </c>
      <c r="AB332" s="0" t="s">
        <v>49</v>
      </c>
      <c r="AC332" s="0" t="s">
        <v>53</v>
      </c>
      <c r="AD332" s="0" t="s">
        <v>1443</v>
      </c>
      <c r="AE332" s="0" t="s">
        <v>1981</v>
      </c>
      <c r="AF332" s="0" t="s">
        <v>1982</v>
      </c>
      <c r="AG332" s="0" t="s">
        <v>1983</v>
      </c>
      <c r="AH332" s="0" t="s">
        <v>1984</v>
      </c>
      <c r="AI332" s="0" t="s">
        <v>49</v>
      </c>
      <c r="AJ332" s="0" t="s">
        <v>49</v>
      </c>
      <c r="AK332" s="0" t="s">
        <v>49</v>
      </c>
      <c r="AL332" s="0" t="s">
        <v>49</v>
      </c>
    </row>
    <row r="333" customFormat="false" ht="15" hidden="false" customHeight="false" outlineLevel="0" collapsed="false">
      <c r="B333" s="0" t="str">
        <f aca="false">HYPERLINK("https://genome.ucsc.edu/cgi-bin/hgTracks?db=hg19&amp;position=chr5%3A149311771%2D149311771", "chr5:149311771")</f>
        <v>chr5:149311771</v>
      </c>
      <c r="C333" s="0" t="s">
        <v>155</v>
      </c>
      <c r="D333" s="0" t="n">
        <v>149311771</v>
      </c>
      <c r="E333" s="0" t="n">
        <v>149311771</v>
      </c>
      <c r="F333" s="0" t="s">
        <v>60</v>
      </c>
      <c r="G333" s="0" t="s">
        <v>61</v>
      </c>
      <c r="H333" s="0" t="s">
        <v>1988</v>
      </c>
      <c r="I333" s="0" t="s">
        <v>1989</v>
      </c>
      <c r="J333" s="0" t="s">
        <v>1990</v>
      </c>
      <c r="K333" s="0" t="s">
        <v>49</v>
      </c>
      <c r="L333" s="0" t="str">
        <f aca="false">HYPERLINK("https://www.ncbi.nlm.nih.gov/snp/rs879080945", "rs879080945")</f>
        <v>rs879080945</v>
      </c>
      <c r="M333" s="0" t="str">
        <f aca="false">HYPERLINK("https://www.genecards.org/Search/Keyword?queryString=%5Baliases%5D(%20LOC644762%20)%20OR%20%5Baliases%5D(%20PDE6A%20)&amp;keywords=LOC644762,PDE6A", "LOC644762;PDE6A")</f>
        <v>LOC644762;PDE6A</v>
      </c>
      <c r="N333" s="0" t="s">
        <v>300</v>
      </c>
      <c r="O333" s="0" t="s">
        <v>49</v>
      </c>
      <c r="P333" s="0" t="s">
        <v>49</v>
      </c>
      <c r="Q333" s="0" t="n">
        <v>0.0064</v>
      </c>
      <c r="R333" s="0" t="n">
        <v>0.0002</v>
      </c>
      <c r="S333" s="0" t="n">
        <v>-1</v>
      </c>
      <c r="T333" s="0" t="n">
        <v>-1</v>
      </c>
      <c r="U333" s="0" t="n">
        <v>-1</v>
      </c>
      <c r="V333" s="0" t="s">
        <v>49</v>
      </c>
      <c r="W333" s="0" t="s">
        <v>49</v>
      </c>
      <c r="X333" s="0" t="s">
        <v>49</v>
      </c>
      <c r="Y333" s="0" t="s">
        <v>49</v>
      </c>
      <c r="Z333" s="0" t="s">
        <v>49</v>
      </c>
      <c r="AA333" s="0" t="s">
        <v>49</v>
      </c>
      <c r="AB333" s="0" t="s">
        <v>49</v>
      </c>
      <c r="AC333" s="0" t="s">
        <v>53</v>
      </c>
      <c r="AD333" s="0" t="s">
        <v>1443</v>
      </c>
      <c r="AE333" s="0" t="s">
        <v>1981</v>
      </c>
      <c r="AF333" s="0" t="s">
        <v>1982</v>
      </c>
      <c r="AG333" s="0" t="s">
        <v>1983</v>
      </c>
      <c r="AH333" s="0" t="s">
        <v>1984</v>
      </c>
      <c r="AI333" s="0" t="s">
        <v>49</v>
      </c>
      <c r="AJ333" s="0" t="s">
        <v>49</v>
      </c>
      <c r="AK333" s="0" t="s">
        <v>49</v>
      </c>
      <c r="AL333" s="0" t="s">
        <v>49</v>
      </c>
    </row>
    <row r="334" customFormat="false" ht="15" hidden="false" customHeight="false" outlineLevel="0" collapsed="false">
      <c r="B334" s="0" t="str">
        <f aca="false">HYPERLINK("https://genome.ucsc.edu/cgi-bin/hgTracks?db=hg19&amp;position=chr5%3A162884088%2D162884088", "chr5:162884088")</f>
        <v>chr5:162884088</v>
      </c>
      <c r="C334" s="0" t="s">
        <v>155</v>
      </c>
      <c r="D334" s="0" t="n">
        <v>162884088</v>
      </c>
      <c r="E334" s="0" t="n">
        <v>162884088</v>
      </c>
      <c r="F334" s="0" t="s">
        <v>190</v>
      </c>
      <c r="G334" s="0" t="s">
        <v>61</v>
      </c>
      <c r="H334" s="0" t="s">
        <v>1991</v>
      </c>
      <c r="I334" s="0" t="s">
        <v>346</v>
      </c>
      <c r="J334" s="0" t="s">
        <v>1992</v>
      </c>
      <c r="K334" s="0" t="s">
        <v>49</v>
      </c>
      <c r="L334" s="0" t="str">
        <f aca="false">HYPERLINK("https://www.ncbi.nlm.nih.gov/snp/rs778317662", "rs778317662")</f>
        <v>rs778317662</v>
      </c>
      <c r="M334" s="0" t="str">
        <f aca="false">HYPERLINK("https://www.genecards.org/Search/Keyword?queryString=%5Baliases%5D(%20NUDCD2%20)&amp;keywords=NUDCD2", "NUDCD2")</f>
        <v>NUDCD2</v>
      </c>
      <c r="N334" s="0" t="s">
        <v>196</v>
      </c>
      <c r="O334" s="0" t="s">
        <v>49</v>
      </c>
      <c r="P334" s="0" t="s">
        <v>1993</v>
      </c>
      <c r="Q334" s="0" t="n">
        <v>0.0137773</v>
      </c>
      <c r="R334" s="0" t="n">
        <v>0.002</v>
      </c>
      <c r="S334" s="0" t="n">
        <v>0.001</v>
      </c>
      <c r="T334" s="0" t="n">
        <v>-1</v>
      </c>
      <c r="U334" s="0" t="n">
        <v>0.0009</v>
      </c>
      <c r="V334" s="0" t="s">
        <v>49</v>
      </c>
      <c r="W334" s="0" t="s">
        <v>49</v>
      </c>
      <c r="X334" s="0" t="s">
        <v>49</v>
      </c>
      <c r="Y334" s="0" t="s">
        <v>49</v>
      </c>
      <c r="Z334" s="0" t="s">
        <v>49</v>
      </c>
      <c r="AA334" s="0" t="s">
        <v>49</v>
      </c>
      <c r="AB334" s="0" t="s">
        <v>49</v>
      </c>
      <c r="AC334" s="0" t="s">
        <v>53</v>
      </c>
      <c r="AD334" s="0" t="s">
        <v>54</v>
      </c>
      <c r="AE334" s="0" t="s">
        <v>1994</v>
      </c>
      <c r="AF334" s="0" t="s">
        <v>1995</v>
      </c>
      <c r="AG334" s="0" t="s">
        <v>1996</v>
      </c>
      <c r="AH334" s="0" t="s">
        <v>49</v>
      </c>
      <c r="AI334" s="0" t="s">
        <v>49</v>
      </c>
      <c r="AJ334" s="0" t="s">
        <v>49</v>
      </c>
      <c r="AK334" s="0" t="s">
        <v>49</v>
      </c>
      <c r="AL334" s="0" t="s">
        <v>49</v>
      </c>
    </row>
    <row r="335" customFormat="false" ht="15" hidden="false" customHeight="false" outlineLevel="0" collapsed="false">
      <c r="B335" s="0" t="str">
        <f aca="false">HYPERLINK("https://genome.ucsc.edu/cgi-bin/hgTracks?db=hg19&amp;position=chr6%3A25024179%2D25024179", "chr6:25024179")</f>
        <v>chr6:25024179</v>
      </c>
      <c r="C335" s="0" t="s">
        <v>279</v>
      </c>
      <c r="D335" s="0" t="n">
        <v>25024179</v>
      </c>
      <c r="E335" s="0" t="n">
        <v>25024179</v>
      </c>
      <c r="F335" s="0" t="s">
        <v>40</v>
      </c>
      <c r="G335" s="0" t="s">
        <v>60</v>
      </c>
      <c r="H335" s="0" t="s">
        <v>1997</v>
      </c>
      <c r="I335" s="0" t="s">
        <v>737</v>
      </c>
      <c r="J335" s="0" t="s">
        <v>1998</v>
      </c>
      <c r="K335" s="0" t="s">
        <v>49</v>
      </c>
      <c r="L335" s="0" t="str">
        <f aca="false">HYPERLINK("https://www.ncbi.nlm.nih.gov/snp/rs115285934", "rs115285934")</f>
        <v>rs115285934</v>
      </c>
      <c r="M335" s="0" t="str">
        <f aca="false">HYPERLINK("https://www.genecards.org/Search/Keyword?queryString=%5Baliases%5D(%20FAM65B%20)%20OR%20%5Baliases%5D(%20RIPOR2%20)&amp;keywords=FAM65B,RIPOR2", "FAM65B;RIPOR2")</f>
        <v>FAM65B;RIPOR2</v>
      </c>
      <c r="N335" s="0" t="s">
        <v>300</v>
      </c>
      <c r="O335" s="0" t="s">
        <v>49</v>
      </c>
      <c r="P335" s="0" t="s">
        <v>49</v>
      </c>
      <c r="Q335" s="0" t="n">
        <v>0.0122</v>
      </c>
      <c r="R335" s="0" t="n">
        <v>0.0144</v>
      </c>
      <c r="S335" s="0" t="n">
        <v>0.0121</v>
      </c>
      <c r="T335" s="0" t="n">
        <v>-1</v>
      </c>
      <c r="U335" s="0" t="n">
        <v>0.0205</v>
      </c>
      <c r="V335" s="0" t="s">
        <v>49</v>
      </c>
      <c r="W335" s="0" t="s">
        <v>49</v>
      </c>
      <c r="X335" s="0" t="s">
        <v>49</v>
      </c>
      <c r="Y335" s="0" t="s">
        <v>49</v>
      </c>
      <c r="Z335" s="0" t="s">
        <v>49</v>
      </c>
      <c r="AA335" s="0" t="s">
        <v>49</v>
      </c>
      <c r="AB335" s="0" t="s">
        <v>49</v>
      </c>
      <c r="AC335" s="0" t="s">
        <v>53</v>
      </c>
      <c r="AD335" s="0" t="s">
        <v>220</v>
      </c>
      <c r="AE335" s="0" t="s">
        <v>1999</v>
      </c>
      <c r="AF335" s="0" t="s">
        <v>2000</v>
      </c>
      <c r="AG335" s="0" t="s">
        <v>2001</v>
      </c>
      <c r="AH335" s="0" t="s">
        <v>2002</v>
      </c>
      <c r="AI335" s="0" t="s">
        <v>49</v>
      </c>
      <c r="AJ335" s="0" t="s">
        <v>49</v>
      </c>
      <c r="AK335" s="0" t="s">
        <v>49</v>
      </c>
      <c r="AL335" s="0" t="s">
        <v>49</v>
      </c>
    </row>
    <row r="336" customFormat="false" ht="15" hidden="false" customHeight="false" outlineLevel="0" collapsed="false">
      <c r="B336" s="0" t="str">
        <f aca="false">HYPERLINK("https://genome.ucsc.edu/cgi-bin/hgTracks?db=hg19&amp;position=chr6%3A29589799%2D29589799", "chr6:29589799")</f>
        <v>chr6:29589799</v>
      </c>
      <c r="C336" s="0" t="s">
        <v>279</v>
      </c>
      <c r="D336" s="0" t="n">
        <v>29589799</v>
      </c>
      <c r="E336" s="0" t="n">
        <v>29589799</v>
      </c>
      <c r="F336" s="0" t="s">
        <v>60</v>
      </c>
      <c r="G336" s="0" t="s">
        <v>61</v>
      </c>
      <c r="H336" s="0" t="s">
        <v>2003</v>
      </c>
      <c r="I336" s="0" t="s">
        <v>810</v>
      </c>
      <c r="J336" s="0" t="s">
        <v>2004</v>
      </c>
      <c r="K336" s="0" t="s">
        <v>49</v>
      </c>
      <c r="L336" s="0" t="str">
        <f aca="false">HYPERLINK("https://www.ncbi.nlm.nih.gov/snp/rs55843444", "rs55843444")</f>
        <v>rs55843444</v>
      </c>
      <c r="M336" s="0" t="str">
        <f aca="false">HYPERLINK("https://www.genecards.org/Search/Keyword?queryString=%5Baliases%5D(%20GABBR1%20)&amp;keywords=GABBR1", "GABBR1")</f>
        <v>GABBR1</v>
      </c>
      <c r="N336" s="0" t="s">
        <v>510</v>
      </c>
      <c r="O336" s="0" t="s">
        <v>49</v>
      </c>
      <c r="P336" s="0" t="s">
        <v>49</v>
      </c>
      <c r="Q336" s="0" t="n">
        <v>0.010673</v>
      </c>
      <c r="R336" s="0" t="n">
        <v>0.0064</v>
      </c>
      <c r="S336" s="0" t="n">
        <v>0.0071</v>
      </c>
      <c r="T336" s="0" t="n">
        <v>-1</v>
      </c>
      <c r="U336" s="0" t="n">
        <v>0.0074</v>
      </c>
      <c r="V336" s="0" t="s">
        <v>49</v>
      </c>
      <c r="W336" s="0" t="s">
        <v>49</v>
      </c>
      <c r="X336" s="0" t="s">
        <v>333</v>
      </c>
      <c r="Y336" s="0" t="s">
        <v>219</v>
      </c>
      <c r="Z336" s="0" t="s">
        <v>49</v>
      </c>
      <c r="AA336" s="0" t="s">
        <v>49</v>
      </c>
      <c r="AB336" s="0" t="s">
        <v>49</v>
      </c>
      <c r="AC336" s="0" t="s">
        <v>53</v>
      </c>
      <c r="AD336" s="0" t="s">
        <v>54</v>
      </c>
      <c r="AE336" s="0" t="s">
        <v>2005</v>
      </c>
      <c r="AF336" s="0" t="s">
        <v>2006</v>
      </c>
      <c r="AG336" s="0" t="s">
        <v>2007</v>
      </c>
      <c r="AH336" s="0" t="s">
        <v>49</v>
      </c>
      <c r="AI336" s="0" t="s">
        <v>49</v>
      </c>
      <c r="AJ336" s="0" t="s">
        <v>49</v>
      </c>
      <c r="AK336" s="0" t="s">
        <v>2008</v>
      </c>
      <c r="AL336" s="0" t="s">
        <v>49</v>
      </c>
    </row>
    <row r="337" customFormat="false" ht="15" hidden="false" customHeight="false" outlineLevel="0" collapsed="false">
      <c r="B337" s="0" t="str">
        <f aca="false">HYPERLINK("https://genome.ucsc.edu/cgi-bin/hgTracks?db=hg19&amp;position=chr6%3A30954693%2D30954693", "chr6:30954693")</f>
        <v>chr6:30954693</v>
      </c>
      <c r="C337" s="0" t="s">
        <v>279</v>
      </c>
      <c r="D337" s="0" t="n">
        <v>30954693</v>
      </c>
      <c r="E337" s="0" t="n">
        <v>30954693</v>
      </c>
      <c r="F337" s="0" t="s">
        <v>190</v>
      </c>
      <c r="G337" s="0" t="s">
        <v>1877</v>
      </c>
      <c r="H337" s="0" t="s">
        <v>2009</v>
      </c>
      <c r="I337" s="0" t="s">
        <v>2010</v>
      </c>
      <c r="J337" s="0" t="s">
        <v>2011</v>
      </c>
      <c r="K337" s="0" t="s">
        <v>49</v>
      </c>
      <c r="L337" s="0" t="str">
        <f aca="false">HYPERLINK("https://www.ncbi.nlm.nih.gov/snp/rs781771855", "rs781771855")</f>
        <v>rs781771855</v>
      </c>
      <c r="M337" s="0" t="str">
        <f aca="false">HYPERLINK("https://www.genecards.org/Search/Keyword?queryString=%5Baliases%5D(%20MUC21%20)&amp;keywords=MUC21", "MUC21")</f>
        <v>MUC21</v>
      </c>
      <c r="N337" s="0" t="s">
        <v>45</v>
      </c>
      <c r="O337" s="0" t="s">
        <v>259</v>
      </c>
      <c r="P337" s="0" t="s">
        <v>2012</v>
      </c>
      <c r="Q337" s="0" t="n">
        <v>0.0048</v>
      </c>
      <c r="R337" s="0" t="n">
        <v>0.0037</v>
      </c>
      <c r="S337" s="0" t="n">
        <v>0.0006</v>
      </c>
      <c r="T337" s="0" t="n">
        <v>-1</v>
      </c>
      <c r="U337" s="0" t="n">
        <v>0.001</v>
      </c>
      <c r="V337" s="0" t="s">
        <v>49</v>
      </c>
      <c r="W337" s="0" t="s">
        <v>49</v>
      </c>
      <c r="X337" s="0" t="s">
        <v>49</v>
      </c>
      <c r="Y337" s="0" t="s">
        <v>49</v>
      </c>
      <c r="Z337" s="0" t="s">
        <v>49</v>
      </c>
      <c r="AA337" s="0" t="s">
        <v>49</v>
      </c>
      <c r="AB337" s="0" t="s">
        <v>49</v>
      </c>
      <c r="AC337" s="0" t="s">
        <v>53</v>
      </c>
      <c r="AD337" s="0" t="s">
        <v>209</v>
      </c>
      <c r="AE337" s="0" t="s">
        <v>2013</v>
      </c>
      <c r="AF337" s="0" t="s">
        <v>2014</v>
      </c>
      <c r="AG337" s="0" t="s">
        <v>49</v>
      </c>
      <c r="AH337" s="0" t="s">
        <v>49</v>
      </c>
      <c r="AI337" s="0" t="s">
        <v>49</v>
      </c>
      <c r="AJ337" s="0" t="s">
        <v>49</v>
      </c>
      <c r="AK337" s="0" t="s">
        <v>2008</v>
      </c>
      <c r="AL337" s="0" t="s">
        <v>49</v>
      </c>
    </row>
    <row r="338" customFormat="false" ht="15" hidden="false" customHeight="false" outlineLevel="0" collapsed="false">
      <c r="B338" s="0" t="str">
        <f aca="false">HYPERLINK("https://genome.ucsc.edu/cgi-bin/hgTracks?db=hg19&amp;position=chr6%3A30954694%2D30954694", "chr6:30954694")</f>
        <v>chr6:30954694</v>
      </c>
      <c r="C338" s="0" t="s">
        <v>279</v>
      </c>
      <c r="D338" s="0" t="n">
        <v>30954694</v>
      </c>
      <c r="E338" s="0" t="n">
        <v>30954694</v>
      </c>
      <c r="F338" s="0" t="s">
        <v>190</v>
      </c>
      <c r="G338" s="0" t="s">
        <v>2015</v>
      </c>
      <c r="H338" s="0" t="s">
        <v>2016</v>
      </c>
      <c r="I338" s="0" t="s">
        <v>2017</v>
      </c>
      <c r="J338" s="0" t="s">
        <v>2018</v>
      </c>
      <c r="K338" s="0" t="s">
        <v>49</v>
      </c>
      <c r="L338" s="0" t="str">
        <f aca="false">HYPERLINK("https://www.ncbi.nlm.nih.gov/snp/rs746182888", "rs746182888")</f>
        <v>rs746182888</v>
      </c>
      <c r="M338" s="0" t="str">
        <f aca="false">HYPERLINK("https://www.genecards.org/Search/Keyword?queryString=%5Baliases%5D(%20MUC21%20)&amp;keywords=MUC21", "MUC21")</f>
        <v>MUC21</v>
      </c>
      <c r="N338" s="0" t="s">
        <v>45</v>
      </c>
      <c r="O338" s="0" t="s">
        <v>259</v>
      </c>
      <c r="P338" s="0" t="s">
        <v>2019</v>
      </c>
      <c r="Q338" s="0" t="n">
        <v>0.0091</v>
      </c>
      <c r="R338" s="0" t="n">
        <v>0.0084</v>
      </c>
      <c r="S338" s="0" t="n">
        <v>0.0045</v>
      </c>
      <c r="T338" s="0" t="n">
        <v>-1</v>
      </c>
      <c r="U338" s="0" t="n">
        <v>0.0096</v>
      </c>
      <c r="V338" s="0" t="s">
        <v>49</v>
      </c>
      <c r="W338" s="0" t="s">
        <v>49</v>
      </c>
      <c r="X338" s="0" t="s">
        <v>49</v>
      </c>
      <c r="Y338" s="0" t="s">
        <v>49</v>
      </c>
      <c r="Z338" s="0" t="s">
        <v>49</v>
      </c>
      <c r="AA338" s="0" t="s">
        <v>49</v>
      </c>
      <c r="AB338" s="0" t="s">
        <v>49</v>
      </c>
      <c r="AC338" s="0" t="s">
        <v>53</v>
      </c>
      <c r="AD338" s="0" t="s">
        <v>209</v>
      </c>
      <c r="AE338" s="0" t="s">
        <v>2013</v>
      </c>
      <c r="AF338" s="0" t="s">
        <v>2014</v>
      </c>
      <c r="AG338" s="0" t="s">
        <v>49</v>
      </c>
      <c r="AH338" s="0" t="s">
        <v>49</v>
      </c>
      <c r="AI338" s="0" t="s">
        <v>49</v>
      </c>
      <c r="AJ338" s="0" t="s">
        <v>49</v>
      </c>
      <c r="AK338" s="0" t="s">
        <v>2008</v>
      </c>
      <c r="AL338" s="0" t="s">
        <v>49</v>
      </c>
    </row>
    <row r="339" s="2" customFormat="true" ht="15" hidden="false" customHeight="false" outlineLevel="0" collapsed="false">
      <c r="B339" s="2" t="str">
        <f aca="false">HYPERLINK("https://genome.ucsc.edu/cgi-bin/hgTracks?db=hg19&amp;position=chr6%3A32552130%2D32552130", "chr6:32552130")</f>
        <v>chr6:32552130</v>
      </c>
      <c r="C339" s="2" t="s">
        <v>279</v>
      </c>
      <c r="D339" s="2" t="n">
        <v>32552130</v>
      </c>
      <c r="E339" s="2" t="n">
        <v>32552130</v>
      </c>
      <c r="F339" s="2" t="s">
        <v>39</v>
      </c>
      <c r="G339" s="2" t="s">
        <v>709</v>
      </c>
      <c r="H339" s="2" t="s">
        <v>2020</v>
      </c>
      <c r="I339" s="2" t="s">
        <v>2021</v>
      </c>
      <c r="J339" s="2" t="s">
        <v>2022</v>
      </c>
      <c r="K339" s="2" t="s">
        <v>49</v>
      </c>
      <c r="L339" s="2" t="s">
        <v>49</v>
      </c>
      <c r="M339" s="2" t="str">
        <f aca="false">HYPERLINK("https://www.genecards.org/Search/Keyword?queryString=%5Baliases%5D(%20HLA-DRB1%20)&amp;keywords=HLA-DRB1", "HLA-DRB1")</f>
        <v>HLA-DRB1</v>
      </c>
      <c r="N339" s="2" t="s">
        <v>388</v>
      </c>
      <c r="O339" s="2" t="s">
        <v>49</v>
      </c>
      <c r="P339" s="2" t="s">
        <v>2023</v>
      </c>
      <c r="Q339" s="2" t="n">
        <v>-1</v>
      </c>
      <c r="R339" s="2" t="n">
        <v>-1</v>
      </c>
      <c r="S339" s="2" t="n">
        <v>-1</v>
      </c>
      <c r="T339" s="2" t="n">
        <v>-1</v>
      </c>
      <c r="U339" s="2" t="n">
        <v>-1</v>
      </c>
      <c r="V339" s="2" t="s">
        <v>49</v>
      </c>
      <c r="W339" s="2" t="s">
        <v>49</v>
      </c>
      <c r="X339" s="2" t="s">
        <v>49</v>
      </c>
      <c r="Y339" s="2" t="s">
        <v>49</v>
      </c>
      <c r="Z339" s="2" t="s">
        <v>49</v>
      </c>
      <c r="AA339" s="2" t="s">
        <v>49</v>
      </c>
      <c r="AB339" s="2" t="s">
        <v>49</v>
      </c>
      <c r="AC339" s="2" t="s">
        <v>231</v>
      </c>
      <c r="AD339" s="2" t="s">
        <v>209</v>
      </c>
      <c r="AE339" s="2" t="s">
        <v>2024</v>
      </c>
      <c r="AF339" s="2" t="s">
        <v>2025</v>
      </c>
      <c r="AG339" s="2" t="s">
        <v>2026</v>
      </c>
      <c r="AH339" s="2" t="s">
        <v>49</v>
      </c>
      <c r="AI339" s="2" t="s">
        <v>49</v>
      </c>
      <c r="AJ339" s="2" t="s">
        <v>49</v>
      </c>
      <c r="AK339" s="2" t="s">
        <v>2008</v>
      </c>
      <c r="AL339" s="2" t="s">
        <v>49</v>
      </c>
    </row>
    <row r="340" s="2" customFormat="true" ht="15" hidden="false" customHeight="false" outlineLevel="0" collapsed="false">
      <c r="B340" s="2" t="str">
        <f aca="false">HYPERLINK("https://genome.ucsc.edu/cgi-bin/hgTracks?db=hg19&amp;position=chr6%3A32552131%2D32552131", "chr6:32552131")</f>
        <v>chr6:32552131</v>
      </c>
      <c r="C340" s="2" t="s">
        <v>279</v>
      </c>
      <c r="D340" s="2" t="n">
        <v>32552131</v>
      </c>
      <c r="E340" s="2" t="n">
        <v>32552131</v>
      </c>
      <c r="F340" s="2" t="s">
        <v>39</v>
      </c>
      <c r="G340" s="2" t="s">
        <v>709</v>
      </c>
      <c r="H340" s="2" t="s">
        <v>2027</v>
      </c>
      <c r="I340" s="2" t="s">
        <v>2028</v>
      </c>
      <c r="J340" s="2" t="s">
        <v>2029</v>
      </c>
      <c r="K340" s="2" t="s">
        <v>49</v>
      </c>
      <c r="L340" s="2" t="s">
        <v>49</v>
      </c>
      <c r="M340" s="2" t="str">
        <f aca="false">HYPERLINK("https://www.genecards.org/Search/Keyword?queryString=%5Baliases%5D(%20HLA-DRB1%20)&amp;keywords=HLA-DRB1", "HLA-DRB1")</f>
        <v>HLA-DRB1</v>
      </c>
      <c r="N340" s="2" t="s">
        <v>388</v>
      </c>
      <c r="O340" s="2" t="s">
        <v>49</v>
      </c>
      <c r="P340" s="2" t="s">
        <v>2030</v>
      </c>
      <c r="Q340" s="2" t="n">
        <v>-1</v>
      </c>
      <c r="R340" s="2" t="n">
        <v>-1</v>
      </c>
      <c r="S340" s="2" t="n">
        <v>-1</v>
      </c>
      <c r="T340" s="2" t="n">
        <v>-1</v>
      </c>
      <c r="U340" s="2" t="n">
        <v>-1</v>
      </c>
      <c r="V340" s="2" t="s">
        <v>49</v>
      </c>
      <c r="W340" s="2" t="s">
        <v>49</v>
      </c>
      <c r="X340" s="2" t="s">
        <v>49</v>
      </c>
      <c r="Y340" s="2" t="s">
        <v>49</v>
      </c>
      <c r="Z340" s="2" t="s">
        <v>49</v>
      </c>
      <c r="AA340" s="2" t="s">
        <v>49</v>
      </c>
      <c r="AB340" s="2" t="s">
        <v>49</v>
      </c>
      <c r="AC340" s="2" t="s">
        <v>231</v>
      </c>
      <c r="AD340" s="2" t="s">
        <v>209</v>
      </c>
      <c r="AE340" s="2" t="s">
        <v>2024</v>
      </c>
      <c r="AF340" s="2" t="s">
        <v>2025</v>
      </c>
      <c r="AG340" s="2" t="s">
        <v>2026</v>
      </c>
      <c r="AH340" s="2" t="s">
        <v>49</v>
      </c>
      <c r="AI340" s="2" t="s">
        <v>49</v>
      </c>
      <c r="AJ340" s="2" t="s">
        <v>49</v>
      </c>
      <c r="AK340" s="2" t="s">
        <v>2008</v>
      </c>
      <c r="AL340" s="2" t="s">
        <v>49</v>
      </c>
    </row>
    <row r="341" customFormat="false" ht="15" hidden="false" customHeight="false" outlineLevel="0" collapsed="false">
      <c r="B341" s="0" t="str">
        <f aca="false">HYPERLINK("https://genome.ucsc.edu/cgi-bin/hgTracks?db=hg19&amp;position=chr6%3A51655927%2D51655927", "chr6:51655927")</f>
        <v>chr6:51655927</v>
      </c>
      <c r="C341" s="0" t="s">
        <v>279</v>
      </c>
      <c r="D341" s="0" t="n">
        <v>51655927</v>
      </c>
      <c r="E341" s="0" t="n">
        <v>51655927</v>
      </c>
      <c r="F341" s="0" t="s">
        <v>39</v>
      </c>
      <c r="G341" s="0" t="s">
        <v>40</v>
      </c>
      <c r="H341" s="0" t="s">
        <v>2031</v>
      </c>
      <c r="I341" s="0" t="s">
        <v>1277</v>
      </c>
      <c r="J341" s="0" t="s">
        <v>2032</v>
      </c>
      <c r="K341" s="0" t="s">
        <v>49</v>
      </c>
      <c r="L341" s="0" t="str">
        <f aca="false">HYPERLINK("https://www.ncbi.nlm.nih.gov/snp/rs548951442", "rs548951442")</f>
        <v>rs548951442</v>
      </c>
      <c r="M341" s="0" t="str">
        <f aca="false">HYPERLINK("https://www.genecards.org/Search/Keyword?queryString=%5Baliases%5D(%20PKHD1%20)&amp;keywords=PKHD1", "PKHD1")</f>
        <v>PKHD1</v>
      </c>
      <c r="N341" s="0" t="s">
        <v>510</v>
      </c>
      <c r="O341" s="0" t="s">
        <v>49</v>
      </c>
      <c r="P341" s="0" t="s">
        <v>49</v>
      </c>
      <c r="Q341" s="0" t="n">
        <v>0.0034</v>
      </c>
      <c r="R341" s="0" t="n">
        <v>0.0007</v>
      </c>
      <c r="S341" s="0" t="n">
        <v>0.0005</v>
      </c>
      <c r="T341" s="0" t="n">
        <v>-1</v>
      </c>
      <c r="U341" s="0" t="n">
        <v>0.0007</v>
      </c>
      <c r="V341" s="0" t="s">
        <v>49</v>
      </c>
      <c r="W341" s="0" t="s">
        <v>49</v>
      </c>
      <c r="X341" s="0" t="s">
        <v>517</v>
      </c>
      <c r="Y341" s="0" t="s">
        <v>219</v>
      </c>
      <c r="Z341" s="0" t="s">
        <v>49</v>
      </c>
      <c r="AA341" s="0" t="s">
        <v>49</v>
      </c>
      <c r="AB341" s="0" t="s">
        <v>49</v>
      </c>
      <c r="AC341" s="0" t="s">
        <v>53</v>
      </c>
      <c r="AD341" s="0" t="s">
        <v>54</v>
      </c>
      <c r="AE341" s="0" t="s">
        <v>2033</v>
      </c>
      <c r="AF341" s="0" t="s">
        <v>2034</v>
      </c>
      <c r="AG341" s="0" t="s">
        <v>2035</v>
      </c>
      <c r="AH341" s="0" t="s">
        <v>49</v>
      </c>
      <c r="AI341" s="0" t="s">
        <v>49</v>
      </c>
      <c r="AJ341" s="0" t="s">
        <v>49</v>
      </c>
      <c r="AK341" s="0" t="s">
        <v>49</v>
      </c>
      <c r="AL341" s="0" t="s">
        <v>49</v>
      </c>
    </row>
    <row r="342" customFormat="false" ht="15" hidden="false" customHeight="false" outlineLevel="0" collapsed="false">
      <c r="B342" s="0" t="str">
        <f aca="false">HYPERLINK("https://genome.ucsc.edu/cgi-bin/hgTracks?db=hg19&amp;position=chr6%3A84108085%2D84108085", "chr6:84108085")</f>
        <v>chr6:84108085</v>
      </c>
      <c r="C342" s="0" t="s">
        <v>279</v>
      </c>
      <c r="D342" s="0" t="n">
        <v>84108085</v>
      </c>
      <c r="E342" s="0" t="n">
        <v>84108085</v>
      </c>
      <c r="F342" s="0" t="s">
        <v>39</v>
      </c>
      <c r="G342" s="0" t="s">
        <v>40</v>
      </c>
      <c r="H342" s="0" t="s">
        <v>2036</v>
      </c>
      <c r="I342" s="0" t="s">
        <v>2037</v>
      </c>
      <c r="J342" s="0" t="s">
        <v>2038</v>
      </c>
      <c r="K342" s="0" t="s">
        <v>49</v>
      </c>
      <c r="L342" s="0" t="str">
        <f aca="false">HYPERLINK("https://www.ncbi.nlm.nih.gov/snp/rs78734745", "rs78734745")</f>
        <v>rs78734745</v>
      </c>
      <c r="M342" s="0" t="str">
        <f aca="false">HYPERLINK("https://www.genecards.org/Search/Keyword?queryString=%5Baliases%5D(%20ME1%20)&amp;keywords=ME1", "ME1")</f>
        <v>ME1</v>
      </c>
      <c r="N342" s="0" t="s">
        <v>196</v>
      </c>
      <c r="O342" s="0" t="s">
        <v>49</v>
      </c>
      <c r="P342" s="0" t="s">
        <v>2039</v>
      </c>
      <c r="Q342" s="0" t="n">
        <v>0.0099</v>
      </c>
      <c r="R342" s="0" t="n">
        <v>0.0101</v>
      </c>
      <c r="S342" s="0" t="n">
        <v>0.0086</v>
      </c>
      <c r="T342" s="0" t="n">
        <v>-1</v>
      </c>
      <c r="U342" s="0" t="n">
        <v>0.0107</v>
      </c>
      <c r="V342" s="0" t="s">
        <v>364</v>
      </c>
      <c r="W342" s="0" t="s">
        <v>333</v>
      </c>
      <c r="X342" s="0" t="s">
        <v>333</v>
      </c>
      <c r="Y342" s="0" t="s">
        <v>390</v>
      </c>
      <c r="Z342" s="0" t="s">
        <v>356</v>
      </c>
      <c r="AA342" s="0" t="s">
        <v>49</v>
      </c>
      <c r="AB342" s="0" t="s">
        <v>49</v>
      </c>
      <c r="AC342" s="0" t="s">
        <v>53</v>
      </c>
      <c r="AD342" s="0" t="s">
        <v>54</v>
      </c>
      <c r="AE342" s="0" t="s">
        <v>2040</v>
      </c>
      <c r="AF342" s="0" t="s">
        <v>2041</v>
      </c>
      <c r="AG342" s="0" t="s">
        <v>49</v>
      </c>
      <c r="AH342" s="0" t="s">
        <v>49</v>
      </c>
      <c r="AI342" s="0" t="s">
        <v>49</v>
      </c>
      <c r="AJ342" s="0" t="s">
        <v>49</v>
      </c>
      <c r="AK342" s="0" t="s">
        <v>49</v>
      </c>
      <c r="AL342" s="0" t="s">
        <v>49</v>
      </c>
    </row>
    <row r="343" customFormat="false" ht="15" hidden="false" customHeight="false" outlineLevel="0" collapsed="false">
      <c r="B343" s="0" t="str">
        <f aca="false">HYPERLINK("https://genome.ucsc.edu/cgi-bin/hgTracks?db=hg19&amp;position=chr6%3A107031054%2D107031054", "chr6:107031054")</f>
        <v>chr6:107031054</v>
      </c>
      <c r="C343" s="0" t="s">
        <v>279</v>
      </c>
      <c r="D343" s="0" t="n">
        <v>107031054</v>
      </c>
      <c r="E343" s="0" t="n">
        <v>107031054</v>
      </c>
      <c r="F343" s="0" t="s">
        <v>60</v>
      </c>
      <c r="G343" s="0" t="s">
        <v>39</v>
      </c>
      <c r="H343" s="0" t="s">
        <v>2042</v>
      </c>
      <c r="I343" s="0" t="s">
        <v>265</v>
      </c>
      <c r="J343" s="0" t="s">
        <v>2043</v>
      </c>
      <c r="K343" s="0" t="s">
        <v>49</v>
      </c>
      <c r="L343" s="0" t="str">
        <f aca="false">HYPERLINK("https://www.ncbi.nlm.nih.gov/snp/rs117120852", "rs117120852")</f>
        <v>rs117120852</v>
      </c>
      <c r="M343" s="0" t="str">
        <f aca="false">HYPERLINK("https://www.genecards.org/Search/Keyword?queryString=%5Baliases%5D(%20RTN4IP1%20)&amp;keywords=RTN4IP1", "RTN4IP1")</f>
        <v>RTN4IP1</v>
      </c>
      <c r="N343" s="0" t="s">
        <v>510</v>
      </c>
      <c r="O343" s="0" t="s">
        <v>49</v>
      </c>
      <c r="P343" s="0" t="s">
        <v>49</v>
      </c>
      <c r="Q343" s="0" t="n">
        <v>0.029354</v>
      </c>
      <c r="R343" s="0" t="n">
        <v>0.0231</v>
      </c>
      <c r="S343" s="0" t="n">
        <v>0.0252</v>
      </c>
      <c r="T343" s="0" t="n">
        <v>-1</v>
      </c>
      <c r="U343" s="0" t="n">
        <v>0.0219</v>
      </c>
      <c r="V343" s="0" t="s">
        <v>49</v>
      </c>
      <c r="W343" s="0" t="s">
        <v>49</v>
      </c>
      <c r="X343" s="0" t="s">
        <v>333</v>
      </c>
      <c r="Y343" s="0" t="s">
        <v>219</v>
      </c>
      <c r="Z343" s="0" t="s">
        <v>49</v>
      </c>
      <c r="AA343" s="0" t="s">
        <v>49</v>
      </c>
      <c r="AB343" s="0" t="s">
        <v>49</v>
      </c>
      <c r="AC343" s="0" t="s">
        <v>53</v>
      </c>
      <c r="AD343" s="0" t="s">
        <v>54</v>
      </c>
      <c r="AE343" s="0" t="s">
        <v>2044</v>
      </c>
      <c r="AF343" s="0" t="s">
        <v>2045</v>
      </c>
      <c r="AG343" s="0" t="s">
        <v>2046</v>
      </c>
      <c r="AH343" s="0" t="s">
        <v>49</v>
      </c>
      <c r="AI343" s="0" t="s">
        <v>49</v>
      </c>
      <c r="AJ343" s="0" t="s">
        <v>49</v>
      </c>
      <c r="AK343" s="0" t="s">
        <v>49</v>
      </c>
      <c r="AL343" s="0" t="s">
        <v>49</v>
      </c>
    </row>
    <row r="344" customFormat="false" ht="15" hidden="false" customHeight="false" outlineLevel="0" collapsed="false">
      <c r="B344" s="0" t="str">
        <f aca="false">HYPERLINK("https://genome.ucsc.edu/cgi-bin/hgTracks?db=hg19&amp;position=chr6%3A111896792%2D111896795", "chr6:111896792")</f>
        <v>chr6:111896792</v>
      </c>
      <c r="C344" s="0" t="s">
        <v>279</v>
      </c>
      <c r="D344" s="0" t="n">
        <v>111896792</v>
      </c>
      <c r="E344" s="0" t="n">
        <v>111896795</v>
      </c>
      <c r="F344" s="0" t="s">
        <v>2047</v>
      </c>
      <c r="G344" s="0" t="s">
        <v>190</v>
      </c>
      <c r="H344" s="0" t="s">
        <v>2048</v>
      </c>
      <c r="I344" s="0" t="s">
        <v>701</v>
      </c>
      <c r="J344" s="0" t="s">
        <v>2049</v>
      </c>
      <c r="K344" s="0" t="s">
        <v>49</v>
      </c>
      <c r="L344" s="0" t="s">
        <v>49</v>
      </c>
      <c r="M344" s="0" t="str">
        <f aca="false">HYPERLINK("https://www.genecards.org/Search/Keyword?queryString=%5Baliases%5D(%20TRAF3IP2%20)%20OR%20%5Baliases%5D(%20TRAF3IP2-AS1%20)&amp;keywords=TRAF3IP2,TRAF3IP2-AS1", "TRAF3IP2;TRAF3IP2-AS1")</f>
        <v>TRAF3IP2;TRAF3IP2-AS1</v>
      </c>
      <c r="N344" s="0" t="s">
        <v>283</v>
      </c>
      <c r="O344" s="0" t="s">
        <v>49</v>
      </c>
      <c r="P344" s="0" t="s">
        <v>49</v>
      </c>
      <c r="Q344" s="0" t="n">
        <v>-1</v>
      </c>
      <c r="R344" s="0" t="n">
        <v>-1</v>
      </c>
      <c r="S344" s="0" t="n">
        <v>-1</v>
      </c>
      <c r="T344" s="0" t="n">
        <v>-1</v>
      </c>
      <c r="U344" s="0" t="n">
        <v>-1</v>
      </c>
      <c r="V344" s="0" t="s">
        <v>49</v>
      </c>
      <c r="W344" s="0" t="s">
        <v>49</v>
      </c>
      <c r="X344" s="0" t="s">
        <v>49</v>
      </c>
      <c r="Y344" s="0" t="s">
        <v>49</v>
      </c>
      <c r="Z344" s="0" t="s">
        <v>49</v>
      </c>
      <c r="AA344" s="0" t="s">
        <v>49</v>
      </c>
      <c r="AB344" s="0" t="s">
        <v>49</v>
      </c>
      <c r="AC344" s="0" t="s">
        <v>231</v>
      </c>
      <c r="AD344" s="0" t="s">
        <v>220</v>
      </c>
      <c r="AE344" s="0" t="s">
        <v>2050</v>
      </c>
      <c r="AF344" s="0" t="s">
        <v>2051</v>
      </c>
      <c r="AG344" s="0" t="s">
        <v>2052</v>
      </c>
      <c r="AH344" s="0" t="s">
        <v>2053</v>
      </c>
      <c r="AI344" s="0" t="s">
        <v>822</v>
      </c>
      <c r="AJ344" s="0" t="s">
        <v>49</v>
      </c>
      <c r="AK344" s="0" t="s">
        <v>49</v>
      </c>
      <c r="AL344" s="0" t="s">
        <v>49</v>
      </c>
    </row>
    <row r="345" s="2" customFormat="true" ht="15" hidden="false" customHeight="false" outlineLevel="0" collapsed="false">
      <c r="B345" s="2" t="str">
        <f aca="false">HYPERLINK("https://genome.ucsc.edu/cgi-bin/hgTracks?db=hg19&amp;position=chr6%3A123760271%2D123760271", "chr6:123760271")</f>
        <v>chr6:123760271</v>
      </c>
      <c r="C345" s="2" t="s">
        <v>279</v>
      </c>
      <c r="D345" s="2" t="n">
        <v>123760271</v>
      </c>
      <c r="E345" s="2" t="n">
        <v>123760271</v>
      </c>
      <c r="F345" s="2" t="s">
        <v>61</v>
      </c>
      <c r="G345" s="2" t="s">
        <v>39</v>
      </c>
      <c r="H345" s="2" t="s">
        <v>2054</v>
      </c>
      <c r="I345" s="2" t="s">
        <v>577</v>
      </c>
      <c r="J345" s="2" t="s">
        <v>2055</v>
      </c>
      <c r="K345" s="2" t="s">
        <v>49</v>
      </c>
      <c r="L345" s="2" t="str">
        <f aca="false">HYPERLINK("https://www.ncbi.nlm.nih.gov/snp/rs188025178", "rs188025178")</f>
        <v>rs188025178</v>
      </c>
      <c r="M345" s="2" t="str">
        <f aca="false">HYPERLINK("https://www.genecards.org/Search/Keyword?queryString=%5Baliases%5D(%20TRDN%20)&amp;keywords=TRDN", "TRDN")</f>
        <v>TRDN</v>
      </c>
      <c r="N345" s="2" t="s">
        <v>283</v>
      </c>
      <c r="O345" s="2" t="s">
        <v>49</v>
      </c>
      <c r="P345" s="2" t="s">
        <v>49</v>
      </c>
      <c r="Q345" s="2" t="n">
        <v>0.0026</v>
      </c>
      <c r="R345" s="2" t="n">
        <v>0.0026</v>
      </c>
      <c r="S345" s="2" t="n">
        <v>0.0026</v>
      </c>
      <c r="T345" s="2" t="n">
        <v>-1</v>
      </c>
      <c r="U345" s="2" t="n">
        <v>0.0022</v>
      </c>
      <c r="V345" s="2" t="s">
        <v>49</v>
      </c>
      <c r="W345" s="2" t="s">
        <v>49</v>
      </c>
      <c r="X345" s="2" t="s">
        <v>218</v>
      </c>
      <c r="Y345" s="2" t="s">
        <v>219</v>
      </c>
      <c r="Z345" s="2" t="s">
        <v>49</v>
      </c>
      <c r="AA345" s="2" t="s">
        <v>49</v>
      </c>
      <c r="AB345" s="2" t="s">
        <v>49</v>
      </c>
      <c r="AC345" s="2" t="s">
        <v>53</v>
      </c>
      <c r="AD345" s="2" t="s">
        <v>54</v>
      </c>
      <c r="AE345" s="2" t="s">
        <v>2056</v>
      </c>
      <c r="AF345" s="2" t="s">
        <v>2057</v>
      </c>
      <c r="AG345" s="2" t="s">
        <v>2058</v>
      </c>
      <c r="AH345" s="2" t="s">
        <v>2059</v>
      </c>
      <c r="AI345" s="2" t="s">
        <v>49</v>
      </c>
      <c r="AJ345" s="2" t="s">
        <v>49</v>
      </c>
      <c r="AK345" s="2" t="s">
        <v>49</v>
      </c>
      <c r="AL345" s="2" t="s">
        <v>49</v>
      </c>
    </row>
    <row r="346" customFormat="false" ht="15" hidden="false" customHeight="false" outlineLevel="0" collapsed="false">
      <c r="B346" s="0" t="str">
        <f aca="false">HYPERLINK("https://genome.ucsc.edu/cgi-bin/hgTracks?db=hg19&amp;position=chr6%3A128403569%2D128403569", "chr6:128403569")</f>
        <v>chr6:128403569</v>
      </c>
      <c r="C346" s="0" t="s">
        <v>279</v>
      </c>
      <c r="D346" s="0" t="n">
        <v>128403569</v>
      </c>
      <c r="E346" s="0" t="n">
        <v>128403569</v>
      </c>
      <c r="F346" s="0" t="s">
        <v>40</v>
      </c>
      <c r="G346" s="0" t="s">
        <v>39</v>
      </c>
      <c r="H346" s="0" t="s">
        <v>2060</v>
      </c>
      <c r="I346" s="0" t="s">
        <v>2061</v>
      </c>
      <c r="J346" s="0" t="s">
        <v>2062</v>
      </c>
      <c r="K346" s="0" t="s">
        <v>49</v>
      </c>
      <c r="L346" s="0" t="str">
        <f aca="false">HYPERLINK("https://www.ncbi.nlm.nih.gov/snp/rs6907300", "rs6907300")</f>
        <v>rs6907300</v>
      </c>
      <c r="M346" s="0" t="str">
        <f aca="false">HYPERLINK("https://www.genecards.org/Search/Keyword?queryString=%5Baliases%5D(%20LOC101928140%20)%20OR%20%5Baliases%5D(%20PTPRK%20)&amp;keywords=LOC101928140,PTPRK", "LOC101928140;PTPRK")</f>
        <v>LOC101928140;PTPRK</v>
      </c>
      <c r="N346" s="0" t="s">
        <v>283</v>
      </c>
      <c r="O346" s="0" t="s">
        <v>49</v>
      </c>
      <c r="P346" s="0" t="s">
        <v>49</v>
      </c>
      <c r="Q346" s="0" t="n">
        <v>0.0202</v>
      </c>
      <c r="R346" s="0" t="n">
        <v>0.02</v>
      </c>
      <c r="S346" s="0" t="n">
        <v>0.0203</v>
      </c>
      <c r="T346" s="0" t="n">
        <v>-1</v>
      </c>
      <c r="U346" s="0" t="n">
        <v>0.0183</v>
      </c>
      <c r="V346" s="0" t="s">
        <v>49</v>
      </c>
      <c r="W346" s="0" t="s">
        <v>49</v>
      </c>
      <c r="X346" s="0" t="s">
        <v>517</v>
      </c>
      <c r="Y346" s="0" t="s">
        <v>219</v>
      </c>
      <c r="Z346" s="0" t="s">
        <v>49</v>
      </c>
      <c r="AA346" s="0" t="s">
        <v>49</v>
      </c>
      <c r="AB346" s="0" t="s">
        <v>49</v>
      </c>
      <c r="AC346" s="0" t="s">
        <v>53</v>
      </c>
      <c r="AD346" s="0" t="s">
        <v>220</v>
      </c>
      <c r="AE346" s="0" t="s">
        <v>2063</v>
      </c>
      <c r="AF346" s="0" t="s">
        <v>2064</v>
      </c>
      <c r="AG346" s="0" t="s">
        <v>2065</v>
      </c>
      <c r="AH346" s="0" t="s">
        <v>49</v>
      </c>
      <c r="AI346" s="0" t="s">
        <v>49</v>
      </c>
      <c r="AJ346" s="0" t="s">
        <v>49</v>
      </c>
      <c r="AK346" s="0" t="s">
        <v>49</v>
      </c>
      <c r="AL346" s="0" t="s">
        <v>49</v>
      </c>
    </row>
    <row r="347" customFormat="false" ht="15" hidden="false" customHeight="false" outlineLevel="0" collapsed="false">
      <c r="B347" s="0" t="str">
        <f aca="false">HYPERLINK("https://genome.ucsc.edu/cgi-bin/hgTracks?db=hg19&amp;position=chr6%3A129773986%2D129773986", "chr6:129773986")</f>
        <v>chr6:129773986</v>
      </c>
      <c r="C347" s="0" t="s">
        <v>279</v>
      </c>
      <c r="D347" s="0" t="n">
        <v>129773986</v>
      </c>
      <c r="E347" s="0" t="n">
        <v>129773986</v>
      </c>
      <c r="F347" s="0" t="s">
        <v>60</v>
      </c>
      <c r="G347" s="0" t="s">
        <v>61</v>
      </c>
      <c r="H347" s="0" t="s">
        <v>2066</v>
      </c>
      <c r="I347" s="0" t="s">
        <v>1896</v>
      </c>
      <c r="J347" s="0" t="s">
        <v>2067</v>
      </c>
      <c r="K347" s="0" t="s">
        <v>49</v>
      </c>
      <c r="L347" s="0" t="str">
        <f aca="false">HYPERLINK("https://www.ncbi.nlm.nih.gov/snp/rs188863632", "rs188863632")</f>
        <v>rs188863632</v>
      </c>
      <c r="M347" s="0" t="str">
        <f aca="false">HYPERLINK("https://www.genecards.org/Search/Keyword?queryString=%5Baliases%5D(%20LAMA2%20)&amp;keywords=LAMA2", "LAMA2")</f>
        <v>LAMA2</v>
      </c>
      <c r="N347" s="0" t="s">
        <v>510</v>
      </c>
      <c r="O347" s="0" t="s">
        <v>49</v>
      </c>
      <c r="P347" s="0" t="s">
        <v>49</v>
      </c>
      <c r="Q347" s="0" t="n">
        <v>0.003</v>
      </c>
      <c r="R347" s="0" t="n">
        <v>0.0025</v>
      </c>
      <c r="S347" s="0" t="n">
        <v>0.0036</v>
      </c>
      <c r="T347" s="0" t="n">
        <v>-1</v>
      </c>
      <c r="U347" s="0" t="n">
        <v>0.0081</v>
      </c>
      <c r="V347" s="0" t="s">
        <v>49</v>
      </c>
      <c r="W347" s="0" t="s">
        <v>49</v>
      </c>
      <c r="X347" s="0" t="s">
        <v>517</v>
      </c>
      <c r="Y347" s="0" t="s">
        <v>219</v>
      </c>
      <c r="Z347" s="0" t="s">
        <v>49</v>
      </c>
      <c r="AA347" s="0" t="s">
        <v>49</v>
      </c>
      <c r="AB347" s="0" t="s">
        <v>49</v>
      </c>
      <c r="AC347" s="0" t="s">
        <v>53</v>
      </c>
      <c r="AD347" s="0" t="s">
        <v>54</v>
      </c>
      <c r="AE347" s="0" t="s">
        <v>2068</v>
      </c>
      <c r="AF347" s="0" t="s">
        <v>2069</v>
      </c>
      <c r="AG347" s="0" t="s">
        <v>610</v>
      </c>
      <c r="AH347" s="0" t="s">
        <v>2070</v>
      </c>
      <c r="AI347" s="0" t="s">
        <v>49</v>
      </c>
      <c r="AJ347" s="0" t="s">
        <v>49</v>
      </c>
      <c r="AK347" s="0" t="s">
        <v>49</v>
      </c>
      <c r="AL347" s="0" t="s">
        <v>49</v>
      </c>
    </row>
    <row r="348" customFormat="false" ht="15" hidden="false" customHeight="false" outlineLevel="0" collapsed="false">
      <c r="B348" s="0" t="str">
        <f aca="false">HYPERLINK("https://genome.ucsc.edu/cgi-bin/hgTracks?db=hg19&amp;position=chr6%3A132141080%2D132141080", "chr6:132141080")</f>
        <v>chr6:132141080</v>
      </c>
      <c r="C348" s="0" t="s">
        <v>279</v>
      </c>
      <c r="D348" s="0" t="n">
        <v>132141080</v>
      </c>
      <c r="E348" s="0" t="n">
        <v>132141080</v>
      </c>
      <c r="F348" s="0" t="s">
        <v>40</v>
      </c>
      <c r="G348" s="0" t="s">
        <v>190</v>
      </c>
      <c r="H348" s="0" t="s">
        <v>2071</v>
      </c>
      <c r="I348" s="0" t="s">
        <v>402</v>
      </c>
      <c r="J348" s="0" t="s">
        <v>2072</v>
      </c>
      <c r="K348" s="0" t="s">
        <v>49</v>
      </c>
      <c r="L348" s="0" t="str">
        <f aca="false">HYPERLINK("https://www.ncbi.nlm.nih.gov/snp/rs879089760", "rs879089760")</f>
        <v>rs879089760</v>
      </c>
      <c r="M348" s="0" t="str">
        <f aca="false">HYPERLINK("https://www.genecards.org/Search/Keyword?queryString=%5Baliases%5D(%20ENPP1%20)&amp;keywords=ENPP1", "ENPP1")</f>
        <v>ENPP1</v>
      </c>
      <c r="N348" s="0" t="s">
        <v>300</v>
      </c>
      <c r="O348" s="0" t="s">
        <v>49</v>
      </c>
      <c r="P348" s="0" t="s">
        <v>49</v>
      </c>
      <c r="Q348" s="0" t="n">
        <v>0.0285</v>
      </c>
      <c r="R348" s="0" t="n">
        <v>0.029</v>
      </c>
      <c r="S348" s="0" t="n">
        <v>0.0311</v>
      </c>
      <c r="T348" s="0" t="n">
        <v>-1</v>
      </c>
      <c r="U348" s="0" t="n">
        <v>0.032</v>
      </c>
      <c r="V348" s="0" t="s">
        <v>49</v>
      </c>
      <c r="W348" s="0" t="s">
        <v>49</v>
      </c>
      <c r="X348" s="0" t="s">
        <v>49</v>
      </c>
      <c r="Y348" s="0" t="s">
        <v>49</v>
      </c>
      <c r="Z348" s="0" t="s">
        <v>49</v>
      </c>
      <c r="AA348" s="0" t="s">
        <v>49</v>
      </c>
      <c r="AB348" s="0" t="s">
        <v>49</v>
      </c>
      <c r="AC348" s="0" t="s">
        <v>53</v>
      </c>
      <c r="AD348" s="0" t="s">
        <v>54</v>
      </c>
      <c r="AE348" s="0" t="s">
        <v>2073</v>
      </c>
      <c r="AF348" s="0" t="s">
        <v>2074</v>
      </c>
      <c r="AG348" s="0" t="s">
        <v>2075</v>
      </c>
      <c r="AH348" s="0" t="s">
        <v>2076</v>
      </c>
      <c r="AI348" s="0" t="s">
        <v>49</v>
      </c>
      <c r="AJ348" s="0" t="s">
        <v>49</v>
      </c>
      <c r="AK348" s="0" t="s">
        <v>49</v>
      </c>
      <c r="AL348" s="0" t="s">
        <v>49</v>
      </c>
    </row>
    <row r="349" customFormat="false" ht="15" hidden="false" customHeight="false" outlineLevel="0" collapsed="false">
      <c r="B349" s="0" t="str">
        <f aca="false">HYPERLINK("https://genome.ucsc.edu/cgi-bin/hgTracks?db=hg19&amp;position=chr6%3A137244957%2D137244957", "chr6:137244957")</f>
        <v>chr6:137244957</v>
      </c>
      <c r="C349" s="0" t="s">
        <v>279</v>
      </c>
      <c r="D349" s="0" t="n">
        <v>137244957</v>
      </c>
      <c r="E349" s="0" t="n">
        <v>137244957</v>
      </c>
      <c r="F349" s="0" t="s">
        <v>39</v>
      </c>
      <c r="G349" s="0" t="s">
        <v>60</v>
      </c>
      <c r="H349" s="0" t="s">
        <v>2077</v>
      </c>
      <c r="I349" s="0" t="s">
        <v>556</v>
      </c>
      <c r="J349" s="0" t="s">
        <v>2078</v>
      </c>
      <c r="K349" s="0" t="s">
        <v>49</v>
      </c>
      <c r="L349" s="0" t="str">
        <f aca="false">HYPERLINK("https://www.ncbi.nlm.nih.gov/snp/rs139797380", "rs139797380")</f>
        <v>rs139797380</v>
      </c>
      <c r="M349" s="0" t="str">
        <f aca="false">HYPERLINK("https://www.genecards.org/Search/Keyword?queryString=%5Baliases%5D(%20SLC35D3%20)&amp;keywords=SLC35D3", "SLC35D3")</f>
        <v>SLC35D3</v>
      </c>
      <c r="N349" s="0" t="s">
        <v>510</v>
      </c>
      <c r="O349" s="0" t="s">
        <v>49</v>
      </c>
      <c r="P349" s="0" t="s">
        <v>49</v>
      </c>
      <c r="Q349" s="0" t="n">
        <v>0.0207</v>
      </c>
      <c r="R349" s="0" t="n">
        <v>0.0085</v>
      </c>
      <c r="S349" s="0" t="n">
        <v>0.0075</v>
      </c>
      <c r="T349" s="0" t="n">
        <v>-1</v>
      </c>
      <c r="U349" s="0" t="n">
        <v>0.0091</v>
      </c>
      <c r="V349" s="0" t="s">
        <v>49</v>
      </c>
      <c r="W349" s="0" t="s">
        <v>49</v>
      </c>
      <c r="X349" s="0" t="s">
        <v>517</v>
      </c>
      <c r="Y349" s="0" t="s">
        <v>219</v>
      </c>
      <c r="Z349" s="0" t="s">
        <v>49</v>
      </c>
      <c r="AA349" s="0" t="s">
        <v>49</v>
      </c>
      <c r="AB349" s="0" t="s">
        <v>49</v>
      </c>
      <c r="AC349" s="0" t="s">
        <v>53</v>
      </c>
      <c r="AD349" s="0" t="s">
        <v>54</v>
      </c>
      <c r="AE349" s="0" t="s">
        <v>2079</v>
      </c>
      <c r="AF349" s="0" t="s">
        <v>2080</v>
      </c>
      <c r="AG349" s="0" t="s">
        <v>2081</v>
      </c>
      <c r="AH349" s="0" t="s">
        <v>49</v>
      </c>
      <c r="AI349" s="0" t="s">
        <v>49</v>
      </c>
      <c r="AJ349" s="0" t="s">
        <v>49</v>
      </c>
      <c r="AK349" s="0" t="s">
        <v>49</v>
      </c>
      <c r="AL349" s="0" t="s">
        <v>49</v>
      </c>
    </row>
    <row r="350" customFormat="false" ht="15" hidden="false" customHeight="false" outlineLevel="0" collapsed="false">
      <c r="B350" s="0" t="str">
        <f aca="false">HYPERLINK("https://genome.ucsc.edu/cgi-bin/hgTracks?db=hg19&amp;position=chr6%3A157431564%2D157431564", "chr6:157431564")</f>
        <v>chr6:157431564</v>
      </c>
      <c r="C350" s="0" t="s">
        <v>279</v>
      </c>
      <c r="D350" s="0" t="n">
        <v>157431564</v>
      </c>
      <c r="E350" s="0" t="n">
        <v>157431564</v>
      </c>
      <c r="F350" s="0" t="s">
        <v>61</v>
      </c>
      <c r="G350" s="0" t="s">
        <v>60</v>
      </c>
      <c r="H350" s="0" t="s">
        <v>2082</v>
      </c>
      <c r="I350" s="0" t="s">
        <v>193</v>
      </c>
      <c r="J350" s="0" t="s">
        <v>2083</v>
      </c>
      <c r="K350" s="0" t="s">
        <v>49</v>
      </c>
      <c r="L350" s="0" t="str">
        <f aca="false">HYPERLINK("https://www.ncbi.nlm.nih.gov/snp/rs75599866", "rs75599866")</f>
        <v>rs75599866</v>
      </c>
      <c r="M350" s="0" t="str">
        <f aca="false">HYPERLINK("https://www.genecards.org/Search/Keyword?queryString=%5Baliases%5D(%20ARID1B%20)&amp;keywords=ARID1B", "ARID1B")</f>
        <v>ARID1B</v>
      </c>
      <c r="N350" s="0" t="s">
        <v>283</v>
      </c>
      <c r="O350" s="0" t="s">
        <v>49</v>
      </c>
      <c r="P350" s="0" t="s">
        <v>49</v>
      </c>
      <c r="Q350" s="0" t="n">
        <v>0.017241</v>
      </c>
      <c r="R350" s="0" t="n">
        <v>0.0106</v>
      </c>
      <c r="S350" s="0" t="n">
        <v>0.0121</v>
      </c>
      <c r="T350" s="0" t="n">
        <v>-1</v>
      </c>
      <c r="U350" s="0" t="n">
        <v>0.0083</v>
      </c>
      <c r="V350" s="0" t="s">
        <v>49</v>
      </c>
      <c r="W350" s="0" t="s">
        <v>49</v>
      </c>
      <c r="X350" s="0" t="s">
        <v>218</v>
      </c>
      <c r="Y350" s="0" t="s">
        <v>219</v>
      </c>
      <c r="Z350" s="0" t="s">
        <v>49</v>
      </c>
      <c r="AA350" s="0" t="s">
        <v>49</v>
      </c>
      <c r="AB350" s="0" t="s">
        <v>49</v>
      </c>
      <c r="AC350" s="0" t="s">
        <v>53</v>
      </c>
      <c r="AD350" s="0" t="s">
        <v>54</v>
      </c>
      <c r="AE350" s="0" t="s">
        <v>2084</v>
      </c>
      <c r="AF350" s="0" t="s">
        <v>2085</v>
      </c>
      <c r="AG350" s="0" t="s">
        <v>2086</v>
      </c>
      <c r="AH350" s="0" t="s">
        <v>2087</v>
      </c>
      <c r="AI350" s="0" t="s">
        <v>49</v>
      </c>
      <c r="AJ350" s="0" t="s">
        <v>49</v>
      </c>
      <c r="AK350" s="0" t="s">
        <v>49</v>
      </c>
      <c r="AL350" s="0" t="s">
        <v>49</v>
      </c>
    </row>
    <row r="351" customFormat="false" ht="15" hidden="false" customHeight="false" outlineLevel="0" collapsed="false">
      <c r="B351" s="0" t="str">
        <f aca="false">HYPERLINK("https://genome.ucsc.edu/cgi-bin/hgTracks?db=hg19&amp;position=chr7%3A2985364%2D2985365", "chr7:2985364")</f>
        <v>chr7:2985364</v>
      </c>
      <c r="C351" s="0" t="s">
        <v>201</v>
      </c>
      <c r="D351" s="0" t="n">
        <v>2985364</v>
      </c>
      <c r="E351" s="0" t="n">
        <v>2985365</v>
      </c>
      <c r="F351" s="0" t="s">
        <v>1371</v>
      </c>
      <c r="G351" s="0" t="s">
        <v>190</v>
      </c>
      <c r="H351" s="0" t="s">
        <v>2088</v>
      </c>
      <c r="I351" s="0" t="s">
        <v>1295</v>
      </c>
      <c r="J351" s="0" t="s">
        <v>2089</v>
      </c>
      <c r="K351" s="0" t="s">
        <v>49</v>
      </c>
      <c r="L351" s="0" t="s">
        <v>49</v>
      </c>
      <c r="M351" s="0" t="str">
        <f aca="false">HYPERLINK("https://www.genecards.org/Search/Keyword?queryString=%5Baliases%5D(%20CARD11%20)&amp;keywords=CARD11", "CARD11")</f>
        <v>CARD11</v>
      </c>
      <c r="N351" s="0" t="s">
        <v>283</v>
      </c>
      <c r="O351" s="0" t="s">
        <v>49</v>
      </c>
      <c r="P351" s="0" t="s">
        <v>49</v>
      </c>
      <c r="Q351" s="0" t="n">
        <v>-1</v>
      </c>
      <c r="R351" s="0" t="n">
        <v>-1</v>
      </c>
      <c r="S351" s="0" t="n">
        <v>-1</v>
      </c>
      <c r="T351" s="0" t="n">
        <v>-1</v>
      </c>
      <c r="U351" s="0" t="n">
        <v>-1</v>
      </c>
      <c r="V351" s="0" t="s">
        <v>49</v>
      </c>
      <c r="W351" s="0" t="s">
        <v>49</v>
      </c>
      <c r="X351" s="0" t="s">
        <v>49</v>
      </c>
      <c r="Y351" s="0" t="s">
        <v>49</v>
      </c>
      <c r="Z351" s="0" t="s">
        <v>49</v>
      </c>
      <c r="AA351" s="0" t="s">
        <v>49</v>
      </c>
      <c r="AB351" s="0" t="s">
        <v>49</v>
      </c>
      <c r="AC351" s="0" t="s">
        <v>231</v>
      </c>
      <c r="AD351" s="0" t="s">
        <v>54</v>
      </c>
      <c r="AE351" s="0" t="s">
        <v>2090</v>
      </c>
      <c r="AF351" s="0" t="s">
        <v>2091</v>
      </c>
      <c r="AG351" s="0" t="s">
        <v>2092</v>
      </c>
      <c r="AH351" s="0" t="s">
        <v>2093</v>
      </c>
      <c r="AI351" s="0" t="s">
        <v>49</v>
      </c>
      <c r="AJ351" s="0" t="s">
        <v>49</v>
      </c>
      <c r="AK351" s="0" t="s">
        <v>49</v>
      </c>
      <c r="AL351" s="0" t="s">
        <v>49</v>
      </c>
    </row>
    <row r="352" customFormat="false" ht="15" hidden="false" customHeight="false" outlineLevel="0" collapsed="false">
      <c r="B352" s="0" t="str">
        <f aca="false">HYPERLINK("https://genome.ucsc.edu/cgi-bin/hgTracks?db=hg19&amp;position=chr7%3A5429992%2D5429992", "chr7:5429992")</f>
        <v>chr7:5429992</v>
      </c>
      <c r="C352" s="0" t="s">
        <v>201</v>
      </c>
      <c r="D352" s="0" t="n">
        <v>5429992</v>
      </c>
      <c r="E352" s="0" t="n">
        <v>5429992</v>
      </c>
      <c r="F352" s="0" t="s">
        <v>61</v>
      </c>
      <c r="G352" s="0" t="s">
        <v>190</v>
      </c>
      <c r="H352" s="0" t="s">
        <v>2094</v>
      </c>
      <c r="I352" s="0" t="s">
        <v>701</v>
      </c>
      <c r="J352" s="0" t="s">
        <v>2095</v>
      </c>
      <c r="K352" s="0" t="s">
        <v>49</v>
      </c>
      <c r="L352" s="0" t="s">
        <v>49</v>
      </c>
      <c r="M352" s="0" t="str">
        <f aca="false">HYPERLINK("https://www.genecards.org/Search/Keyword?queryString=%5Baliases%5D(%20TNRC18%20)&amp;keywords=TNRC18", "TNRC18")</f>
        <v>TNRC18</v>
      </c>
      <c r="N352" s="0" t="s">
        <v>549</v>
      </c>
      <c r="O352" s="0" t="s">
        <v>2096</v>
      </c>
      <c r="P352" s="0" t="s">
        <v>2097</v>
      </c>
      <c r="Q352" s="0" t="n">
        <v>-1</v>
      </c>
      <c r="R352" s="0" t="n">
        <v>-1</v>
      </c>
      <c r="S352" s="0" t="n">
        <v>-1</v>
      </c>
      <c r="T352" s="0" t="n">
        <v>-1</v>
      </c>
      <c r="U352" s="0" t="n">
        <v>-1</v>
      </c>
      <c r="V352" s="0" t="s">
        <v>49</v>
      </c>
      <c r="W352" s="0" t="s">
        <v>49</v>
      </c>
      <c r="X352" s="0" t="s">
        <v>49</v>
      </c>
      <c r="Y352" s="0" t="s">
        <v>49</v>
      </c>
      <c r="Z352" s="0" t="s">
        <v>49</v>
      </c>
      <c r="AA352" s="0" t="s">
        <v>49</v>
      </c>
      <c r="AB352" s="0" t="s">
        <v>49</v>
      </c>
      <c r="AC352" s="0" t="s">
        <v>231</v>
      </c>
      <c r="AD352" s="0" t="s">
        <v>54</v>
      </c>
      <c r="AE352" s="0" t="s">
        <v>2098</v>
      </c>
      <c r="AF352" s="0" t="s">
        <v>2099</v>
      </c>
      <c r="AG352" s="0" t="s">
        <v>49</v>
      </c>
      <c r="AH352" s="0" t="s">
        <v>49</v>
      </c>
      <c r="AI352" s="0" t="s">
        <v>49</v>
      </c>
      <c r="AJ352" s="0" t="s">
        <v>49</v>
      </c>
      <c r="AK352" s="0" t="s">
        <v>49</v>
      </c>
      <c r="AL352" s="0" t="s">
        <v>49</v>
      </c>
    </row>
    <row r="353" customFormat="false" ht="15" hidden="false" customHeight="false" outlineLevel="0" collapsed="false">
      <c r="B353" s="0" t="str">
        <f aca="false">HYPERLINK("https://genome.ucsc.edu/cgi-bin/hgTracks?db=hg19&amp;position=chr7%3A16128037%2D16128037", "chr7:16128037")</f>
        <v>chr7:16128037</v>
      </c>
      <c r="C353" s="0" t="s">
        <v>201</v>
      </c>
      <c r="D353" s="0" t="n">
        <v>16128037</v>
      </c>
      <c r="E353" s="0" t="n">
        <v>16128037</v>
      </c>
      <c r="F353" s="0" t="s">
        <v>190</v>
      </c>
      <c r="G353" s="0" t="s">
        <v>2100</v>
      </c>
      <c r="H353" s="0" t="s">
        <v>237</v>
      </c>
      <c r="I353" s="0" t="s">
        <v>238</v>
      </c>
      <c r="J353" s="0" t="s">
        <v>239</v>
      </c>
      <c r="K353" s="0" t="s">
        <v>49</v>
      </c>
      <c r="L353" s="0" t="s">
        <v>49</v>
      </c>
      <c r="M353" s="0" t="str">
        <f aca="false">HYPERLINK("https://www.genecards.org/Search/Keyword?queryString=%5Baliases%5D(%20CRPPA%20)%20OR%20%5Baliases%5D(%20ISPD%20)&amp;keywords=CRPPA,ISPD", "CRPPA;ISPD")</f>
        <v>CRPPA;ISPD</v>
      </c>
      <c r="N353" s="0" t="s">
        <v>240</v>
      </c>
      <c r="O353" s="0" t="s">
        <v>49</v>
      </c>
      <c r="P353" s="0" t="s">
        <v>2101</v>
      </c>
      <c r="Q353" s="0" t="n">
        <v>-1</v>
      </c>
      <c r="R353" s="0" t="n">
        <v>-1</v>
      </c>
      <c r="S353" s="0" t="n">
        <v>-1</v>
      </c>
      <c r="T353" s="0" t="n">
        <v>-1</v>
      </c>
      <c r="U353" s="0" t="n">
        <v>-1</v>
      </c>
      <c r="V353" s="0" t="s">
        <v>49</v>
      </c>
      <c r="W353" s="0" t="s">
        <v>49</v>
      </c>
      <c r="X353" s="0" t="s">
        <v>49</v>
      </c>
      <c r="Y353" s="0" t="s">
        <v>49</v>
      </c>
      <c r="Z353" s="0" t="s">
        <v>49</v>
      </c>
      <c r="AA353" s="0" t="s">
        <v>49</v>
      </c>
      <c r="AB353" s="0" t="s">
        <v>49</v>
      </c>
      <c r="AC353" s="0" t="s">
        <v>231</v>
      </c>
      <c r="AD353" s="0" t="s">
        <v>242</v>
      </c>
      <c r="AE353" s="0" t="s">
        <v>243</v>
      </c>
      <c r="AF353" s="0" t="s">
        <v>244</v>
      </c>
      <c r="AG353" s="0" t="s">
        <v>245</v>
      </c>
      <c r="AH353" s="0" t="s">
        <v>246</v>
      </c>
      <c r="AI353" s="0" t="s">
        <v>49</v>
      </c>
      <c r="AJ353" s="0" t="s">
        <v>49</v>
      </c>
      <c r="AK353" s="0" t="s">
        <v>49</v>
      </c>
      <c r="AL353" s="0" t="s">
        <v>49</v>
      </c>
    </row>
    <row r="354" customFormat="false" ht="15" hidden="false" customHeight="false" outlineLevel="0" collapsed="false">
      <c r="B354" s="0" t="str">
        <f aca="false">HYPERLINK("https://genome.ucsc.edu/cgi-bin/hgTracks?db=hg19&amp;position=chr7%3A66416155%2D66416155", "chr7:66416155")</f>
        <v>chr7:66416155</v>
      </c>
      <c r="C354" s="0" t="s">
        <v>201</v>
      </c>
      <c r="D354" s="0" t="n">
        <v>66416155</v>
      </c>
      <c r="E354" s="0" t="n">
        <v>66416155</v>
      </c>
      <c r="F354" s="0" t="s">
        <v>60</v>
      </c>
      <c r="G354" s="0" t="s">
        <v>61</v>
      </c>
      <c r="H354" s="0" t="s">
        <v>2102</v>
      </c>
      <c r="I354" s="0" t="s">
        <v>1021</v>
      </c>
      <c r="J354" s="0" t="s">
        <v>2103</v>
      </c>
      <c r="K354" s="0" t="s">
        <v>49</v>
      </c>
      <c r="L354" s="0" t="str">
        <f aca="false">HYPERLINK("https://www.ncbi.nlm.nih.gov/snp/rs192206936", "rs192206936")</f>
        <v>rs192206936</v>
      </c>
      <c r="M354" s="0" t="str">
        <f aca="false">HYPERLINK("https://www.genecards.org/Search/Keyword?queryString=%5Baliases%5D(%20TMEM248%20)&amp;keywords=TMEM248", "TMEM248")</f>
        <v>TMEM248</v>
      </c>
      <c r="N354" s="0" t="s">
        <v>510</v>
      </c>
      <c r="O354" s="0" t="s">
        <v>49</v>
      </c>
      <c r="P354" s="0" t="s">
        <v>49</v>
      </c>
      <c r="Q354" s="0" t="n">
        <v>0.006</v>
      </c>
      <c r="R354" s="0" t="n">
        <v>0.0046</v>
      </c>
      <c r="S354" s="0" t="n">
        <v>0.0045</v>
      </c>
      <c r="T354" s="0" t="n">
        <v>-1</v>
      </c>
      <c r="U354" s="0" t="n">
        <v>0.0055</v>
      </c>
      <c r="V354" s="0" t="s">
        <v>49</v>
      </c>
      <c r="W354" s="0" t="s">
        <v>49</v>
      </c>
      <c r="X354" s="0" t="s">
        <v>517</v>
      </c>
      <c r="Y354" s="0" t="s">
        <v>219</v>
      </c>
      <c r="Z354" s="0" t="s">
        <v>49</v>
      </c>
      <c r="AA354" s="0" t="s">
        <v>49</v>
      </c>
      <c r="AB354" s="0" t="s">
        <v>49</v>
      </c>
      <c r="AC354" s="0" t="s">
        <v>53</v>
      </c>
      <c r="AD354" s="0" t="s">
        <v>54</v>
      </c>
      <c r="AE354" s="0" t="s">
        <v>2104</v>
      </c>
      <c r="AF354" s="0" t="s">
        <v>2105</v>
      </c>
      <c r="AG354" s="0" t="s">
        <v>49</v>
      </c>
      <c r="AH354" s="0" t="s">
        <v>49</v>
      </c>
      <c r="AI354" s="0" t="s">
        <v>49</v>
      </c>
      <c r="AJ354" s="0" t="s">
        <v>49</v>
      </c>
      <c r="AK354" s="0" t="s">
        <v>49</v>
      </c>
      <c r="AL354" s="0" t="s">
        <v>49</v>
      </c>
    </row>
    <row r="355" customFormat="false" ht="15" hidden="false" customHeight="false" outlineLevel="0" collapsed="false">
      <c r="B355" s="0" t="str">
        <f aca="false">HYPERLINK("https://genome.ucsc.edu/cgi-bin/hgTracks?db=hg19&amp;position=chr7%3A76054644%2D76054644", "chr7:76054644")</f>
        <v>chr7:76054644</v>
      </c>
      <c r="C355" s="0" t="s">
        <v>201</v>
      </c>
      <c r="D355" s="0" t="n">
        <v>76054644</v>
      </c>
      <c r="E355" s="0" t="n">
        <v>76054644</v>
      </c>
      <c r="F355" s="0" t="s">
        <v>39</v>
      </c>
      <c r="G355" s="0" t="s">
        <v>61</v>
      </c>
      <c r="H355" s="0" t="s">
        <v>2106</v>
      </c>
      <c r="I355" s="0" t="s">
        <v>1108</v>
      </c>
      <c r="J355" s="0" t="s">
        <v>1327</v>
      </c>
      <c r="K355" s="0" t="s">
        <v>49</v>
      </c>
      <c r="L355" s="0" t="str">
        <f aca="false">HYPERLINK("https://www.ncbi.nlm.nih.gov/snp/rs2286429", "rs2286429")</f>
        <v>rs2286429</v>
      </c>
      <c r="M355" s="0" t="str">
        <f aca="false">HYPERLINK("https://www.genecards.org/Search/Keyword?queryString=%5Baliases%5D(%20ZP3%20)&amp;keywords=ZP3", "ZP3")</f>
        <v>ZP3</v>
      </c>
      <c r="N355" s="0" t="s">
        <v>510</v>
      </c>
      <c r="O355" s="0" t="s">
        <v>49</v>
      </c>
      <c r="P355" s="0" t="s">
        <v>49</v>
      </c>
      <c r="Q355" s="0" t="n">
        <v>0.006</v>
      </c>
      <c r="R355" s="0" t="n">
        <v>0.0013</v>
      </c>
      <c r="S355" s="0" t="n">
        <v>0.0013</v>
      </c>
      <c r="T355" s="0" t="n">
        <v>-1</v>
      </c>
      <c r="U355" s="0" t="n">
        <v>0.0011</v>
      </c>
      <c r="V355" s="0" t="s">
        <v>49</v>
      </c>
      <c r="W355" s="0" t="s">
        <v>49</v>
      </c>
      <c r="X355" s="0" t="s">
        <v>517</v>
      </c>
      <c r="Y355" s="0" t="s">
        <v>219</v>
      </c>
      <c r="Z355" s="0" t="s">
        <v>49</v>
      </c>
      <c r="AA355" s="0" t="s">
        <v>49</v>
      </c>
      <c r="AB355" s="0" t="s">
        <v>49</v>
      </c>
      <c r="AC355" s="0" t="s">
        <v>53</v>
      </c>
      <c r="AD355" s="0" t="s">
        <v>54</v>
      </c>
      <c r="AE355" s="0" t="s">
        <v>2107</v>
      </c>
      <c r="AF355" s="0" t="s">
        <v>2108</v>
      </c>
      <c r="AG355" s="0" t="s">
        <v>2109</v>
      </c>
      <c r="AH355" s="0" t="s">
        <v>49</v>
      </c>
      <c r="AI355" s="0" t="s">
        <v>49</v>
      </c>
      <c r="AJ355" s="0" t="s">
        <v>49</v>
      </c>
      <c r="AK355" s="0" t="s">
        <v>49</v>
      </c>
      <c r="AL355" s="0" t="s">
        <v>49</v>
      </c>
    </row>
    <row r="356" customFormat="false" ht="15" hidden="false" customHeight="false" outlineLevel="0" collapsed="false">
      <c r="B356" s="0" t="str">
        <f aca="false">HYPERLINK("https://genome.ucsc.edu/cgi-bin/hgTracks?db=hg19&amp;position=chr7%3A95222307%2D95222307", "chr7:95222307")</f>
        <v>chr7:95222307</v>
      </c>
      <c r="C356" s="0" t="s">
        <v>201</v>
      </c>
      <c r="D356" s="0" t="n">
        <v>95222307</v>
      </c>
      <c r="E356" s="0" t="n">
        <v>95222307</v>
      </c>
      <c r="F356" s="0" t="s">
        <v>40</v>
      </c>
      <c r="G356" s="0" t="s">
        <v>39</v>
      </c>
      <c r="H356" s="0" t="s">
        <v>2110</v>
      </c>
      <c r="I356" s="0" t="s">
        <v>227</v>
      </c>
      <c r="J356" s="0" t="s">
        <v>2111</v>
      </c>
      <c r="K356" s="0" t="s">
        <v>49</v>
      </c>
      <c r="L356" s="0" t="str">
        <f aca="false">HYPERLINK("https://www.ncbi.nlm.nih.gov/snp/rs376650787", "rs376650787")</f>
        <v>rs376650787</v>
      </c>
      <c r="M356" s="0" t="str">
        <f aca="false">HYPERLINK("https://www.genecards.org/Search/Keyword?queryString=%5Baliases%5D(%20PDK4%20)&amp;keywords=PDK4", "PDK4")</f>
        <v>PDK4</v>
      </c>
      <c r="N356" s="0" t="s">
        <v>510</v>
      </c>
      <c r="O356" s="0" t="s">
        <v>49</v>
      </c>
      <c r="P356" s="0" t="s">
        <v>49</v>
      </c>
      <c r="Q356" s="0" t="n">
        <v>0.0037</v>
      </c>
      <c r="R356" s="0" t="n">
        <v>0.002</v>
      </c>
      <c r="S356" s="0" t="n">
        <v>0.0019</v>
      </c>
      <c r="T356" s="0" t="n">
        <v>-1</v>
      </c>
      <c r="U356" s="0" t="n">
        <v>0.0033</v>
      </c>
      <c r="V356" s="0" t="s">
        <v>49</v>
      </c>
      <c r="W356" s="0" t="s">
        <v>49</v>
      </c>
      <c r="X356" s="0" t="s">
        <v>333</v>
      </c>
      <c r="Y356" s="0" t="s">
        <v>219</v>
      </c>
      <c r="Z356" s="0" t="s">
        <v>49</v>
      </c>
      <c r="AA356" s="0" t="s">
        <v>49</v>
      </c>
      <c r="AB356" s="0" t="s">
        <v>49</v>
      </c>
      <c r="AC356" s="0" t="s">
        <v>53</v>
      </c>
      <c r="AD356" s="0" t="s">
        <v>54</v>
      </c>
      <c r="AE356" s="0" t="s">
        <v>2112</v>
      </c>
      <c r="AF356" s="0" t="s">
        <v>2113</v>
      </c>
      <c r="AG356" s="0" t="s">
        <v>2114</v>
      </c>
      <c r="AH356" s="0" t="s">
        <v>49</v>
      </c>
      <c r="AI356" s="0" t="s">
        <v>49</v>
      </c>
      <c r="AJ356" s="0" t="s">
        <v>49</v>
      </c>
      <c r="AK356" s="0" t="s">
        <v>49</v>
      </c>
      <c r="AL356" s="0" t="s">
        <v>49</v>
      </c>
    </row>
    <row r="357" customFormat="false" ht="15" hidden="false" customHeight="false" outlineLevel="0" collapsed="false">
      <c r="B357" s="0" t="str">
        <f aca="false">HYPERLINK("https://genome.ucsc.edu/cgi-bin/hgTracks?db=hg19&amp;position=chr7%3A100680294%2D100680294", "chr7:100680294")</f>
        <v>chr7:100680294</v>
      </c>
      <c r="C357" s="0" t="s">
        <v>201</v>
      </c>
      <c r="D357" s="0" t="n">
        <v>100680294</v>
      </c>
      <c r="E357" s="0" t="n">
        <v>100680294</v>
      </c>
      <c r="F357" s="0" t="s">
        <v>60</v>
      </c>
      <c r="G357" s="0" t="s">
        <v>190</v>
      </c>
      <c r="H357" s="0" t="s">
        <v>2115</v>
      </c>
      <c r="I357" s="0" t="s">
        <v>2116</v>
      </c>
      <c r="J357" s="0" t="s">
        <v>2117</v>
      </c>
      <c r="K357" s="0" t="s">
        <v>49</v>
      </c>
      <c r="L357" s="0" t="s">
        <v>49</v>
      </c>
      <c r="M357" s="0" t="str">
        <f aca="false">HYPERLINK("https://www.genecards.org/Search/Keyword?queryString=%5Baliases%5D(%20MUC17%20)&amp;keywords=MUC17", "MUC17")</f>
        <v>MUC17</v>
      </c>
      <c r="N357" s="0" t="s">
        <v>45</v>
      </c>
      <c r="O357" s="0" t="s">
        <v>539</v>
      </c>
      <c r="P357" s="0" t="s">
        <v>2118</v>
      </c>
      <c r="Q357" s="0" t="n">
        <v>0.0293</v>
      </c>
      <c r="R357" s="0" t="n">
        <v>0.0149</v>
      </c>
      <c r="S357" s="0" t="n">
        <v>0.0145</v>
      </c>
      <c r="T357" s="0" t="n">
        <v>-1</v>
      </c>
      <c r="U357" s="0" t="n">
        <v>0.0187</v>
      </c>
      <c r="V357" s="0" t="s">
        <v>49</v>
      </c>
      <c r="W357" s="0" t="s">
        <v>49</v>
      </c>
      <c r="X357" s="0" t="s">
        <v>49</v>
      </c>
      <c r="Y357" s="0" t="s">
        <v>49</v>
      </c>
      <c r="Z357" s="0" t="s">
        <v>49</v>
      </c>
      <c r="AA357" s="0" t="s">
        <v>49</v>
      </c>
      <c r="AB357" s="0" t="s">
        <v>49</v>
      </c>
      <c r="AC357" s="0" t="s">
        <v>53</v>
      </c>
      <c r="AD357" s="0" t="s">
        <v>54</v>
      </c>
      <c r="AE357" s="0" t="s">
        <v>49</v>
      </c>
      <c r="AF357" s="0" t="s">
        <v>2119</v>
      </c>
      <c r="AG357" s="0" t="s">
        <v>2120</v>
      </c>
      <c r="AH357" s="0" t="s">
        <v>49</v>
      </c>
      <c r="AI357" s="0" t="s">
        <v>49</v>
      </c>
      <c r="AJ357" s="0" t="s">
        <v>49</v>
      </c>
      <c r="AK357" s="0" t="s">
        <v>49</v>
      </c>
      <c r="AL357" s="0" t="s">
        <v>120</v>
      </c>
    </row>
    <row r="358" customFormat="false" ht="15" hidden="false" customHeight="false" outlineLevel="0" collapsed="false">
      <c r="B358" s="0" t="str">
        <f aca="false">HYPERLINK("https://genome.ucsc.edu/cgi-bin/hgTracks?db=hg19&amp;position=chr7%3A103118724%2D103118726", "chr7:103118724")</f>
        <v>chr7:103118724</v>
      </c>
      <c r="C358" s="0" t="s">
        <v>201</v>
      </c>
      <c r="D358" s="0" t="n">
        <v>103118724</v>
      </c>
      <c r="E358" s="0" t="n">
        <v>103118726</v>
      </c>
      <c r="F358" s="0" t="s">
        <v>2121</v>
      </c>
      <c r="G358" s="0" t="s">
        <v>190</v>
      </c>
      <c r="H358" s="0" t="s">
        <v>2122</v>
      </c>
      <c r="I358" s="0" t="s">
        <v>787</v>
      </c>
      <c r="J358" s="0" t="s">
        <v>2123</v>
      </c>
      <c r="K358" s="0" t="s">
        <v>49</v>
      </c>
      <c r="L358" s="0" t="s">
        <v>49</v>
      </c>
      <c r="M358" s="0" t="str">
        <f aca="false">HYPERLINK("https://www.genecards.org/Search/Keyword?queryString=%5Baliases%5D(%20LOC101927870%20)%20OR%20%5Baliases%5D(%20RELN%20)&amp;keywords=LOC101927870,RELN", "LOC101927870;RELN")</f>
        <v>LOC101927870;RELN</v>
      </c>
      <c r="N358" s="0" t="s">
        <v>283</v>
      </c>
      <c r="O358" s="0" t="s">
        <v>49</v>
      </c>
      <c r="P358" s="0" t="s">
        <v>49</v>
      </c>
      <c r="Q358" s="0" t="n">
        <v>0.0004</v>
      </c>
      <c r="R358" s="0" t="n">
        <v>-1</v>
      </c>
      <c r="S358" s="0" t="n">
        <v>-1</v>
      </c>
      <c r="T358" s="0" t="n">
        <v>-1</v>
      </c>
      <c r="U358" s="0" t="n">
        <v>-1</v>
      </c>
      <c r="V358" s="0" t="s">
        <v>49</v>
      </c>
      <c r="W358" s="0" t="s">
        <v>49</v>
      </c>
      <c r="X358" s="0" t="s">
        <v>49</v>
      </c>
      <c r="Y358" s="0" t="s">
        <v>49</v>
      </c>
      <c r="Z358" s="0" t="s">
        <v>49</v>
      </c>
      <c r="AA358" s="0" t="s">
        <v>49</v>
      </c>
      <c r="AB358" s="0" t="s">
        <v>49</v>
      </c>
      <c r="AC358" s="0" t="s">
        <v>53</v>
      </c>
      <c r="AD358" s="0" t="s">
        <v>220</v>
      </c>
      <c r="AE358" s="0" t="s">
        <v>2124</v>
      </c>
      <c r="AF358" s="0" t="s">
        <v>2125</v>
      </c>
      <c r="AG358" s="0" t="s">
        <v>2126</v>
      </c>
      <c r="AH358" s="0" t="s">
        <v>2127</v>
      </c>
      <c r="AI358" s="0" t="s">
        <v>49</v>
      </c>
      <c r="AJ358" s="0" t="s">
        <v>49</v>
      </c>
      <c r="AK358" s="0" t="s">
        <v>49</v>
      </c>
      <c r="AL358" s="0" t="s">
        <v>49</v>
      </c>
    </row>
    <row r="359" customFormat="false" ht="15" hidden="false" customHeight="false" outlineLevel="0" collapsed="false">
      <c r="B359" s="0" t="str">
        <f aca="false">HYPERLINK("https://genome.ucsc.edu/cgi-bin/hgTracks?db=hg19&amp;position=chr7%3A140045011%2D140045011", "chr7:140045011")</f>
        <v>chr7:140045011</v>
      </c>
      <c r="C359" s="0" t="s">
        <v>201</v>
      </c>
      <c r="D359" s="0" t="n">
        <v>140045011</v>
      </c>
      <c r="E359" s="0" t="n">
        <v>140045011</v>
      </c>
      <c r="F359" s="0" t="s">
        <v>39</v>
      </c>
      <c r="G359" s="0" t="s">
        <v>40</v>
      </c>
      <c r="H359" s="0" t="s">
        <v>2128</v>
      </c>
      <c r="I359" s="0" t="s">
        <v>1860</v>
      </c>
      <c r="J359" s="0" t="s">
        <v>2129</v>
      </c>
      <c r="K359" s="0" t="s">
        <v>49</v>
      </c>
      <c r="L359" s="0" t="str">
        <f aca="false">HYPERLINK("https://www.ncbi.nlm.nih.gov/snp/rs74938974", "rs74938974")</f>
        <v>rs74938974</v>
      </c>
      <c r="M359" s="0" t="str">
        <f aca="false">HYPERLINK("https://www.genecards.org/Search/Keyword?queryString=%5Baliases%5D(%20SLC37A3%20)&amp;keywords=SLC37A3", "SLC37A3")</f>
        <v>SLC37A3</v>
      </c>
      <c r="N359" s="0" t="s">
        <v>510</v>
      </c>
      <c r="O359" s="0" t="s">
        <v>49</v>
      </c>
      <c r="P359" s="0" t="s">
        <v>49</v>
      </c>
      <c r="Q359" s="0" t="n">
        <v>0.025</v>
      </c>
      <c r="R359" s="0" t="n">
        <v>0.0205</v>
      </c>
      <c r="S359" s="0" t="n">
        <v>0.0183</v>
      </c>
      <c r="T359" s="0" t="n">
        <v>-1</v>
      </c>
      <c r="U359" s="0" t="n">
        <v>0.0254</v>
      </c>
      <c r="V359" s="0" t="s">
        <v>49</v>
      </c>
      <c r="W359" s="0" t="s">
        <v>40</v>
      </c>
      <c r="X359" s="0" t="s">
        <v>333</v>
      </c>
      <c r="Y359" s="0" t="s">
        <v>390</v>
      </c>
      <c r="Z359" s="0" t="s">
        <v>49</v>
      </c>
      <c r="AA359" s="0" t="s">
        <v>49</v>
      </c>
      <c r="AB359" s="0" t="s">
        <v>49</v>
      </c>
      <c r="AC359" s="0" t="s">
        <v>53</v>
      </c>
      <c r="AD359" s="0" t="s">
        <v>54</v>
      </c>
      <c r="AE359" s="0" t="s">
        <v>2130</v>
      </c>
      <c r="AF359" s="0" t="s">
        <v>2131</v>
      </c>
      <c r="AG359" s="0" t="s">
        <v>49</v>
      </c>
      <c r="AH359" s="0" t="s">
        <v>49</v>
      </c>
      <c r="AI359" s="0" t="s">
        <v>49</v>
      </c>
      <c r="AJ359" s="0" t="s">
        <v>49</v>
      </c>
      <c r="AK359" s="0" t="s">
        <v>49</v>
      </c>
      <c r="AL359" s="0" t="s">
        <v>49</v>
      </c>
    </row>
    <row r="360" s="2" customFormat="true" ht="15" hidden="false" customHeight="false" outlineLevel="0" collapsed="false">
      <c r="B360" s="2" t="str">
        <f aca="false">HYPERLINK("https://genome.ucsc.edu/cgi-bin/hgTracks?db=hg19&amp;position=chr7%3A142028606%2D142028606", "chr7:142028606")</f>
        <v>chr7:142028606</v>
      </c>
      <c r="C360" s="2" t="s">
        <v>201</v>
      </c>
      <c r="D360" s="2" t="n">
        <v>142028606</v>
      </c>
      <c r="E360" s="2" t="n">
        <v>142028606</v>
      </c>
      <c r="F360" s="2" t="s">
        <v>60</v>
      </c>
      <c r="G360" s="2" t="s">
        <v>40</v>
      </c>
      <c r="H360" s="2" t="s">
        <v>2132</v>
      </c>
      <c r="I360" s="2" t="s">
        <v>2133</v>
      </c>
      <c r="J360" s="2" t="s">
        <v>2134</v>
      </c>
      <c r="K360" s="2" t="s">
        <v>49</v>
      </c>
      <c r="L360" s="2" t="str">
        <f aca="false">HYPERLINK("https://www.ncbi.nlm.nih.gov/snp/rs374885376", "rs374885376")</f>
        <v>rs374885376</v>
      </c>
      <c r="M360" s="2" t="str">
        <f aca="false">HYPERLINK("https://www.genecards.org/Search/Keyword?queryString=%5Baliases%5D(%20T-cellreceptorIGRb14Vbeta13%20)&amp;keywords=T-cellreceptorIGRb14Vbeta13", "T-cellreceptorIGRb14Vbeta13")</f>
        <v>T-cellreceptorIGRb14Vbeta13</v>
      </c>
      <c r="N360" s="2" t="s">
        <v>2135</v>
      </c>
      <c r="O360" s="2" t="s">
        <v>205</v>
      </c>
      <c r="P360" s="2" t="s">
        <v>2136</v>
      </c>
      <c r="Q360" s="2" t="n">
        <v>0.0269</v>
      </c>
      <c r="R360" s="2" t="n">
        <v>0.0011</v>
      </c>
      <c r="S360" s="2" t="n">
        <v>0.0014</v>
      </c>
      <c r="T360" s="2" t="n">
        <v>-1</v>
      </c>
      <c r="U360" s="2" t="n">
        <v>0.0014</v>
      </c>
      <c r="V360" s="2" t="s">
        <v>49</v>
      </c>
      <c r="W360" s="2" t="s">
        <v>49</v>
      </c>
      <c r="X360" s="2" t="s">
        <v>49</v>
      </c>
      <c r="Y360" s="2" t="s">
        <v>49</v>
      </c>
      <c r="Z360" s="2" t="s">
        <v>49</v>
      </c>
      <c r="AA360" s="2" t="s">
        <v>49</v>
      </c>
      <c r="AB360" s="2" t="s">
        <v>49</v>
      </c>
      <c r="AC360" s="2" t="s">
        <v>53</v>
      </c>
      <c r="AD360" s="2" t="s">
        <v>54</v>
      </c>
      <c r="AE360" s="2" t="s">
        <v>49</v>
      </c>
      <c r="AF360" s="2" t="s">
        <v>49</v>
      </c>
      <c r="AG360" s="2" t="s">
        <v>49</v>
      </c>
      <c r="AH360" s="2" t="s">
        <v>49</v>
      </c>
      <c r="AI360" s="2" t="s">
        <v>49</v>
      </c>
      <c r="AJ360" s="2" t="s">
        <v>49</v>
      </c>
      <c r="AK360" s="2" t="s">
        <v>49</v>
      </c>
      <c r="AL360" s="2" t="s">
        <v>49</v>
      </c>
    </row>
    <row r="361" customFormat="false" ht="15" hidden="false" customHeight="false" outlineLevel="0" collapsed="false">
      <c r="B361" s="0" t="str">
        <f aca="false">HYPERLINK("https://genome.ucsc.edu/cgi-bin/hgTracks?db=hg19&amp;position=chr7%3A142459933%2D142459933", "chr7:142459933")</f>
        <v>chr7:142459933</v>
      </c>
      <c r="C361" s="0" t="s">
        <v>201</v>
      </c>
      <c r="D361" s="0" t="n">
        <v>142459933</v>
      </c>
      <c r="E361" s="0" t="n">
        <v>142459933</v>
      </c>
      <c r="F361" s="0" t="s">
        <v>61</v>
      </c>
      <c r="G361" s="0" t="s">
        <v>60</v>
      </c>
      <c r="H361" s="0" t="s">
        <v>2137</v>
      </c>
      <c r="I361" s="0" t="s">
        <v>366</v>
      </c>
      <c r="J361" s="0" t="s">
        <v>2138</v>
      </c>
      <c r="K361" s="0" t="s">
        <v>49</v>
      </c>
      <c r="L361" s="0" t="str">
        <f aca="false">HYPERLINK("https://www.ncbi.nlm.nih.gov/snp/rs951752795", "rs951752795")</f>
        <v>rs951752795</v>
      </c>
      <c r="M361" s="0" t="str">
        <f aca="false">HYPERLINK("https://www.genecards.org/Search/Keyword?queryString=%5Baliases%5D(%20PRSS1%20)%20OR%20%5Baliases%5D(%20TCRVB%20)&amp;keywords=PRSS1,TCRVB", "PRSS1;TCRVB")</f>
        <v>PRSS1;TCRVB</v>
      </c>
      <c r="N361" s="0" t="s">
        <v>283</v>
      </c>
      <c r="O361" s="0" t="s">
        <v>49</v>
      </c>
      <c r="P361" s="0" t="s">
        <v>49</v>
      </c>
      <c r="Q361" s="0" t="n">
        <v>7.68E-005</v>
      </c>
      <c r="R361" s="0" t="n">
        <v>-1</v>
      </c>
      <c r="S361" s="0" t="n">
        <v>-1</v>
      </c>
      <c r="T361" s="0" t="n">
        <v>-1</v>
      </c>
      <c r="U361" s="0" t="n">
        <v>-1</v>
      </c>
      <c r="V361" s="0" t="s">
        <v>49</v>
      </c>
      <c r="W361" s="0" t="s">
        <v>49</v>
      </c>
      <c r="X361" s="0" t="s">
        <v>218</v>
      </c>
      <c r="Y361" s="0" t="s">
        <v>219</v>
      </c>
      <c r="Z361" s="0" t="s">
        <v>49</v>
      </c>
      <c r="AA361" s="0" t="s">
        <v>49</v>
      </c>
      <c r="AB361" s="0" t="s">
        <v>49</v>
      </c>
      <c r="AC361" s="0" t="s">
        <v>53</v>
      </c>
      <c r="AD361" s="0" t="s">
        <v>2139</v>
      </c>
      <c r="AE361" s="0" t="s">
        <v>2140</v>
      </c>
      <c r="AF361" s="0" t="s">
        <v>2141</v>
      </c>
      <c r="AG361" s="0" t="s">
        <v>2142</v>
      </c>
      <c r="AH361" s="0" t="s">
        <v>2143</v>
      </c>
      <c r="AI361" s="0" t="s">
        <v>49</v>
      </c>
      <c r="AJ361" s="0" t="s">
        <v>49</v>
      </c>
      <c r="AK361" s="0" t="s">
        <v>49</v>
      </c>
      <c r="AL361" s="0" t="s">
        <v>49</v>
      </c>
    </row>
    <row r="362" customFormat="false" ht="15" hidden="false" customHeight="false" outlineLevel="0" collapsed="false">
      <c r="B362" s="0" t="str">
        <f aca="false">HYPERLINK("https://genome.ucsc.edu/cgi-bin/hgTracks?db=hg19&amp;position=chr7%3A142459936%2D142459936", "chr7:142459936")</f>
        <v>chr7:142459936</v>
      </c>
      <c r="C362" s="0" t="s">
        <v>201</v>
      </c>
      <c r="D362" s="0" t="n">
        <v>142459936</v>
      </c>
      <c r="E362" s="0" t="n">
        <v>142459936</v>
      </c>
      <c r="F362" s="0" t="s">
        <v>39</v>
      </c>
      <c r="G362" s="0" t="s">
        <v>60</v>
      </c>
      <c r="H362" s="0" t="s">
        <v>2144</v>
      </c>
      <c r="I362" s="0" t="s">
        <v>2145</v>
      </c>
      <c r="J362" s="0" t="s">
        <v>2146</v>
      </c>
      <c r="K362" s="0" t="s">
        <v>49</v>
      </c>
      <c r="L362" s="0" t="s">
        <v>49</v>
      </c>
      <c r="M362" s="0" t="str">
        <f aca="false">HYPERLINK("https://www.genecards.org/Search/Keyword?queryString=%5Baliases%5D(%20PRSS1%20)%20OR%20%5Baliases%5D(%20TCRVB%20)&amp;keywords=PRSS1,TCRVB", "PRSS1;TCRVB")</f>
        <v>PRSS1;TCRVB</v>
      </c>
      <c r="N362" s="0" t="s">
        <v>283</v>
      </c>
      <c r="O362" s="0" t="s">
        <v>49</v>
      </c>
      <c r="P362" s="0" t="s">
        <v>49</v>
      </c>
      <c r="Q362" s="0" t="n">
        <v>7.68E-005</v>
      </c>
      <c r="R362" s="0" t="n">
        <v>-1</v>
      </c>
      <c r="S362" s="0" t="n">
        <v>-1</v>
      </c>
      <c r="T362" s="0" t="n">
        <v>-1</v>
      </c>
      <c r="U362" s="0" t="n">
        <v>-1</v>
      </c>
      <c r="V362" s="0" t="s">
        <v>49</v>
      </c>
      <c r="W362" s="0" t="s">
        <v>49</v>
      </c>
      <c r="X362" s="0" t="s">
        <v>333</v>
      </c>
      <c r="Y362" s="0" t="s">
        <v>219</v>
      </c>
      <c r="Z362" s="0" t="s">
        <v>49</v>
      </c>
      <c r="AA362" s="0" t="s">
        <v>49</v>
      </c>
      <c r="AB362" s="0" t="s">
        <v>49</v>
      </c>
      <c r="AC362" s="0" t="s">
        <v>53</v>
      </c>
      <c r="AD362" s="0" t="s">
        <v>2139</v>
      </c>
      <c r="AE362" s="0" t="s">
        <v>2140</v>
      </c>
      <c r="AF362" s="0" t="s">
        <v>2141</v>
      </c>
      <c r="AG362" s="0" t="s">
        <v>2142</v>
      </c>
      <c r="AH362" s="0" t="s">
        <v>2143</v>
      </c>
      <c r="AI362" s="0" t="s">
        <v>49</v>
      </c>
      <c r="AJ362" s="0" t="s">
        <v>49</v>
      </c>
      <c r="AK362" s="0" t="s">
        <v>49</v>
      </c>
      <c r="AL362" s="0" t="s">
        <v>49</v>
      </c>
    </row>
    <row r="363" customFormat="false" ht="15" hidden="false" customHeight="false" outlineLevel="0" collapsed="false">
      <c r="B363" s="0" t="str">
        <f aca="false">HYPERLINK("https://genome.ucsc.edu/cgi-bin/hgTracks?db=hg19&amp;position=chr7%3A142459939%2D142459939", "chr7:142459939")</f>
        <v>chr7:142459939</v>
      </c>
      <c r="C363" s="0" t="s">
        <v>201</v>
      </c>
      <c r="D363" s="0" t="n">
        <v>142459939</v>
      </c>
      <c r="E363" s="0" t="n">
        <v>142459939</v>
      </c>
      <c r="F363" s="0" t="s">
        <v>40</v>
      </c>
      <c r="G363" s="0" t="s">
        <v>39</v>
      </c>
      <c r="H363" s="0" t="s">
        <v>2137</v>
      </c>
      <c r="I363" s="0" t="s">
        <v>444</v>
      </c>
      <c r="J363" s="0" t="s">
        <v>2147</v>
      </c>
      <c r="K363" s="0" t="s">
        <v>49</v>
      </c>
      <c r="L363" s="0" t="s">
        <v>49</v>
      </c>
      <c r="M363" s="0" t="str">
        <f aca="false">HYPERLINK("https://www.genecards.org/Search/Keyword?queryString=%5Baliases%5D(%20PRSS1%20)%20OR%20%5Baliases%5D(%20TCRVB%20)&amp;keywords=PRSS1,TCRVB", "PRSS1;TCRVB")</f>
        <v>PRSS1;TCRVB</v>
      </c>
      <c r="N363" s="0" t="s">
        <v>283</v>
      </c>
      <c r="O363" s="0" t="s">
        <v>49</v>
      </c>
      <c r="P363" s="0" t="s">
        <v>49</v>
      </c>
      <c r="Q363" s="0" t="n">
        <v>3.84E-005</v>
      </c>
      <c r="R363" s="0" t="n">
        <v>-1</v>
      </c>
      <c r="S363" s="0" t="n">
        <v>-1</v>
      </c>
      <c r="T363" s="0" t="n">
        <v>-1</v>
      </c>
      <c r="U363" s="0" t="n">
        <v>-1</v>
      </c>
      <c r="V363" s="0" t="s">
        <v>49</v>
      </c>
      <c r="W363" s="0" t="s">
        <v>49</v>
      </c>
      <c r="X363" s="0" t="s">
        <v>218</v>
      </c>
      <c r="Y363" s="0" t="s">
        <v>219</v>
      </c>
      <c r="Z363" s="0" t="s">
        <v>49</v>
      </c>
      <c r="AA363" s="0" t="s">
        <v>49</v>
      </c>
      <c r="AB363" s="0" t="s">
        <v>49</v>
      </c>
      <c r="AC363" s="0" t="s">
        <v>53</v>
      </c>
      <c r="AD363" s="0" t="s">
        <v>2139</v>
      </c>
      <c r="AE363" s="0" t="s">
        <v>2140</v>
      </c>
      <c r="AF363" s="0" t="s">
        <v>2141</v>
      </c>
      <c r="AG363" s="0" t="s">
        <v>2142</v>
      </c>
      <c r="AH363" s="0" t="s">
        <v>2143</v>
      </c>
      <c r="AI363" s="0" t="s">
        <v>822</v>
      </c>
      <c r="AJ363" s="0" t="s">
        <v>49</v>
      </c>
      <c r="AK363" s="0" t="s">
        <v>49</v>
      </c>
      <c r="AL363" s="0" t="s">
        <v>49</v>
      </c>
    </row>
    <row r="364" customFormat="false" ht="15" hidden="false" customHeight="false" outlineLevel="0" collapsed="false">
      <c r="B364" s="0" t="str">
        <f aca="false">HYPERLINK("https://genome.ucsc.edu/cgi-bin/hgTracks?db=hg19&amp;position=chr7%3A142459940%2D142459940", "chr7:142459940")</f>
        <v>chr7:142459940</v>
      </c>
      <c r="C364" s="0" t="s">
        <v>201</v>
      </c>
      <c r="D364" s="0" t="n">
        <v>142459940</v>
      </c>
      <c r="E364" s="0" t="n">
        <v>142459940</v>
      </c>
      <c r="F364" s="0" t="s">
        <v>60</v>
      </c>
      <c r="G364" s="0" t="s">
        <v>61</v>
      </c>
      <c r="H364" s="0" t="s">
        <v>2148</v>
      </c>
      <c r="I364" s="0" t="s">
        <v>2149</v>
      </c>
      <c r="J364" s="0" t="s">
        <v>2150</v>
      </c>
      <c r="K364" s="0" t="s">
        <v>49</v>
      </c>
      <c r="L364" s="0" t="s">
        <v>49</v>
      </c>
      <c r="M364" s="0" t="str">
        <f aca="false">HYPERLINK("https://www.genecards.org/Search/Keyword?queryString=%5Baliases%5D(%20PRSS1%20)%20OR%20%5Baliases%5D(%20TCRVB%20)&amp;keywords=PRSS1,TCRVB", "PRSS1;TCRVB")</f>
        <v>PRSS1;TCRVB</v>
      </c>
      <c r="N364" s="0" t="s">
        <v>283</v>
      </c>
      <c r="O364" s="0" t="s">
        <v>49</v>
      </c>
      <c r="P364" s="0" t="s">
        <v>49</v>
      </c>
      <c r="Q364" s="0" t="n">
        <v>3.84E-005</v>
      </c>
      <c r="R364" s="0" t="n">
        <v>-1</v>
      </c>
      <c r="S364" s="0" t="n">
        <v>-1</v>
      </c>
      <c r="T364" s="0" t="n">
        <v>-1</v>
      </c>
      <c r="U364" s="0" t="n">
        <v>-1</v>
      </c>
      <c r="V364" s="0" t="s">
        <v>49</v>
      </c>
      <c r="W364" s="0" t="s">
        <v>49</v>
      </c>
      <c r="X364" s="0" t="s">
        <v>218</v>
      </c>
      <c r="Y364" s="0" t="s">
        <v>219</v>
      </c>
      <c r="Z364" s="0" t="s">
        <v>49</v>
      </c>
      <c r="AA364" s="0" t="s">
        <v>49</v>
      </c>
      <c r="AB364" s="0" t="s">
        <v>49</v>
      </c>
      <c r="AC364" s="0" t="s">
        <v>53</v>
      </c>
      <c r="AD364" s="0" t="s">
        <v>2139</v>
      </c>
      <c r="AE364" s="0" t="s">
        <v>2140</v>
      </c>
      <c r="AF364" s="0" t="s">
        <v>2141</v>
      </c>
      <c r="AG364" s="0" t="s">
        <v>2142</v>
      </c>
      <c r="AH364" s="0" t="s">
        <v>2143</v>
      </c>
      <c r="AI364" s="0" t="s">
        <v>822</v>
      </c>
      <c r="AJ364" s="0" t="s">
        <v>49</v>
      </c>
      <c r="AK364" s="0" t="s">
        <v>49</v>
      </c>
      <c r="AL364" s="0" t="s">
        <v>49</v>
      </c>
    </row>
    <row r="365" customFormat="false" ht="15" hidden="false" customHeight="false" outlineLevel="0" collapsed="false">
      <c r="B365" s="0" t="str">
        <f aca="false">HYPERLINK("https://genome.ucsc.edu/cgi-bin/hgTracks?db=hg19&amp;position=chr7%3A142459943%2D142459943", "chr7:142459943")</f>
        <v>chr7:142459943</v>
      </c>
      <c r="C365" s="0" t="s">
        <v>201</v>
      </c>
      <c r="D365" s="0" t="n">
        <v>142459943</v>
      </c>
      <c r="E365" s="0" t="n">
        <v>142459943</v>
      </c>
      <c r="F365" s="0" t="s">
        <v>39</v>
      </c>
      <c r="G365" s="0" t="s">
        <v>60</v>
      </c>
      <c r="H365" s="0" t="s">
        <v>2151</v>
      </c>
      <c r="I365" s="0" t="s">
        <v>894</v>
      </c>
      <c r="J365" s="0" t="s">
        <v>2152</v>
      </c>
      <c r="K365" s="0" t="s">
        <v>49</v>
      </c>
      <c r="L365" s="0" t="s">
        <v>49</v>
      </c>
      <c r="M365" s="0" t="str">
        <f aca="false">HYPERLINK("https://www.genecards.org/Search/Keyword?queryString=%5Baliases%5D(%20PRSS1%20)%20OR%20%5Baliases%5D(%20TCRVB%20)&amp;keywords=PRSS1,TCRVB", "PRSS1;TCRVB")</f>
        <v>PRSS1;TCRVB</v>
      </c>
      <c r="N365" s="0" t="s">
        <v>283</v>
      </c>
      <c r="O365" s="0" t="s">
        <v>49</v>
      </c>
      <c r="P365" s="0" t="s">
        <v>49</v>
      </c>
      <c r="Q365" s="0" t="n">
        <v>3.84E-005</v>
      </c>
      <c r="R365" s="0" t="n">
        <v>-1</v>
      </c>
      <c r="S365" s="0" t="n">
        <v>-1</v>
      </c>
      <c r="T365" s="0" t="n">
        <v>-1</v>
      </c>
      <c r="U365" s="0" t="n">
        <v>-1</v>
      </c>
      <c r="V365" s="0" t="s">
        <v>49</v>
      </c>
      <c r="W365" s="0" t="s">
        <v>49</v>
      </c>
      <c r="X365" s="0" t="s">
        <v>218</v>
      </c>
      <c r="Y365" s="0" t="s">
        <v>219</v>
      </c>
      <c r="Z365" s="0" t="s">
        <v>49</v>
      </c>
      <c r="AA365" s="0" t="s">
        <v>49</v>
      </c>
      <c r="AB365" s="0" t="s">
        <v>49</v>
      </c>
      <c r="AC365" s="0" t="s">
        <v>53</v>
      </c>
      <c r="AD365" s="0" t="s">
        <v>2139</v>
      </c>
      <c r="AE365" s="0" t="s">
        <v>2140</v>
      </c>
      <c r="AF365" s="0" t="s">
        <v>2141</v>
      </c>
      <c r="AG365" s="0" t="s">
        <v>2142</v>
      </c>
      <c r="AH365" s="0" t="s">
        <v>2143</v>
      </c>
      <c r="AI365" s="0" t="s">
        <v>49</v>
      </c>
      <c r="AJ365" s="0" t="s">
        <v>49</v>
      </c>
      <c r="AK365" s="0" t="s">
        <v>49</v>
      </c>
      <c r="AL365" s="0" t="s">
        <v>49</v>
      </c>
    </row>
    <row r="366" customFormat="false" ht="15" hidden="false" customHeight="false" outlineLevel="0" collapsed="false">
      <c r="B366" s="0" t="str">
        <f aca="false">HYPERLINK("https://genome.ucsc.edu/cgi-bin/hgTracks?db=hg19&amp;position=chr7%3A142459949%2D142459949", "chr7:142459949")</f>
        <v>chr7:142459949</v>
      </c>
      <c r="C366" s="0" t="s">
        <v>201</v>
      </c>
      <c r="D366" s="0" t="n">
        <v>142459949</v>
      </c>
      <c r="E366" s="0" t="n">
        <v>142459949</v>
      </c>
      <c r="F366" s="0" t="s">
        <v>39</v>
      </c>
      <c r="G366" s="0" t="s">
        <v>40</v>
      </c>
      <c r="H366" s="0" t="s">
        <v>2153</v>
      </c>
      <c r="I366" s="0" t="s">
        <v>2154</v>
      </c>
      <c r="J366" s="0" t="s">
        <v>2155</v>
      </c>
      <c r="K366" s="0" t="s">
        <v>49</v>
      </c>
      <c r="L366" s="0" t="str">
        <f aca="false">HYPERLINK("https://www.ncbi.nlm.nih.gov/snp/rs1047802043", "rs1047802043")</f>
        <v>rs1047802043</v>
      </c>
      <c r="M366" s="0" t="str">
        <f aca="false">HYPERLINK("https://www.genecards.org/Search/Keyword?queryString=%5Baliases%5D(%20PRSS1%20)%20OR%20%5Baliases%5D(%20TCRVB%20)&amp;keywords=PRSS1,TCRVB", "PRSS1;TCRVB")</f>
        <v>PRSS1;TCRVB</v>
      </c>
      <c r="N366" s="0" t="s">
        <v>283</v>
      </c>
      <c r="O366" s="0" t="s">
        <v>49</v>
      </c>
      <c r="P366" s="0" t="s">
        <v>49</v>
      </c>
      <c r="Q366" s="0" t="n">
        <v>3.84E-005</v>
      </c>
      <c r="R366" s="0" t="n">
        <v>-1</v>
      </c>
      <c r="S366" s="0" t="n">
        <v>-1</v>
      </c>
      <c r="T366" s="0" t="n">
        <v>-1</v>
      </c>
      <c r="U366" s="0" t="n">
        <v>-1</v>
      </c>
      <c r="V366" s="0" t="s">
        <v>49</v>
      </c>
      <c r="W366" s="0" t="s">
        <v>49</v>
      </c>
      <c r="X366" s="0" t="s">
        <v>218</v>
      </c>
      <c r="Y366" s="0" t="s">
        <v>219</v>
      </c>
      <c r="Z366" s="0" t="s">
        <v>49</v>
      </c>
      <c r="AA366" s="0" t="s">
        <v>49</v>
      </c>
      <c r="AB366" s="0" t="s">
        <v>49</v>
      </c>
      <c r="AC366" s="0" t="s">
        <v>53</v>
      </c>
      <c r="AD366" s="0" t="s">
        <v>2139</v>
      </c>
      <c r="AE366" s="0" t="s">
        <v>2140</v>
      </c>
      <c r="AF366" s="0" t="s">
        <v>2141</v>
      </c>
      <c r="AG366" s="0" t="s">
        <v>2142</v>
      </c>
      <c r="AH366" s="0" t="s">
        <v>2143</v>
      </c>
      <c r="AI366" s="0" t="s">
        <v>822</v>
      </c>
      <c r="AJ366" s="0" t="s">
        <v>49</v>
      </c>
      <c r="AK366" s="0" t="s">
        <v>49</v>
      </c>
      <c r="AL366" s="0" t="s">
        <v>49</v>
      </c>
    </row>
    <row r="367" customFormat="false" ht="15" hidden="false" customHeight="false" outlineLevel="0" collapsed="false">
      <c r="B367" s="0" t="str">
        <f aca="false">HYPERLINK("https://genome.ucsc.edu/cgi-bin/hgTracks?db=hg19&amp;position=chr7%3A142459950%2D142459950", "chr7:142459950")</f>
        <v>chr7:142459950</v>
      </c>
      <c r="C367" s="0" t="s">
        <v>201</v>
      </c>
      <c r="D367" s="0" t="n">
        <v>142459950</v>
      </c>
      <c r="E367" s="0" t="n">
        <v>142459950</v>
      </c>
      <c r="F367" s="0" t="s">
        <v>40</v>
      </c>
      <c r="G367" s="0" t="s">
        <v>60</v>
      </c>
      <c r="H367" s="0" t="s">
        <v>2156</v>
      </c>
      <c r="I367" s="0" t="s">
        <v>63</v>
      </c>
      <c r="J367" s="0" t="s">
        <v>2157</v>
      </c>
      <c r="K367" s="0" t="s">
        <v>49</v>
      </c>
      <c r="L367" s="0" t="str">
        <f aca="false">HYPERLINK("https://www.ncbi.nlm.nih.gov/snp/rs891274050", "rs891274050")</f>
        <v>rs891274050</v>
      </c>
      <c r="M367" s="0" t="str">
        <f aca="false">HYPERLINK("https://www.genecards.org/Search/Keyword?queryString=%5Baliases%5D(%20PRSS1%20)%20OR%20%5Baliases%5D(%20TCRVB%20)&amp;keywords=PRSS1,TCRVB", "PRSS1;TCRVB")</f>
        <v>PRSS1;TCRVB</v>
      </c>
      <c r="N367" s="0" t="s">
        <v>283</v>
      </c>
      <c r="O367" s="0" t="s">
        <v>49</v>
      </c>
      <c r="P367" s="0" t="s">
        <v>49</v>
      </c>
      <c r="Q367" s="0" t="n">
        <v>3.84E-005</v>
      </c>
      <c r="R367" s="0" t="n">
        <v>-1</v>
      </c>
      <c r="S367" s="0" t="n">
        <v>-1</v>
      </c>
      <c r="T367" s="0" t="n">
        <v>-1</v>
      </c>
      <c r="U367" s="0" t="n">
        <v>-1</v>
      </c>
      <c r="V367" s="0" t="s">
        <v>49</v>
      </c>
      <c r="W367" s="0" t="s">
        <v>49</v>
      </c>
      <c r="X367" s="0" t="s">
        <v>218</v>
      </c>
      <c r="Y367" s="0" t="s">
        <v>219</v>
      </c>
      <c r="Z367" s="0" t="s">
        <v>49</v>
      </c>
      <c r="AA367" s="0" t="s">
        <v>49</v>
      </c>
      <c r="AB367" s="0" t="s">
        <v>49</v>
      </c>
      <c r="AC367" s="0" t="s">
        <v>53</v>
      </c>
      <c r="AD367" s="0" t="s">
        <v>2139</v>
      </c>
      <c r="AE367" s="0" t="s">
        <v>2140</v>
      </c>
      <c r="AF367" s="0" t="s">
        <v>2141</v>
      </c>
      <c r="AG367" s="0" t="s">
        <v>2142</v>
      </c>
      <c r="AH367" s="0" t="s">
        <v>2143</v>
      </c>
      <c r="AI367" s="0" t="s">
        <v>822</v>
      </c>
      <c r="AJ367" s="0" t="s">
        <v>49</v>
      </c>
      <c r="AK367" s="0" t="s">
        <v>49</v>
      </c>
      <c r="AL367" s="0" t="s">
        <v>49</v>
      </c>
    </row>
    <row r="368" customFormat="false" ht="15" hidden="false" customHeight="false" outlineLevel="0" collapsed="false">
      <c r="B368" s="0" t="str">
        <f aca="false">HYPERLINK("https://genome.ucsc.edu/cgi-bin/hgTracks?db=hg19&amp;position=chr7%3A142459964%2D142459964", "chr7:142459964")</f>
        <v>chr7:142459964</v>
      </c>
      <c r="C368" s="0" t="s">
        <v>201</v>
      </c>
      <c r="D368" s="0" t="n">
        <v>142459964</v>
      </c>
      <c r="E368" s="0" t="n">
        <v>142459964</v>
      </c>
      <c r="F368" s="0" t="s">
        <v>39</v>
      </c>
      <c r="G368" s="0" t="s">
        <v>40</v>
      </c>
      <c r="H368" s="0" t="s">
        <v>2158</v>
      </c>
      <c r="I368" s="0" t="s">
        <v>2159</v>
      </c>
      <c r="J368" s="0" t="s">
        <v>2160</v>
      </c>
      <c r="K368" s="0" t="s">
        <v>49</v>
      </c>
      <c r="L368" s="0" t="str">
        <f aca="false">HYPERLINK("https://www.ncbi.nlm.nih.gov/snp/rs578172734", "rs578172734")</f>
        <v>rs578172734</v>
      </c>
      <c r="M368" s="0" t="str">
        <f aca="false">HYPERLINK("https://www.genecards.org/Search/Keyword?queryString=%5Baliases%5D(%20PRSS1%20)%20OR%20%5Baliases%5D(%20TCRVB%20)&amp;keywords=PRSS1,TCRVB", "PRSS1;TCRVB")</f>
        <v>PRSS1;TCRVB</v>
      </c>
      <c r="N368" s="0" t="s">
        <v>283</v>
      </c>
      <c r="O368" s="0" t="s">
        <v>49</v>
      </c>
      <c r="P368" s="0" t="s">
        <v>49</v>
      </c>
      <c r="Q368" s="0" t="n">
        <v>3.84E-005</v>
      </c>
      <c r="R368" s="0" t="n">
        <v>-1</v>
      </c>
      <c r="S368" s="0" t="n">
        <v>-1</v>
      </c>
      <c r="T368" s="0" t="n">
        <v>-1</v>
      </c>
      <c r="U368" s="0" t="n">
        <v>-1</v>
      </c>
      <c r="V368" s="0" t="s">
        <v>49</v>
      </c>
      <c r="W368" s="0" t="s">
        <v>49</v>
      </c>
      <c r="X368" s="0" t="s">
        <v>218</v>
      </c>
      <c r="Y368" s="0" t="s">
        <v>219</v>
      </c>
      <c r="Z368" s="0" t="s">
        <v>49</v>
      </c>
      <c r="AA368" s="0" t="s">
        <v>49</v>
      </c>
      <c r="AB368" s="0" t="s">
        <v>49</v>
      </c>
      <c r="AC368" s="0" t="s">
        <v>53</v>
      </c>
      <c r="AD368" s="0" t="s">
        <v>2139</v>
      </c>
      <c r="AE368" s="0" t="s">
        <v>2140</v>
      </c>
      <c r="AF368" s="0" t="s">
        <v>2141</v>
      </c>
      <c r="AG368" s="0" t="s">
        <v>2142</v>
      </c>
      <c r="AH368" s="0" t="s">
        <v>2143</v>
      </c>
      <c r="AI368" s="0" t="s">
        <v>822</v>
      </c>
      <c r="AJ368" s="0" t="s">
        <v>49</v>
      </c>
      <c r="AK368" s="0" t="s">
        <v>49</v>
      </c>
      <c r="AL368" s="0" t="s">
        <v>49</v>
      </c>
    </row>
    <row r="369" customFormat="false" ht="15" hidden="false" customHeight="false" outlineLevel="0" collapsed="false">
      <c r="B369" s="0" t="str">
        <f aca="false">HYPERLINK("https://genome.ucsc.edu/cgi-bin/hgTracks?db=hg19&amp;position=chr7%3A142459967%2D142459967", "chr7:142459967")</f>
        <v>chr7:142459967</v>
      </c>
      <c r="C369" s="0" t="s">
        <v>201</v>
      </c>
      <c r="D369" s="0" t="n">
        <v>142459967</v>
      </c>
      <c r="E369" s="0" t="n">
        <v>142459967</v>
      </c>
      <c r="F369" s="0" t="s">
        <v>39</v>
      </c>
      <c r="G369" s="0" t="s">
        <v>40</v>
      </c>
      <c r="H369" s="0" t="s">
        <v>2161</v>
      </c>
      <c r="I369" s="0" t="s">
        <v>2162</v>
      </c>
      <c r="J369" s="0" t="s">
        <v>2163</v>
      </c>
      <c r="K369" s="0" t="s">
        <v>49</v>
      </c>
      <c r="L369" s="0" t="str">
        <f aca="false">HYPERLINK("https://www.ncbi.nlm.nih.gov/snp/rs1011551403", "rs1011551403")</f>
        <v>rs1011551403</v>
      </c>
      <c r="M369" s="0" t="str">
        <f aca="false">HYPERLINK("https://www.genecards.org/Search/Keyword?queryString=%5Baliases%5D(%20PRSS1%20)%20OR%20%5Baliases%5D(%20TCRVB%20)&amp;keywords=PRSS1,TCRVB", "PRSS1;TCRVB")</f>
        <v>PRSS1;TCRVB</v>
      </c>
      <c r="N369" s="0" t="s">
        <v>283</v>
      </c>
      <c r="O369" s="0" t="s">
        <v>49</v>
      </c>
      <c r="P369" s="0" t="s">
        <v>49</v>
      </c>
      <c r="Q369" s="0" t="n">
        <v>3.84E-005</v>
      </c>
      <c r="R369" s="0" t="n">
        <v>-1</v>
      </c>
      <c r="S369" s="0" t="n">
        <v>-1</v>
      </c>
      <c r="T369" s="0" t="n">
        <v>-1</v>
      </c>
      <c r="U369" s="0" t="n">
        <v>-1</v>
      </c>
      <c r="V369" s="0" t="s">
        <v>49</v>
      </c>
      <c r="W369" s="0" t="s">
        <v>49</v>
      </c>
      <c r="X369" s="0" t="s">
        <v>218</v>
      </c>
      <c r="Y369" s="0" t="s">
        <v>219</v>
      </c>
      <c r="Z369" s="0" t="s">
        <v>49</v>
      </c>
      <c r="AA369" s="0" t="s">
        <v>49</v>
      </c>
      <c r="AB369" s="0" t="s">
        <v>49</v>
      </c>
      <c r="AC369" s="0" t="s">
        <v>53</v>
      </c>
      <c r="AD369" s="0" t="s">
        <v>2139</v>
      </c>
      <c r="AE369" s="0" t="s">
        <v>2140</v>
      </c>
      <c r="AF369" s="0" t="s">
        <v>2141</v>
      </c>
      <c r="AG369" s="0" t="s">
        <v>2142</v>
      </c>
      <c r="AH369" s="0" t="s">
        <v>2143</v>
      </c>
      <c r="AI369" s="0" t="s">
        <v>49</v>
      </c>
      <c r="AJ369" s="0" t="s">
        <v>49</v>
      </c>
      <c r="AK369" s="0" t="s">
        <v>49</v>
      </c>
      <c r="AL369" s="0" t="s">
        <v>49</v>
      </c>
    </row>
    <row r="370" customFormat="false" ht="15" hidden="false" customHeight="false" outlineLevel="0" collapsed="false">
      <c r="B370" s="0" t="str">
        <f aca="false">HYPERLINK("https://genome.ucsc.edu/cgi-bin/hgTracks?db=hg19&amp;position=chr7%3A142460045%2D142460045", "chr7:142460045")</f>
        <v>chr7:142460045</v>
      </c>
      <c r="C370" s="0" t="s">
        <v>201</v>
      </c>
      <c r="D370" s="0" t="n">
        <v>142460045</v>
      </c>
      <c r="E370" s="0" t="n">
        <v>142460045</v>
      </c>
      <c r="F370" s="0" t="s">
        <v>39</v>
      </c>
      <c r="G370" s="0" t="s">
        <v>40</v>
      </c>
      <c r="H370" s="0" t="s">
        <v>2164</v>
      </c>
      <c r="I370" s="0" t="s">
        <v>1171</v>
      </c>
      <c r="J370" s="0" t="s">
        <v>2165</v>
      </c>
      <c r="K370" s="0" t="s">
        <v>49</v>
      </c>
      <c r="L370" s="0" t="str">
        <f aca="false">HYPERLINK("https://www.ncbi.nlm.nih.gov/snp/rs367991574", "rs367991574")</f>
        <v>rs367991574</v>
      </c>
      <c r="M370" s="0" t="str">
        <f aca="false">HYPERLINK("https://www.genecards.org/Search/Keyword?queryString=%5Baliases%5D(%20PRSS1%20)%20OR%20%5Baliases%5D(%20TCRVB%20)&amp;keywords=PRSS1,TCRVB", "PRSS1;TCRVB")</f>
        <v>PRSS1;TCRVB</v>
      </c>
      <c r="N370" s="0" t="s">
        <v>283</v>
      </c>
      <c r="O370" s="0" t="s">
        <v>49</v>
      </c>
      <c r="P370" s="0" t="s">
        <v>49</v>
      </c>
      <c r="Q370" s="0" t="n">
        <v>0.000461</v>
      </c>
      <c r="R370" s="0" t="n">
        <v>-1</v>
      </c>
      <c r="S370" s="0" t="n">
        <v>-1</v>
      </c>
      <c r="T370" s="0" t="n">
        <v>-1</v>
      </c>
      <c r="U370" s="0" t="n">
        <v>-1</v>
      </c>
      <c r="V370" s="0" t="s">
        <v>49</v>
      </c>
      <c r="W370" s="0" t="s">
        <v>49</v>
      </c>
      <c r="X370" s="0" t="s">
        <v>218</v>
      </c>
      <c r="Y370" s="0" t="s">
        <v>219</v>
      </c>
      <c r="Z370" s="0" t="s">
        <v>49</v>
      </c>
      <c r="AA370" s="0" t="s">
        <v>49</v>
      </c>
      <c r="AB370" s="0" t="s">
        <v>49</v>
      </c>
      <c r="AC370" s="0" t="s">
        <v>53</v>
      </c>
      <c r="AD370" s="0" t="s">
        <v>2139</v>
      </c>
      <c r="AE370" s="0" t="s">
        <v>2140</v>
      </c>
      <c r="AF370" s="0" t="s">
        <v>2141</v>
      </c>
      <c r="AG370" s="0" t="s">
        <v>2142</v>
      </c>
      <c r="AH370" s="0" t="s">
        <v>2143</v>
      </c>
      <c r="AI370" s="0" t="s">
        <v>49</v>
      </c>
      <c r="AJ370" s="0" t="s">
        <v>49</v>
      </c>
      <c r="AK370" s="0" t="s">
        <v>49</v>
      </c>
      <c r="AL370" s="0" t="s">
        <v>49</v>
      </c>
    </row>
    <row r="371" customFormat="false" ht="15" hidden="false" customHeight="false" outlineLevel="0" collapsed="false">
      <c r="B371" s="0" t="str">
        <f aca="false">HYPERLINK("https://genome.ucsc.edu/cgi-bin/hgTracks?db=hg19&amp;position=chr7%3A142460046%2D142460046", "chr7:142460046")</f>
        <v>chr7:142460046</v>
      </c>
      <c r="C371" s="0" t="s">
        <v>201</v>
      </c>
      <c r="D371" s="0" t="n">
        <v>142460046</v>
      </c>
      <c r="E371" s="0" t="n">
        <v>142460046</v>
      </c>
      <c r="F371" s="0" t="s">
        <v>40</v>
      </c>
      <c r="G371" s="0" t="s">
        <v>60</v>
      </c>
      <c r="H371" s="0" t="s">
        <v>2164</v>
      </c>
      <c r="I371" s="0" t="s">
        <v>1171</v>
      </c>
      <c r="J371" s="0" t="s">
        <v>2165</v>
      </c>
      <c r="K371" s="0" t="s">
        <v>49</v>
      </c>
      <c r="L371" s="0" t="str">
        <f aca="false">HYPERLINK("https://www.ncbi.nlm.nih.gov/snp/rs371778638", "rs371778638")</f>
        <v>rs371778638</v>
      </c>
      <c r="M371" s="0" t="str">
        <f aca="false">HYPERLINK("https://www.genecards.org/Search/Keyword?queryString=%5Baliases%5D(%20PRSS1%20)%20OR%20%5Baliases%5D(%20TCRVB%20)&amp;keywords=PRSS1,TCRVB", "PRSS1;TCRVB")</f>
        <v>PRSS1;TCRVB</v>
      </c>
      <c r="N371" s="0" t="s">
        <v>283</v>
      </c>
      <c r="O371" s="0" t="s">
        <v>49</v>
      </c>
      <c r="P371" s="0" t="s">
        <v>49</v>
      </c>
      <c r="Q371" s="0" t="n">
        <v>0.0004226</v>
      </c>
      <c r="R371" s="0" t="n">
        <v>-1</v>
      </c>
      <c r="S371" s="0" t="n">
        <v>-1</v>
      </c>
      <c r="T371" s="0" t="n">
        <v>-1</v>
      </c>
      <c r="U371" s="0" t="n">
        <v>-1</v>
      </c>
      <c r="V371" s="0" t="s">
        <v>49</v>
      </c>
      <c r="W371" s="0" t="s">
        <v>49</v>
      </c>
      <c r="X371" s="0" t="s">
        <v>218</v>
      </c>
      <c r="Y371" s="0" t="s">
        <v>219</v>
      </c>
      <c r="Z371" s="0" t="s">
        <v>49</v>
      </c>
      <c r="AA371" s="0" t="s">
        <v>49</v>
      </c>
      <c r="AB371" s="0" t="s">
        <v>49</v>
      </c>
      <c r="AC371" s="0" t="s">
        <v>53</v>
      </c>
      <c r="AD371" s="0" t="s">
        <v>2139</v>
      </c>
      <c r="AE371" s="0" t="s">
        <v>2140</v>
      </c>
      <c r="AF371" s="0" t="s">
        <v>2141</v>
      </c>
      <c r="AG371" s="0" t="s">
        <v>2142</v>
      </c>
      <c r="AH371" s="0" t="s">
        <v>2143</v>
      </c>
      <c r="AI371" s="0" t="s">
        <v>49</v>
      </c>
      <c r="AJ371" s="0" t="s">
        <v>49</v>
      </c>
      <c r="AK371" s="0" t="s">
        <v>49</v>
      </c>
      <c r="AL371" s="0" t="s">
        <v>49</v>
      </c>
    </row>
    <row r="372" customFormat="false" ht="15" hidden="false" customHeight="false" outlineLevel="0" collapsed="false">
      <c r="B372" s="0" t="str">
        <f aca="false">HYPERLINK("https://genome.ucsc.edu/cgi-bin/hgTracks?db=hg19&amp;position=chr7%3A142460255%2D142460255", "chr7:142460255")</f>
        <v>chr7:142460255</v>
      </c>
      <c r="C372" s="0" t="s">
        <v>201</v>
      </c>
      <c r="D372" s="0" t="n">
        <v>142460255</v>
      </c>
      <c r="E372" s="0" t="n">
        <v>142460255</v>
      </c>
      <c r="F372" s="0" t="s">
        <v>39</v>
      </c>
      <c r="G372" s="0" t="s">
        <v>190</v>
      </c>
      <c r="H372" s="0" t="s">
        <v>2166</v>
      </c>
      <c r="I372" s="0" t="s">
        <v>715</v>
      </c>
      <c r="J372" s="0" t="s">
        <v>2167</v>
      </c>
      <c r="K372" s="0" t="s">
        <v>49</v>
      </c>
      <c r="L372" s="0" t="str">
        <f aca="false">HYPERLINK("https://www.ncbi.nlm.nih.gov/snp/rs376880201", "rs376880201")</f>
        <v>rs376880201</v>
      </c>
      <c r="M372" s="0" t="str">
        <f aca="false">HYPERLINK("https://www.genecards.org/Search/Keyword?queryString=%5Baliases%5D(%20PRSS1%20)%20OR%20%5Baliases%5D(%20TCRVB%20)&amp;keywords=PRSS1,TCRVB", "PRSS1;TCRVB")</f>
        <v>PRSS1;TCRVB</v>
      </c>
      <c r="N372" s="0" t="s">
        <v>283</v>
      </c>
      <c r="O372" s="0" t="s">
        <v>49</v>
      </c>
      <c r="P372" s="0" t="s">
        <v>49</v>
      </c>
      <c r="Q372" s="0" t="n">
        <v>0.0051</v>
      </c>
      <c r="R372" s="0" t="n">
        <v>0.0053</v>
      </c>
      <c r="S372" s="0" t="n">
        <v>0.0051</v>
      </c>
      <c r="T372" s="0" t="n">
        <v>-1</v>
      </c>
      <c r="U372" s="0" t="n">
        <v>0.0033</v>
      </c>
      <c r="V372" s="0" t="s">
        <v>49</v>
      </c>
      <c r="W372" s="0" t="s">
        <v>49</v>
      </c>
      <c r="X372" s="0" t="s">
        <v>49</v>
      </c>
      <c r="Y372" s="0" t="s">
        <v>49</v>
      </c>
      <c r="Z372" s="0" t="s">
        <v>49</v>
      </c>
      <c r="AA372" s="0" t="s">
        <v>49</v>
      </c>
      <c r="AB372" s="0" t="s">
        <v>49</v>
      </c>
      <c r="AC372" s="0" t="s">
        <v>53</v>
      </c>
      <c r="AD372" s="0" t="s">
        <v>2139</v>
      </c>
      <c r="AE372" s="0" t="s">
        <v>2140</v>
      </c>
      <c r="AF372" s="0" t="s">
        <v>2141</v>
      </c>
      <c r="AG372" s="0" t="s">
        <v>2142</v>
      </c>
      <c r="AH372" s="0" t="s">
        <v>2143</v>
      </c>
      <c r="AI372" s="0" t="s">
        <v>49</v>
      </c>
      <c r="AJ372" s="0" t="s">
        <v>49</v>
      </c>
      <c r="AK372" s="0" t="s">
        <v>49</v>
      </c>
      <c r="AL372" s="0" t="s">
        <v>49</v>
      </c>
    </row>
    <row r="373" customFormat="false" ht="15" hidden="false" customHeight="false" outlineLevel="0" collapsed="false">
      <c r="B373" s="0" t="str">
        <f aca="false">HYPERLINK("https://genome.ucsc.edu/cgi-bin/hgTracks?db=hg19&amp;position=chr7%3A142460614%2D142460614", "chr7:142460614")</f>
        <v>chr7:142460614</v>
      </c>
      <c r="C373" s="0" t="s">
        <v>201</v>
      </c>
      <c r="D373" s="0" t="n">
        <v>142460614</v>
      </c>
      <c r="E373" s="0" t="n">
        <v>142460614</v>
      </c>
      <c r="F373" s="0" t="s">
        <v>61</v>
      </c>
      <c r="G373" s="0" t="s">
        <v>60</v>
      </c>
      <c r="H373" s="0" t="s">
        <v>2168</v>
      </c>
      <c r="I373" s="0" t="s">
        <v>227</v>
      </c>
      <c r="J373" s="0" t="s">
        <v>2169</v>
      </c>
      <c r="K373" s="0" t="s">
        <v>49</v>
      </c>
      <c r="L373" s="0" t="str">
        <f aca="false">HYPERLINK("https://www.ncbi.nlm.nih.gov/snp/rs373440695", "rs373440695")</f>
        <v>rs373440695</v>
      </c>
      <c r="M373" s="0" t="str">
        <f aca="false">HYPERLINK("https://www.genecards.org/Search/Keyword?queryString=%5Baliases%5D(%20PRSS1%20)%20OR%20%5Baliases%5D(%20TCRVB%20)&amp;keywords=PRSS1,TCRVB", "PRSS1;TCRVB")</f>
        <v>PRSS1;TCRVB</v>
      </c>
      <c r="N373" s="0" t="s">
        <v>283</v>
      </c>
      <c r="O373" s="0" t="s">
        <v>49</v>
      </c>
      <c r="P373" s="0" t="s">
        <v>49</v>
      </c>
      <c r="Q373" s="0" t="n">
        <v>0.026273</v>
      </c>
      <c r="R373" s="0" t="n">
        <v>-1</v>
      </c>
      <c r="S373" s="0" t="n">
        <v>-1</v>
      </c>
      <c r="T373" s="0" t="n">
        <v>-1</v>
      </c>
      <c r="U373" s="0" t="n">
        <v>-1</v>
      </c>
      <c r="V373" s="0" t="s">
        <v>49</v>
      </c>
      <c r="W373" s="0" t="s">
        <v>49</v>
      </c>
      <c r="X373" s="0" t="s">
        <v>218</v>
      </c>
      <c r="Y373" s="0" t="s">
        <v>219</v>
      </c>
      <c r="Z373" s="0" t="s">
        <v>49</v>
      </c>
      <c r="AA373" s="0" t="s">
        <v>49</v>
      </c>
      <c r="AB373" s="0" t="s">
        <v>49</v>
      </c>
      <c r="AC373" s="0" t="s">
        <v>53</v>
      </c>
      <c r="AD373" s="0" t="s">
        <v>2139</v>
      </c>
      <c r="AE373" s="0" t="s">
        <v>2140</v>
      </c>
      <c r="AF373" s="0" t="s">
        <v>2141</v>
      </c>
      <c r="AG373" s="0" t="s">
        <v>2142</v>
      </c>
      <c r="AH373" s="0" t="s">
        <v>2143</v>
      </c>
      <c r="AI373" s="0" t="s">
        <v>49</v>
      </c>
      <c r="AJ373" s="0" t="s">
        <v>49</v>
      </c>
      <c r="AK373" s="0" t="s">
        <v>49</v>
      </c>
      <c r="AL373" s="0" t="s">
        <v>49</v>
      </c>
    </row>
    <row r="374" customFormat="false" ht="15" hidden="false" customHeight="false" outlineLevel="0" collapsed="false">
      <c r="B374" s="0" t="str">
        <f aca="false">HYPERLINK("https://genome.ucsc.edu/cgi-bin/hgTracks?db=hg19&amp;position=chr7%3A142460642%2D142460642", "chr7:142460642")</f>
        <v>chr7:142460642</v>
      </c>
      <c r="C374" s="0" t="s">
        <v>201</v>
      </c>
      <c r="D374" s="0" t="n">
        <v>142460642</v>
      </c>
      <c r="E374" s="0" t="n">
        <v>142460642</v>
      </c>
      <c r="F374" s="0" t="s">
        <v>60</v>
      </c>
      <c r="G374" s="0" t="s">
        <v>39</v>
      </c>
      <c r="H374" s="0" t="s">
        <v>2170</v>
      </c>
      <c r="I374" s="0" t="s">
        <v>435</v>
      </c>
      <c r="J374" s="0" t="s">
        <v>2171</v>
      </c>
      <c r="K374" s="0" t="s">
        <v>49</v>
      </c>
      <c r="L374" s="0" t="str">
        <f aca="false">HYPERLINK("https://www.ncbi.nlm.nih.gov/snp/rs373536377", "rs373536377")</f>
        <v>rs373536377</v>
      </c>
      <c r="M374" s="0" t="str">
        <f aca="false">HYPERLINK("https://www.genecards.org/Search/Keyword?queryString=%5Baliases%5D(%20PRSS1%20)%20OR%20%5Baliases%5D(%20TCRVB%20)&amp;keywords=PRSS1,TCRVB", "PRSS1;TCRVB")</f>
        <v>PRSS1;TCRVB</v>
      </c>
      <c r="N374" s="0" t="s">
        <v>283</v>
      </c>
      <c r="O374" s="0" t="s">
        <v>49</v>
      </c>
      <c r="P374" s="0" t="s">
        <v>49</v>
      </c>
      <c r="Q374" s="0" t="n">
        <v>0.0022668</v>
      </c>
      <c r="R374" s="0" t="n">
        <v>-1</v>
      </c>
      <c r="S374" s="0" t="n">
        <v>-1</v>
      </c>
      <c r="T374" s="0" t="n">
        <v>-1</v>
      </c>
      <c r="U374" s="0" t="n">
        <v>-1</v>
      </c>
      <c r="V374" s="0" t="s">
        <v>49</v>
      </c>
      <c r="W374" s="0" t="s">
        <v>49</v>
      </c>
      <c r="X374" s="0" t="s">
        <v>218</v>
      </c>
      <c r="Y374" s="0" t="s">
        <v>219</v>
      </c>
      <c r="Z374" s="0" t="s">
        <v>49</v>
      </c>
      <c r="AA374" s="0" t="s">
        <v>49</v>
      </c>
      <c r="AB374" s="0" t="s">
        <v>49</v>
      </c>
      <c r="AC374" s="0" t="s">
        <v>53</v>
      </c>
      <c r="AD374" s="0" t="s">
        <v>2139</v>
      </c>
      <c r="AE374" s="0" t="s">
        <v>2140</v>
      </c>
      <c r="AF374" s="0" t="s">
        <v>2141</v>
      </c>
      <c r="AG374" s="0" t="s">
        <v>2142</v>
      </c>
      <c r="AH374" s="0" t="s">
        <v>2143</v>
      </c>
      <c r="AI374" s="0" t="s">
        <v>822</v>
      </c>
      <c r="AJ374" s="0" t="s">
        <v>49</v>
      </c>
      <c r="AK374" s="0" t="s">
        <v>49</v>
      </c>
      <c r="AL374" s="0" t="s">
        <v>49</v>
      </c>
    </row>
    <row r="375" customFormat="false" ht="15" hidden="false" customHeight="false" outlineLevel="0" collapsed="false">
      <c r="B375" s="0" t="str">
        <f aca="false">HYPERLINK("https://genome.ucsc.edu/cgi-bin/hgTracks?db=hg19&amp;position=chr7%3A142460660%2D142460660", "chr7:142460660")</f>
        <v>chr7:142460660</v>
      </c>
      <c r="C375" s="0" t="s">
        <v>201</v>
      </c>
      <c r="D375" s="0" t="n">
        <v>142460660</v>
      </c>
      <c r="E375" s="0" t="n">
        <v>142460660</v>
      </c>
      <c r="F375" s="0" t="s">
        <v>40</v>
      </c>
      <c r="G375" s="0" t="s">
        <v>39</v>
      </c>
      <c r="H375" s="0" t="s">
        <v>2172</v>
      </c>
      <c r="I375" s="0" t="s">
        <v>157</v>
      </c>
      <c r="J375" s="0" t="s">
        <v>2173</v>
      </c>
      <c r="K375" s="0" t="s">
        <v>49</v>
      </c>
      <c r="L375" s="0" t="str">
        <f aca="false">HYPERLINK("https://www.ncbi.nlm.nih.gov/snp/rs796239652", "rs796239652")</f>
        <v>rs796239652</v>
      </c>
      <c r="M375" s="0" t="str">
        <f aca="false">HYPERLINK("https://www.genecards.org/Search/Keyword?queryString=%5Baliases%5D(%20PRSS1%20)%20OR%20%5Baliases%5D(%20TCRVB%20)&amp;keywords=PRSS1,TCRVB", "PRSS1;TCRVB")</f>
        <v>PRSS1;TCRVB</v>
      </c>
      <c r="N375" s="0" t="s">
        <v>283</v>
      </c>
      <c r="O375" s="0" t="s">
        <v>49</v>
      </c>
      <c r="P375" s="0" t="s">
        <v>49</v>
      </c>
      <c r="Q375" s="0" t="n">
        <v>0.0004226</v>
      </c>
      <c r="R375" s="0" t="n">
        <v>-1</v>
      </c>
      <c r="S375" s="0" t="n">
        <v>-1</v>
      </c>
      <c r="T375" s="0" t="n">
        <v>-1</v>
      </c>
      <c r="U375" s="0" t="n">
        <v>-1</v>
      </c>
      <c r="V375" s="0" t="s">
        <v>49</v>
      </c>
      <c r="W375" s="0" t="s">
        <v>49</v>
      </c>
      <c r="X375" s="0" t="s">
        <v>218</v>
      </c>
      <c r="Y375" s="0" t="s">
        <v>219</v>
      </c>
      <c r="Z375" s="0" t="s">
        <v>49</v>
      </c>
      <c r="AA375" s="0" t="s">
        <v>49</v>
      </c>
      <c r="AB375" s="0" t="s">
        <v>49</v>
      </c>
      <c r="AC375" s="0" t="s">
        <v>53</v>
      </c>
      <c r="AD375" s="0" t="s">
        <v>2139</v>
      </c>
      <c r="AE375" s="0" t="s">
        <v>2140</v>
      </c>
      <c r="AF375" s="0" t="s">
        <v>2141</v>
      </c>
      <c r="AG375" s="0" t="s">
        <v>2142</v>
      </c>
      <c r="AH375" s="0" t="s">
        <v>2143</v>
      </c>
      <c r="AI375" s="0" t="s">
        <v>49</v>
      </c>
      <c r="AJ375" s="0" t="s">
        <v>49</v>
      </c>
      <c r="AK375" s="0" t="s">
        <v>49</v>
      </c>
      <c r="AL375" s="0" t="s">
        <v>49</v>
      </c>
    </row>
    <row r="376" customFormat="false" ht="15" hidden="false" customHeight="false" outlineLevel="0" collapsed="false">
      <c r="B376" s="0" t="str">
        <f aca="false">HYPERLINK("https://genome.ucsc.edu/cgi-bin/hgTracks?db=hg19&amp;position=chr7%3A142470773%2D142470773", "chr7:142470773")</f>
        <v>chr7:142470773</v>
      </c>
      <c r="C376" s="0" t="s">
        <v>201</v>
      </c>
      <c r="D376" s="0" t="n">
        <v>142470773</v>
      </c>
      <c r="E376" s="0" t="n">
        <v>142470773</v>
      </c>
      <c r="F376" s="0" t="s">
        <v>61</v>
      </c>
      <c r="G376" s="0" t="s">
        <v>60</v>
      </c>
      <c r="H376" s="0" t="s">
        <v>2174</v>
      </c>
      <c r="I376" s="0" t="s">
        <v>2175</v>
      </c>
      <c r="J376" s="0" t="s">
        <v>2176</v>
      </c>
      <c r="K376" s="0" t="s">
        <v>49</v>
      </c>
      <c r="L376" s="0" t="str">
        <f aca="false">HYPERLINK("https://www.ncbi.nlm.nih.gov/snp/rs879144012", "rs879144012")</f>
        <v>rs879144012</v>
      </c>
      <c r="M376" s="0" t="str">
        <f aca="false">HYPERLINK("https://www.genecards.org/Search/Keyword?queryString=%5Baliases%5D(%20BV6S4-BJ2S2%20)%20OR%20%5Baliases%5D(%20TCRVB%20)&amp;keywords=BV6S4-BJ2S2,TCRVB", "BV6S4-BJ2S2;TCRVB")</f>
        <v>BV6S4-BJ2S2;TCRVB</v>
      </c>
      <c r="N376" s="0" t="s">
        <v>2177</v>
      </c>
      <c r="O376" s="0" t="s">
        <v>49</v>
      </c>
      <c r="P376" s="0" t="s">
        <v>2178</v>
      </c>
      <c r="Q376" s="0" t="n">
        <v>0.0006916</v>
      </c>
      <c r="R376" s="0" t="n">
        <v>-1</v>
      </c>
      <c r="S376" s="0" t="n">
        <v>-1</v>
      </c>
      <c r="T376" s="0" t="n">
        <v>-1</v>
      </c>
      <c r="U376" s="0" t="n">
        <v>-1</v>
      </c>
      <c r="V376" s="0" t="s">
        <v>49</v>
      </c>
      <c r="W376" s="0" t="s">
        <v>49</v>
      </c>
      <c r="X376" s="0" t="s">
        <v>49</v>
      </c>
      <c r="Y376" s="0" t="s">
        <v>49</v>
      </c>
      <c r="Z376" s="0" t="s">
        <v>49</v>
      </c>
      <c r="AA376" s="0" t="s">
        <v>49</v>
      </c>
      <c r="AB376" s="0" t="s">
        <v>49</v>
      </c>
      <c r="AC376" s="0" t="s">
        <v>53</v>
      </c>
      <c r="AD376" s="0" t="s">
        <v>2179</v>
      </c>
      <c r="AE376" s="0" t="s">
        <v>49</v>
      </c>
      <c r="AF376" s="0" t="s">
        <v>49</v>
      </c>
      <c r="AG376" s="0" t="s">
        <v>49</v>
      </c>
      <c r="AH376" s="0" t="s">
        <v>49</v>
      </c>
      <c r="AI376" s="0" t="s">
        <v>49</v>
      </c>
      <c r="AJ376" s="0" t="s">
        <v>49</v>
      </c>
      <c r="AK376" s="0" t="s">
        <v>49</v>
      </c>
      <c r="AL376" s="0" t="s">
        <v>49</v>
      </c>
    </row>
    <row r="377" customFormat="false" ht="15" hidden="false" customHeight="false" outlineLevel="0" collapsed="false">
      <c r="B377" s="0" t="str">
        <f aca="false">HYPERLINK("https://genome.ucsc.edu/cgi-bin/hgTracks?db=hg19&amp;position=chr7%3A150937078%2D150937078", "chr7:150937078")</f>
        <v>chr7:150937078</v>
      </c>
      <c r="C377" s="0" t="s">
        <v>201</v>
      </c>
      <c r="D377" s="0" t="n">
        <v>150937078</v>
      </c>
      <c r="E377" s="0" t="n">
        <v>150937078</v>
      </c>
      <c r="F377" s="0" t="s">
        <v>40</v>
      </c>
      <c r="G377" s="0" t="s">
        <v>39</v>
      </c>
      <c r="H377" s="0" t="s">
        <v>2144</v>
      </c>
      <c r="I377" s="0" t="s">
        <v>100</v>
      </c>
      <c r="J377" s="0" t="s">
        <v>101</v>
      </c>
      <c r="K377" s="0" t="s">
        <v>49</v>
      </c>
      <c r="L377" s="0" t="str">
        <f aca="false">HYPERLINK("https://www.ncbi.nlm.nih.gov/snp/rs986489155", "rs986489155")</f>
        <v>rs986489155</v>
      </c>
      <c r="M377" s="0" t="str">
        <f aca="false">HYPERLINK("https://www.genecards.org/Search/Keyword?queryString=%5Baliases%5D(%20SMARCD3%20)&amp;keywords=SMARCD3", "SMARCD3")</f>
        <v>SMARCD3</v>
      </c>
      <c r="N377" s="0" t="s">
        <v>510</v>
      </c>
      <c r="O377" s="0" t="s">
        <v>49</v>
      </c>
      <c r="P377" s="0" t="s">
        <v>49</v>
      </c>
      <c r="Q377" s="0" t="n">
        <v>0.008</v>
      </c>
      <c r="R377" s="0" t="n">
        <v>0.0026</v>
      </c>
      <c r="S377" s="0" t="n">
        <v>0.0038</v>
      </c>
      <c r="T377" s="0" t="n">
        <v>-1</v>
      </c>
      <c r="U377" s="0" t="n">
        <v>0.0091</v>
      </c>
      <c r="V377" s="0" t="s">
        <v>49</v>
      </c>
      <c r="W377" s="0" t="s">
        <v>49</v>
      </c>
      <c r="X377" s="0" t="s">
        <v>333</v>
      </c>
      <c r="Y377" s="0" t="s">
        <v>219</v>
      </c>
      <c r="Z377" s="0" t="s">
        <v>49</v>
      </c>
      <c r="AA377" s="0" t="s">
        <v>49</v>
      </c>
      <c r="AB377" s="0" t="s">
        <v>49</v>
      </c>
      <c r="AC377" s="0" t="s">
        <v>53</v>
      </c>
      <c r="AD377" s="0" t="s">
        <v>54</v>
      </c>
      <c r="AE377" s="0" t="s">
        <v>2180</v>
      </c>
      <c r="AF377" s="0" t="s">
        <v>2181</v>
      </c>
      <c r="AG377" s="0" t="s">
        <v>2182</v>
      </c>
      <c r="AH377" s="0" t="s">
        <v>49</v>
      </c>
      <c r="AI377" s="0" t="s">
        <v>49</v>
      </c>
      <c r="AJ377" s="0" t="s">
        <v>49</v>
      </c>
      <c r="AK377" s="0" t="s">
        <v>49</v>
      </c>
      <c r="AL377" s="0" t="s">
        <v>49</v>
      </c>
    </row>
    <row r="378" customFormat="false" ht="15" hidden="false" customHeight="false" outlineLevel="0" collapsed="false">
      <c r="B378" s="0" t="str">
        <f aca="false">HYPERLINK("https://genome.ucsc.edu/cgi-bin/hgTracks?db=hg19&amp;position=chr7%3A151926883%2D151926883", "chr7:151926883")</f>
        <v>chr7:151926883</v>
      </c>
      <c r="C378" s="0" t="s">
        <v>201</v>
      </c>
      <c r="D378" s="0" t="n">
        <v>151926883</v>
      </c>
      <c r="E378" s="0" t="n">
        <v>151926883</v>
      </c>
      <c r="F378" s="0" t="s">
        <v>40</v>
      </c>
      <c r="G378" s="0" t="s">
        <v>39</v>
      </c>
      <c r="H378" s="0" t="s">
        <v>2183</v>
      </c>
      <c r="I378" s="0" t="s">
        <v>1896</v>
      </c>
      <c r="J378" s="0" t="s">
        <v>2184</v>
      </c>
      <c r="K378" s="0" t="s">
        <v>49</v>
      </c>
      <c r="L378" s="0" t="str">
        <f aca="false">HYPERLINK("https://www.ncbi.nlm.nih.gov/snp/rs2360917", "rs2360917")</f>
        <v>rs2360917</v>
      </c>
      <c r="M378" s="0" t="str">
        <f aca="false">HYPERLINK("https://www.genecards.org/Search/Keyword?queryString=%5Baliases%5D(%20KMT2C%20)&amp;keywords=KMT2C", "KMT2C")</f>
        <v>KMT2C</v>
      </c>
      <c r="N378" s="0" t="s">
        <v>510</v>
      </c>
      <c r="O378" s="0" t="s">
        <v>49</v>
      </c>
      <c r="P378" s="0" t="s">
        <v>49</v>
      </c>
      <c r="Q378" s="0" t="n">
        <v>3.84E-005</v>
      </c>
      <c r="R378" s="0" t="n">
        <v>-1</v>
      </c>
      <c r="S378" s="0" t="n">
        <v>-1</v>
      </c>
      <c r="T378" s="0" t="n">
        <v>-1</v>
      </c>
      <c r="U378" s="0" t="n">
        <v>-1</v>
      </c>
      <c r="V378" s="0" t="s">
        <v>49</v>
      </c>
      <c r="W378" s="0" t="s">
        <v>49</v>
      </c>
      <c r="X378" s="0" t="s">
        <v>333</v>
      </c>
      <c r="Y378" s="0" t="s">
        <v>219</v>
      </c>
      <c r="Z378" s="0" t="s">
        <v>49</v>
      </c>
      <c r="AA378" s="0" t="s">
        <v>49</v>
      </c>
      <c r="AB378" s="0" t="s">
        <v>49</v>
      </c>
      <c r="AC378" s="0" t="s">
        <v>53</v>
      </c>
      <c r="AD378" s="0" t="s">
        <v>209</v>
      </c>
      <c r="AE378" s="0" t="s">
        <v>210</v>
      </c>
      <c r="AF378" s="0" t="s">
        <v>211</v>
      </c>
      <c r="AG378" s="0" t="s">
        <v>212</v>
      </c>
      <c r="AH378" s="0" t="s">
        <v>49</v>
      </c>
      <c r="AI378" s="0" t="s">
        <v>49</v>
      </c>
      <c r="AJ378" s="0" t="s">
        <v>49</v>
      </c>
      <c r="AK378" s="0" t="s">
        <v>49</v>
      </c>
      <c r="AL378" s="0" t="s">
        <v>49</v>
      </c>
    </row>
    <row r="379" customFormat="false" ht="15" hidden="false" customHeight="false" outlineLevel="0" collapsed="false">
      <c r="B379" s="0" t="str">
        <f aca="false">HYPERLINK("https://genome.ucsc.edu/cgi-bin/hgTracks?db=hg19&amp;position=chr7%3A156967602%2D156967602", "chr7:156967602")</f>
        <v>chr7:156967602</v>
      </c>
      <c r="C379" s="0" t="s">
        <v>201</v>
      </c>
      <c r="D379" s="0" t="n">
        <v>156967602</v>
      </c>
      <c r="E379" s="0" t="n">
        <v>156967602</v>
      </c>
      <c r="F379" s="0" t="s">
        <v>40</v>
      </c>
      <c r="G379" s="0" t="s">
        <v>60</v>
      </c>
      <c r="H379" s="0" t="s">
        <v>2185</v>
      </c>
      <c r="I379" s="0" t="s">
        <v>508</v>
      </c>
      <c r="J379" s="0" t="s">
        <v>2186</v>
      </c>
      <c r="K379" s="0" t="s">
        <v>49</v>
      </c>
      <c r="L379" s="0" t="str">
        <f aca="false">HYPERLINK("https://www.ncbi.nlm.nih.gov/snp/rs74965044", "rs74965044")</f>
        <v>rs74965044</v>
      </c>
      <c r="M379" s="0" t="str">
        <f aca="false">HYPERLINK("https://www.genecards.org/Search/Keyword?queryString=%5Baliases%5D(%20UBE3C%20)&amp;keywords=UBE3C", "UBE3C")</f>
        <v>UBE3C</v>
      </c>
      <c r="N379" s="0" t="s">
        <v>510</v>
      </c>
      <c r="O379" s="0" t="s">
        <v>49</v>
      </c>
      <c r="P379" s="0" t="s">
        <v>49</v>
      </c>
      <c r="Q379" s="0" t="n">
        <v>0.018</v>
      </c>
      <c r="R379" s="0" t="n">
        <v>0.0176</v>
      </c>
      <c r="S379" s="0" t="n">
        <v>0.018</v>
      </c>
      <c r="T379" s="0" t="n">
        <v>-1</v>
      </c>
      <c r="U379" s="0" t="n">
        <v>0.0174</v>
      </c>
      <c r="V379" s="0" t="s">
        <v>49</v>
      </c>
      <c r="W379" s="0" t="s">
        <v>333</v>
      </c>
      <c r="X379" s="0" t="s">
        <v>517</v>
      </c>
      <c r="Y379" s="0" t="s">
        <v>390</v>
      </c>
      <c r="Z379" s="0" t="s">
        <v>49</v>
      </c>
      <c r="AA379" s="0" t="s">
        <v>49</v>
      </c>
      <c r="AB379" s="0" t="s">
        <v>49</v>
      </c>
      <c r="AC379" s="0" t="s">
        <v>53</v>
      </c>
      <c r="AD379" s="0" t="s">
        <v>54</v>
      </c>
      <c r="AE379" s="0" t="s">
        <v>2187</v>
      </c>
      <c r="AF379" s="0" t="s">
        <v>2188</v>
      </c>
      <c r="AG379" s="0" t="s">
        <v>2189</v>
      </c>
      <c r="AH379" s="0" t="s">
        <v>49</v>
      </c>
      <c r="AI379" s="0" t="s">
        <v>49</v>
      </c>
      <c r="AJ379" s="0" t="s">
        <v>49</v>
      </c>
      <c r="AK379" s="0" t="s">
        <v>49</v>
      </c>
      <c r="AL379" s="0" t="s">
        <v>49</v>
      </c>
    </row>
    <row r="380" customFormat="false" ht="15" hidden="false" customHeight="false" outlineLevel="0" collapsed="false">
      <c r="B380" s="0" t="str">
        <f aca="false">HYPERLINK("https://genome.ucsc.edu/cgi-bin/hgTracks?db=hg19&amp;position=chr8%3A21986850%2D21986850", "chr8:21986850")</f>
        <v>chr8:21986850</v>
      </c>
      <c r="C380" s="0" t="s">
        <v>433</v>
      </c>
      <c r="D380" s="0" t="n">
        <v>21986850</v>
      </c>
      <c r="E380" s="0" t="n">
        <v>21986850</v>
      </c>
      <c r="F380" s="0" t="s">
        <v>39</v>
      </c>
      <c r="G380" s="0" t="s">
        <v>40</v>
      </c>
      <c r="H380" s="0" t="s">
        <v>2190</v>
      </c>
      <c r="I380" s="0" t="s">
        <v>1868</v>
      </c>
      <c r="J380" s="0" t="s">
        <v>2191</v>
      </c>
      <c r="K380" s="0" t="s">
        <v>49</v>
      </c>
      <c r="L380" s="0" t="str">
        <f aca="false">HYPERLINK("https://www.ncbi.nlm.nih.gov/snp/rs78771661", "rs78771661")</f>
        <v>rs78771661</v>
      </c>
      <c r="M380" s="0" t="str">
        <f aca="false">HYPERLINK("https://www.genecards.org/Search/Keyword?queryString=%5Baliases%5D(%20HR%20)&amp;keywords=HR", "HR")</f>
        <v>HR</v>
      </c>
      <c r="N380" s="0" t="s">
        <v>510</v>
      </c>
      <c r="O380" s="0" t="s">
        <v>49</v>
      </c>
      <c r="P380" s="0" t="s">
        <v>49</v>
      </c>
      <c r="Q380" s="0" t="n">
        <v>0.0249</v>
      </c>
      <c r="R380" s="0" t="n">
        <v>0.0181</v>
      </c>
      <c r="S380" s="0" t="n">
        <v>0.0187</v>
      </c>
      <c r="T380" s="0" t="n">
        <v>-1</v>
      </c>
      <c r="U380" s="0" t="n">
        <v>0.0176</v>
      </c>
      <c r="V380" s="0" t="s">
        <v>49</v>
      </c>
      <c r="W380" s="0" t="s">
        <v>49</v>
      </c>
      <c r="X380" s="0" t="s">
        <v>333</v>
      </c>
      <c r="Y380" s="0" t="s">
        <v>219</v>
      </c>
      <c r="Z380" s="0" t="s">
        <v>49</v>
      </c>
      <c r="AA380" s="0" t="s">
        <v>49</v>
      </c>
      <c r="AB380" s="0" t="s">
        <v>49</v>
      </c>
      <c r="AC380" s="0" t="s">
        <v>53</v>
      </c>
      <c r="AD380" s="0" t="s">
        <v>54</v>
      </c>
      <c r="AE380" s="0" t="s">
        <v>2192</v>
      </c>
      <c r="AF380" s="0" t="s">
        <v>2193</v>
      </c>
      <c r="AG380" s="0" t="s">
        <v>2194</v>
      </c>
      <c r="AH380" s="0" t="s">
        <v>2195</v>
      </c>
      <c r="AI380" s="0" t="s">
        <v>49</v>
      </c>
      <c r="AJ380" s="0" t="s">
        <v>49</v>
      </c>
      <c r="AK380" s="0" t="s">
        <v>49</v>
      </c>
      <c r="AL380" s="0" t="s">
        <v>49</v>
      </c>
    </row>
    <row r="381" customFormat="false" ht="15" hidden="false" customHeight="false" outlineLevel="0" collapsed="false">
      <c r="B381" s="0" t="str">
        <f aca="false">HYPERLINK("https://genome.ucsc.edu/cgi-bin/hgTracks?db=hg19&amp;position=chr8%3A41522163%2D41522163", "chr8:41522163")</f>
        <v>chr8:41522163</v>
      </c>
      <c r="C381" s="0" t="s">
        <v>433</v>
      </c>
      <c r="D381" s="0" t="n">
        <v>41522163</v>
      </c>
      <c r="E381" s="0" t="n">
        <v>41522163</v>
      </c>
      <c r="F381" s="0" t="s">
        <v>40</v>
      </c>
      <c r="G381" s="0" t="s">
        <v>61</v>
      </c>
      <c r="H381" s="0" t="s">
        <v>2196</v>
      </c>
      <c r="I381" s="0" t="s">
        <v>265</v>
      </c>
      <c r="J381" s="0" t="s">
        <v>2197</v>
      </c>
      <c r="K381" s="0" t="s">
        <v>49</v>
      </c>
      <c r="L381" s="0" t="s">
        <v>49</v>
      </c>
      <c r="M381" s="0" t="str">
        <f aca="false">HYPERLINK("https://www.genecards.org/Search/Keyword?queryString=%5Baliases%5D(%20ANK1%20)%20OR%20%5Baliases%5D(%20NKX6-3%20)&amp;keywords=ANK1,NKX6-3", "ANK1;NKX6-3")</f>
        <v>ANK1;NKX6-3</v>
      </c>
      <c r="N381" s="0" t="s">
        <v>283</v>
      </c>
      <c r="O381" s="0" t="s">
        <v>49</v>
      </c>
      <c r="P381" s="0" t="s">
        <v>49</v>
      </c>
      <c r="Q381" s="0" t="n">
        <v>-1</v>
      </c>
      <c r="R381" s="0" t="n">
        <v>-1</v>
      </c>
      <c r="S381" s="0" t="n">
        <v>-1</v>
      </c>
      <c r="T381" s="0" t="n">
        <v>-1</v>
      </c>
      <c r="U381" s="0" t="n">
        <v>-1</v>
      </c>
      <c r="V381" s="0" t="s">
        <v>49</v>
      </c>
      <c r="W381" s="0" t="s">
        <v>49</v>
      </c>
      <c r="X381" s="0" t="s">
        <v>49</v>
      </c>
      <c r="Y381" s="0" t="s">
        <v>49</v>
      </c>
      <c r="Z381" s="0" t="s">
        <v>49</v>
      </c>
      <c r="AA381" s="0" t="s">
        <v>49</v>
      </c>
      <c r="AB381" s="0" t="s">
        <v>49</v>
      </c>
      <c r="AC381" s="0" t="s">
        <v>53</v>
      </c>
      <c r="AD381" s="0" t="s">
        <v>220</v>
      </c>
      <c r="AE381" s="0" t="s">
        <v>2198</v>
      </c>
      <c r="AF381" s="0" t="s">
        <v>2199</v>
      </c>
      <c r="AG381" s="0" t="s">
        <v>2200</v>
      </c>
      <c r="AH381" s="0" t="s">
        <v>2201</v>
      </c>
      <c r="AI381" s="0" t="s">
        <v>49</v>
      </c>
      <c r="AJ381" s="0" t="s">
        <v>49</v>
      </c>
      <c r="AK381" s="0" t="s">
        <v>49</v>
      </c>
      <c r="AL381" s="0" t="s">
        <v>49</v>
      </c>
    </row>
    <row r="382" customFormat="false" ht="15" hidden="false" customHeight="false" outlineLevel="0" collapsed="false">
      <c r="B382" s="0" t="str">
        <f aca="false">HYPERLINK("https://genome.ucsc.edu/cgi-bin/hgTracks?db=hg19&amp;position=chr8%3A54742095%2D54742095", "chr8:54742095")</f>
        <v>chr8:54742095</v>
      </c>
      <c r="C382" s="0" t="s">
        <v>433</v>
      </c>
      <c r="D382" s="0" t="n">
        <v>54742095</v>
      </c>
      <c r="E382" s="0" t="n">
        <v>54742095</v>
      </c>
      <c r="F382" s="0" t="s">
        <v>190</v>
      </c>
      <c r="G382" s="0" t="s">
        <v>61</v>
      </c>
      <c r="H382" s="0" t="s">
        <v>2202</v>
      </c>
      <c r="I382" s="0" t="s">
        <v>566</v>
      </c>
      <c r="J382" s="0" t="s">
        <v>2203</v>
      </c>
      <c r="K382" s="0" t="s">
        <v>49</v>
      </c>
      <c r="L382" s="0" t="str">
        <f aca="false">HYPERLINK("https://www.ncbi.nlm.nih.gov/snp/rs751945840", "rs751945840")</f>
        <v>rs751945840</v>
      </c>
      <c r="M382" s="0" t="str">
        <f aca="false">HYPERLINK("https://www.genecards.org/Search/Keyword?queryString=%5Baliases%5D(%20ATP6V1H%20)&amp;keywords=ATP6V1H", "ATP6V1H")</f>
        <v>ATP6V1H</v>
      </c>
      <c r="N382" s="0" t="s">
        <v>196</v>
      </c>
      <c r="O382" s="0" t="s">
        <v>49</v>
      </c>
      <c r="P382" s="0" t="s">
        <v>2204</v>
      </c>
      <c r="Q382" s="0" t="n">
        <v>0.0094</v>
      </c>
      <c r="R382" s="0" t="n">
        <v>0.0039</v>
      </c>
      <c r="S382" s="0" t="n">
        <v>0.0007</v>
      </c>
      <c r="T382" s="0" t="n">
        <v>-1</v>
      </c>
      <c r="U382" s="0" t="n">
        <v>0.0017</v>
      </c>
      <c r="V382" s="0" t="s">
        <v>49</v>
      </c>
      <c r="W382" s="0" t="s">
        <v>49</v>
      </c>
      <c r="X382" s="0" t="s">
        <v>49</v>
      </c>
      <c r="Y382" s="0" t="s">
        <v>49</v>
      </c>
      <c r="Z382" s="0" t="s">
        <v>49</v>
      </c>
      <c r="AA382" s="0" t="s">
        <v>49</v>
      </c>
      <c r="AB382" s="0" t="s">
        <v>49</v>
      </c>
      <c r="AC382" s="0" t="s">
        <v>53</v>
      </c>
      <c r="AD382" s="0" t="s">
        <v>54</v>
      </c>
      <c r="AE382" s="0" t="s">
        <v>2205</v>
      </c>
      <c r="AF382" s="0" t="s">
        <v>2206</v>
      </c>
      <c r="AG382" s="0" t="s">
        <v>2207</v>
      </c>
      <c r="AH382" s="0" t="s">
        <v>49</v>
      </c>
      <c r="AI382" s="0" t="s">
        <v>49</v>
      </c>
      <c r="AJ382" s="0" t="s">
        <v>49</v>
      </c>
      <c r="AK382" s="0" t="s">
        <v>49</v>
      </c>
      <c r="AL382" s="0" t="s">
        <v>49</v>
      </c>
    </row>
    <row r="383" customFormat="false" ht="15" hidden="false" customHeight="false" outlineLevel="0" collapsed="false">
      <c r="B383" s="0" t="str">
        <f aca="false">HYPERLINK("https://genome.ucsc.edu/cgi-bin/hgTracks?db=hg19&amp;position=chr8%3A66619983%2D66619983", "chr8:66619983")</f>
        <v>chr8:66619983</v>
      </c>
      <c r="C383" s="0" t="s">
        <v>433</v>
      </c>
      <c r="D383" s="0" t="n">
        <v>66619983</v>
      </c>
      <c r="E383" s="0" t="n">
        <v>66619983</v>
      </c>
      <c r="F383" s="0" t="s">
        <v>60</v>
      </c>
      <c r="G383" s="0" t="s">
        <v>61</v>
      </c>
      <c r="H383" s="0" t="s">
        <v>2208</v>
      </c>
      <c r="I383" s="0" t="s">
        <v>515</v>
      </c>
      <c r="J383" s="0" t="s">
        <v>2209</v>
      </c>
      <c r="K383" s="0" t="s">
        <v>49</v>
      </c>
      <c r="L383" s="0" t="str">
        <f aca="false">HYPERLINK("https://www.ncbi.nlm.nih.gov/snp/rs117971394", "rs117971394")</f>
        <v>rs117971394</v>
      </c>
      <c r="M383" s="0" t="str">
        <f aca="false">HYPERLINK("https://www.genecards.org/Search/Keyword?queryString=%5Baliases%5D(%20MTFR1%20)&amp;keywords=MTFR1", "MTFR1")</f>
        <v>MTFR1</v>
      </c>
      <c r="N383" s="0" t="s">
        <v>510</v>
      </c>
      <c r="O383" s="0" t="s">
        <v>49</v>
      </c>
      <c r="P383" s="0" t="s">
        <v>49</v>
      </c>
      <c r="Q383" s="0" t="n">
        <v>0.0271</v>
      </c>
      <c r="R383" s="0" t="n">
        <v>0.0218</v>
      </c>
      <c r="S383" s="0" t="n">
        <v>0.0225</v>
      </c>
      <c r="T383" s="0" t="n">
        <v>-1</v>
      </c>
      <c r="U383" s="0" t="n">
        <v>0.0232</v>
      </c>
      <c r="V383" s="0" t="s">
        <v>49</v>
      </c>
      <c r="W383" s="0" t="s">
        <v>49</v>
      </c>
      <c r="X383" s="0" t="s">
        <v>517</v>
      </c>
      <c r="Y383" s="0" t="s">
        <v>219</v>
      </c>
      <c r="Z383" s="0" t="s">
        <v>49</v>
      </c>
      <c r="AA383" s="0" t="s">
        <v>49</v>
      </c>
      <c r="AB383" s="0" t="s">
        <v>49</v>
      </c>
      <c r="AC383" s="0" t="s">
        <v>53</v>
      </c>
      <c r="AD383" s="0" t="s">
        <v>54</v>
      </c>
      <c r="AE383" s="0" t="s">
        <v>2210</v>
      </c>
      <c r="AF383" s="0" t="s">
        <v>2211</v>
      </c>
      <c r="AG383" s="0" t="s">
        <v>2212</v>
      </c>
      <c r="AH383" s="0" t="s">
        <v>49</v>
      </c>
      <c r="AI383" s="0" t="s">
        <v>49</v>
      </c>
      <c r="AJ383" s="0" t="s">
        <v>49</v>
      </c>
      <c r="AK383" s="0" t="s">
        <v>49</v>
      </c>
      <c r="AL383" s="0" t="s">
        <v>49</v>
      </c>
    </row>
    <row r="384" customFormat="false" ht="15" hidden="false" customHeight="false" outlineLevel="0" collapsed="false">
      <c r="B384" s="0" t="str">
        <f aca="false">HYPERLINK("https://genome.ucsc.edu/cgi-bin/hgTracks?db=hg19&amp;position=chr8%3A70553087%2D70553087", "chr8:70553087")</f>
        <v>chr8:70553087</v>
      </c>
      <c r="C384" s="0" t="s">
        <v>433</v>
      </c>
      <c r="D384" s="0" t="n">
        <v>70553087</v>
      </c>
      <c r="E384" s="0" t="n">
        <v>70553087</v>
      </c>
      <c r="F384" s="0" t="s">
        <v>40</v>
      </c>
      <c r="G384" s="0" t="s">
        <v>39</v>
      </c>
      <c r="H384" s="0" t="s">
        <v>2213</v>
      </c>
      <c r="I384" s="0" t="s">
        <v>408</v>
      </c>
      <c r="J384" s="0" t="s">
        <v>2214</v>
      </c>
      <c r="K384" s="0" t="s">
        <v>49</v>
      </c>
      <c r="L384" s="0" t="str">
        <f aca="false">HYPERLINK("https://www.ncbi.nlm.nih.gov/snp/rs72658296", "rs72658296")</f>
        <v>rs72658296</v>
      </c>
      <c r="M384" s="0" t="str">
        <f aca="false">HYPERLINK("https://www.genecards.org/Search/Keyword?queryString=%5Baliases%5D(%20SULF1%20)&amp;keywords=SULF1", "SULF1")</f>
        <v>SULF1</v>
      </c>
      <c r="N384" s="0" t="s">
        <v>510</v>
      </c>
      <c r="O384" s="0" t="s">
        <v>49</v>
      </c>
      <c r="P384" s="0" t="s">
        <v>49</v>
      </c>
      <c r="Q384" s="0" t="n">
        <v>0.0249</v>
      </c>
      <c r="R384" s="0" t="n">
        <v>0.0176</v>
      </c>
      <c r="S384" s="0" t="n">
        <v>0.0195</v>
      </c>
      <c r="T384" s="0" t="n">
        <v>-1</v>
      </c>
      <c r="U384" s="0" t="n">
        <v>0.0122</v>
      </c>
      <c r="V384" s="0" t="s">
        <v>49</v>
      </c>
      <c r="W384" s="0" t="s">
        <v>49</v>
      </c>
      <c r="X384" s="0" t="s">
        <v>333</v>
      </c>
      <c r="Y384" s="0" t="s">
        <v>219</v>
      </c>
      <c r="Z384" s="0" t="s">
        <v>49</v>
      </c>
      <c r="AA384" s="0" t="s">
        <v>49</v>
      </c>
      <c r="AB384" s="0" t="s">
        <v>49</v>
      </c>
      <c r="AC384" s="0" t="s">
        <v>53</v>
      </c>
      <c r="AD384" s="0" t="s">
        <v>54</v>
      </c>
      <c r="AE384" s="0" t="s">
        <v>2215</v>
      </c>
      <c r="AF384" s="0" t="s">
        <v>2216</v>
      </c>
      <c r="AG384" s="0" t="s">
        <v>2217</v>
      </c>
      <c r="AH384" s="0" t="s">
        <v>49</v>
      </c>
      <c r="AI384" s="0" t="s">
        <v>49</v>
      </c>
      <c r="AJ384" s="0" t="s">
        <v>49</v>
      </c>
      <c r="AK384" s="0" t="s">
        <v>49</v>
      </c>
      <c r="AL384" s="0" t="s">
        <v>49</v>
      </c>
    </row>
    <row r="385" customFormat="false" ht="15" hidden="false" customHeight="false" outlineLevel="0" collapsed="false">
      <c r="B385" s="0" t="str">
        <f aca="false">HYPERLINK("https://genome.ucsc.edu/cgi-bin/hgTracks?db=hg19&amp;position=chr8%3A79627423%2D79627423", "chr8:79627423")</f>
        <v>chr8:79627423</v>
      </c>
      <c r="C385" s="0" t="s">
        <v>433</v>
      </c>
      <c r="D385" s="0" t="n">
        <v>79627423</v>
      </c>
      <c r="E385" s="0" t="n">
        <v>79627423</v>
      </c>
      <c r="F385" s="0" t="s">
        <v>61</v>
      </c>
      <c r="G385" s="0" t="s">
        <v>60</v>
      </c>
      <c r="H385" s="0" t="s">
        <v>2218</v>
      </c>
      <c r="I385" s="0" t="s">
        <v>257</v>
      </c>
      <c r="J385" s="0" t="s">
        <v>2219</v>
      </c>
      <c r="K385" s="0" t="s">
        <v>49</v>
      </c>
      <c r="L385" s="0" t="str">
        <f aca="false">HYPERLINK("https://www.ncbi.nlm.nih.gov/snp/rs1018449946", "rs1018449946")</f>
        <v>rs1018449946</v>
      </c>
      <c r="M385" s="0" t="str">
        <f aca="false">HYPERLINK("https://www.genecards.org/Search/Keyword?queryString=%5Baliases%5D(%20ZC2HC1A%20)&amp;keywords=ZC2HC1A", "ZC2HC1A")</f>
        <v>ZC2HC1A</v>
      </c>
      <c r="N385" s="0" t="s">
        <v>510</v>
      </c>
      <c r="O385" s="0" t="s">
        <v>49</v>
      </c>
      <c r="P385" s="0" t="s">
        <v>49</v>
      </c>
      <c r="Q385" s="0" t="n">
        <v>-1</v>
      </c>
      <c r="R385" s="0" t="n">
        <v>-1</v>
      </c>
      <c r="S385" s="0" t="n">
        <v>-1</v>
      </c>
      <c r="T385" s="0" t="n">
        <v>-1</v>
      </c>
      <c r="U385" s="0" t="n">
        <v>-1</v>
      </c>
      <c r="V385" s="0" t="s">
        <v>49</v>
      </c>
      <c r="W385" s="0" t="s">
        <v>49</v>
      </c>
      <c r="X385" s="0" t="s">
        <v>333</v>
      </c>
      <c r="Y385" s="0" t="s">
        <v>219</v>
      </c>
      <c r="Z385" s="0" t="s">
        <v>49</v>
      </c>
      <c r="AA385" s="0" t="s">
        <v>49</v>
      </c>
      <c r="AB385" s="0" t="s">
        <v>49</v>
      </c>
      <c r="AC385" s="0" t="s">
        <v>53</v>
      </c>
      <c r="AD385" s="0" t="s">
        <v>54</v>
      </c>
      <c r="AE385" s="0" t="s">
        <v>2220</v>
      </c>
      <c r="AF385" s="0" t="s">
        <v>2221</v>
      </c>
      <c r="AG385" s="0" t="s">
        <v>49</v>
      </c>
      <c r="AH385" s="0" t="s">
        <v>49</v>
      </c>
      <c r="AI385" s="0" t="s">
        <v>49</v>
      </c>
      <c r="AJ385" s="0" t="s">
        <v>49</v>
      </c>
      <c r="AK385" s="0" t="s">
        <v>49</v>
      </c>
      <c r="AL385" s="0" t="s">
        <v>49</v>
      </c>
    </row>
    <row r="386" customFormat="false" ht="15" hidden="false" customHeight="false" outlineLevel="0" collapsed="false">
      <c r="B386" s="0" t="str">
        <f aca="false">HYPERLINK("https://genome.ucsc.edu/cgi-bin/hgTracks?db=hg19&amp;position=chr9%3A163872%2D163872", "chr9:163872")</f>
        <v>chr9:163872</v>
      </c>
      <c r="C386" s="0" t="s">
        <v>450</v>
      </c>
      <c r="D386" s="0" t="n">
        <v>163872</v>
      </c>
      <c r="E386" s="0" t="n">
        <v>163872</v>
      </c>
      <c r="F386" s="0" t="s">
        <v>61</v>
      </c>
      <c r="G386" s="0" t="s">
        <v>40</v>
      </c>
      <c r="H386" s="0" t="s">
        <v>321</v>
      </c>
      <c r="I386" s="0" t="s">
        <v>623</v>
      </c>
      <c r="J386" s="0" t="s">
        <v>2222</v>
      </c>
      <c r="K386" s="0" t="s">
        <v>49</v>
      </c>
      <c r="L386" s="0" t="str">
        <f aca="false">HYPERLINK("https://www.ncbi.nlm.nih.gov/snp/rs2785377", "rs2785377")</f>
        <v>rs2785377</v>
      </c>
      <c r="M386" s="0" t="str">
        <f aca="false">HYPERLINK("https://www.genecards.org/Search/Keyword?queryString=%5Baliases%5D(%20CBWD1%20)&amp;keywords=CBWD1", "CBWD1")</f>
        <v>CBWD1</v>
      </c>
      <c r="N386" s="0" t="s">
        <v>510</v>
      </c>
      <c r="O386" s="0" t="s">
        <v>49</v>
      </c>
      <c r="P386" s="0" t="s">
        <v>49</v>
      </c>
      <c r="Q386" s="0" t="n">
        <v>0.027586</v>
      </c>
      <c r="R386" s="0" t="n">
        <v>-1</v>
      </c>
      <c r="S386" s="0" t="n">
        <v>-1</v>
      </c>
      <c r="T386" s="0" t="n">
        <v>-1</v>
      </c>
      <c r="U386" s="0" t="n">
        <v>-1</v>
      </c>
      <c r="V386" s="0" t="s">
        <v>49</v>
      </c>
      <c r="W386" s="0" t="s">
        <v>49</v>
      </c>
      <c r="X386" s="0" t="s">
        <v>517</v>
      </c>
      <c r="Y386" s="0" t="s">
        <v>219</v>
      </c>
      <c r="Z386" s="0" t="s">
        <v>49</v>
      </c>
      <c r="AA386" s="0" t="s">
        <v>49</v>
      </c>
      <c r="AB386" s="0" t="s">
        <v>49</v>
      </c>
      <c r="AC386" s="0" t="s">
        <v>53</v>
      </c>
      <c r="AD386" s="0" t="s">
        <v>54</v>
      </c>
      <c r="AE386" s="0" t="s">
        <v>2223</v>
      </c>
      <c r="AF386" s="0" t="s">
        <v>2224</v>
      </c>
      <c r="AG386" s="0" t="s">
        <v>49</v>
      </c>
      <c r="AH386" s="0" t="s">
        <v>49</v>
      </c>
      <c r="AI386" s="0" t="s">
        <v>49</v>
      </c>
      <c r="AJ386" s="0" t="s">
        <v>49</v>
      </c>
      <c r="AK386" s="0" t="s">
        <v>49</v>
      </c>
      <c r="AL386" s="0" t="s">
        <v>49</v>
      </c>
    </row>
    <row r="387" customFormat="false" ht="15" hidden="false" customHeight="false" outlineLevel="0" collapsed="false">
      <c r="B387" s="0" t="str">
        <f aca="false">HYPERLINK("https://genome.ucsc.edu/cgi-bin/hgTracks?db=hg19&amp;position=chr9%3A14102598%2D14102598", "chr9:14102598")</f>
        <v>chr9:14102598</v>
      </c>
      <c r="C387" s="0" t="s">
        <v>450</v>
      </c>
      <c r="D387" s="0" t="n">
        <v>14102598</v>
      </c>
      <c r="E387" s="0" t="n">
        <v>14102598</v>
      </c>
      <c r="F387" s="0" t="s">
        <v>39</v>
      </c>
      <c r="G387" s="0" t="s">
        <v>40</v>
      </c>
      <c r="H387" s="0" t="s">
        <v>2225</v>
      </c>
      <c r="I387" s="0" t="s">
        <v>2226</v>
      </c>
      <c r="J387" s="0" t="s">
        <v>2227</v>
      </c>
      <c r="K387" s="0" t="s">
        <v>49</v>
      </c>
      <c r="L387" s="0" t="str">
        <f aca="false">HYPERLINK("https://www.ncbi.nlm.nih.gov/snp/rs143415375", "rs143415375")</f>
        <v>rs143415375</v>
      </c>
      <c r="M387" s="0" t="str">
        <f aca="false">HYPERLINK("https://www.genecards.org/Search/Keyword?queryString=%5Baliases%5D(%20NFIB%20)&amp;keywords=NFIB", "NFIB")</f>
        <v>NFIB</v>
      </c>
      <c r="N387" s="0" t="s">
        <v>510</v>
      </c>
      <c r="O387" s="0" t="s">
        <v>49</v>
      </c>
      <c r="P387" s="0" t="s">
        <v>49</v>
      </c>
      <c r="Q387" s="0" t="n">
        <v>0.0159</v>
      </c>
      <c r="R387" s="0" t="n">
        <v>0.0091</v>
      </c>
      <c r="S387" s="0" t="n">
        <v>0.0088</v>
      </c>
      <c r="T387" s="0" t="n">
        <v>-1</v>
      </c>
      <c r="U387" s="0" t="n">
        <v>0.0111</v>
      </c>
      <c r="V387" s="0" t="s">
        <v>49</v>
      </c>
      <c r="W387" s="0" t="s">
        <v>49</v>
      </c>
      <c r="X387" s="0" t="s">
        <v>333</v>
      </c>
      <c r="Y387" s="0" t="s">
        <v>219</v>
      </c>
      <c r="Z387" s="0" t="s">
        <v>49</v>
      </c>
      <c r="AA387" s="0" t="s">
        <v>49</v>
      </c>
      <c r="AB387" s="0" t="s">
        <v>49</v>
      </c>
      <c r="AC387" s="0" t="s">
        <v>53</v>
      </c>
      <c r="AD387" s="0" t="s">
        <v>54</v>
      </c>
      <c r="AE387" s="0" t="s">
        <v>2228</v>
      </c>
      <c r="AF387" s="0" t="s">
        <v>2229</v>
      </c>
      <c r="AG387" s="0" t="s">
        <v>2230</v>
      </c>
      <c r="AH387" s="0" t="s">
        <v>49</v>
      </c>
      <c r="AI387" s="0" t="s">
        <v>49</v>
      </c>
      <c r="AJ387" s="0" t="s">
        <v>49</v>
      </c>
      <c r="AK387" s="0" t="s">
        <v>49</v>
      </c>
      <c r="AL387" s="0" t="s">
        <v>49</v>
      </c>
    </row>
    <row r="388" customFormat="false" ht="15" hidden="false" customHeight="false" outlineLevel="0" collapsed="false">
      <c r="B388" s="0" t="str">
        <f aca="false">HYPERLINK("https://genome.ucsc.edu/cgi-bin/hgTracks?db=hg19&amp;position=chr9%3A33468945%2D33468945", "chr9:33468945")</f>
        <v>chr9:33468945</v>
      </c>
      <c r="C388" s="0" t="s">
        <v>450</v>
      </c>
      <c r="D388" s="0" t="n">
        <v>33468945</v>
      </c>
      <c r="E388" s="0" t="n">
        <v>33468945</v>
      </c>
      <c r="F388" s="0" t="s">
        <v>39</v>
      </c>
      <c r="G388" s="0" t="s">
        <v>40</v>
      </c>
      <c r="H388" s="0" t="s">
        <v>2231</v>
      </c>
      <c r="I388" s="0" t="s">
        <v>2232</v>
      </c>
      <c r="J388" s="0" t="s">
        <v>2233</v>
      </c>
      <c r="K388" s="0" t="s">
        <v>49</v>
      </c>
      <c r="L388" s="0" t="str">
        <f aca="false">HYPERLINK("https://www.ncbi.nlm.nih.gov/snp/rs41313456", "rs41313456")</f>
        <v>rs41313456</v>
      </c>
      <c r="M388" s="0" t="str">
        <f aca="false">HYPERLINK("https://www.genecards.org/Search/Keyword?queryString=%5Baliases%5D(%20NOL6%20)&amp;keywords=NOL6", "NOL6")</f>
        <v>NOL6</v>
      </c>
      <c r="N388" s="0" t="s">
        <v>510</v>
      </c>
      <c r="O388" s="0" t="s">
        <v>49</v>
      </c>
      <c r="P388" s="0" t="s">
        <v>49</v>
      </c>
      <c r="Q388" s="0" t="n">
        <v>0.015</v>
      </c>
      <c r="R388" s="0" t="n">
        <v>0.0096</v>
      </c>
      <c r="S388" s="0" t="n">
        <v>0.0104</v>
      </c>
      <c r="T388" s="0" t="n">
        <v>-1</v>
      </c>
      <c r="U388" s="0" t="n">
        <v>0.0082</v>
      </c>
      <c r="V388" s="0" t="s">
        <v>49</v>
      </c>
      <c r="W388" s="0" t="s">
        <v>49</v>
      </c>
      <c r="X388" s="0" t="s">
        <v>517</v>
      </c>
      <c r="Y388" s="0" t="s">
        <v>219</v>
      </c>
      <c r="Z388" s="0" t="s">
        <v>49</v>
      </c>
      <c r="AA388" s="0" t="s">
        <v>49</v>
      </c>
      <c r="AB388" s="0" t="s">
        <v>49</v>
      </c>
      <c r="AC388" s="0" t="s">
        <v>53</v>
      </c>
      <c r="AD388" s="0" t="s">
        <v>54</v>
      </c>
      <c r="AE388" s="0" t="s">
        <v>2234</v>
      </c>
      <c r="AF388" s="0" t="s">
        <v>2235</v>
      </c>
      <c r="AG388" s="0" t="s">
        <v>49</v>
      </c>
      <c r="AH388" s="0" t="s">
        <v>49</v>
      </c>
      <c r="AI388" s="0" t="s">
        <v>49</v>
      </c>
      <c r="AJ388" s="0" t="s">
        <v>49</v>
      </c>
      <c r="AK388" s="0" t="s">
        <v>49</v>
      </c>
      <c r="AL388" s="0" t="s">
        <v>49</v>
      </c>
    </row>
    <row r="389" customFormat="false" ht="15" hidden="false" customHeight="false" outlineLevel="0" collapsed="false">
      <c r="B389" s="0" t="str">
        <f aca="false">HYPERLINK("https://genome.ucsc.edu/cgi-bin/hgTracks?db=hg19&amp;position=chr9%3A36669404%2D36669407", "chr9:36669404")</f>
        <v>chr9:36669404</v>
      </c>
      <c r="C389" s="0" t="s">
        <v>450</v>
      </c>
      <c r="D389" s="0" t="n">
        <v>36669404</v>
      </c>
      <c r="E389" s="0" t="n">
        <v>36669407</v>
      </c>
      <c r="F389" s="0" t="s">
        <v>2236</v>
      </c>
      <c r="G389" s="0" t="s">
        <v>190</v>
      </c>
      <c r="H389" s="0" t="s">
        <v>2237</v>
      </c>
      <c r="I389" s="0" t="s">
        <v>2238</v>
      </c>
      <c r="J389" s="0" t="s">
        <v>2239</v>
      </c>
      <c r="K389" s="0" t="s">
        <v>49</v>
      </c>
      <c r="L389" s="0" t="str">
        <f aca="false">HYPERLINK("https://www.ncbi.nlm.nih.gov/snp/rs75884578", "rs75884578")</f>
        <v>rs75884578</v>
      </c>
      <c r="M389" s="0" t="str">
        <f aca="false">HYPERLINK("https://www.genecards.org/Search/Keyword?queryString=%5Baliases%5D(%20MELK%20)&amp;keywords=MELK", "MELK")</f>
        <v>MELK</v>
      </c>
      <c r="N389" s="0" t="s">
        <v>196</v>
      </c>
      <c r="O389" s="0" t="s">
        <v>49</v>
      </c>
      <c r="P389" s="0" t="s">
        <v>49</v>
      </c>
      <c r="Q389" s="0" t="n">
        <v>0.005848</v>
      </c>
      <c r="R389" s="0" t="n">
        <v>-1</v>
      </c>
      <c r="S389" s="0" t="n">
        <v>-1</v>
      </c>
      <c r="T389" s="0" t="n">
        <v>-1</v>
      </c>
      <c r="U389" s="0" t="n">
        <v>-1</v>
      </c>
      <c r="V389" s="0" t="s">
        <v>49</v>
      </c>
      <c r="W389" s="0" t="s">
        <v>49</v>
      </c>
      <c r="X389" s="0" t="s">
        <v>49</v>
      </c>
      <c r="Y389" s="0" t="s">
        <v>49</v>
      </c>
      <c r="Z389" s="0" t="s">
        <v>49</v>
      </c>
      <c r="AA389" s="0" t="s">
        <v>49</v>
      </c>
      <c r="AB389" s="0" t="s">
        <v>49</v>
      </c>
      <c r="AC389" s="0" t="s">
        <v>53</v>
      </c>
      <c r="AD389" s="0" t="s">
        <v>54</v>
      </c>
      <c r="AE389" s="0" t="s">
        <v>2240</v>
      </c>
      <c r="AF389" s="0" t="s">
        <v>2241</v>
      </c>
      <c r="AG389" s="0" t="s">
        <v>2242</v>
      </c>
      <c r="AH389" s="0" t="s">
        <v>2243</v>
      </c>
      <c r="AI389" s="0" t="s">
        <v>49</v>
      </c>
      <c r="AJ389" s="0" t="s">
        <v>49</v>
      </c>
      <c r="AK389" s="0" t="s">
        <v>49</v>
      </c>
      <c r="AL389" s="0" t="s">
        <v>49</v>
      </c>
    </row>
    <row r="390" customFormat="false" ht="15" hidden="false" customHeight="false" outlineLevel="0" collapsed="false">
      <c r="B390" s="0" t="str">
        <f aca="false">HYPERLINK("https://genome.ucsc.edu/cgi-bin/hgTracks?db=hg19&amp;position=chr9%3A108522356%2D108522356", "chr9:108522356")</f>
        <v>chr9:108522356</v>
      </c>
      <c r="C390" s="0" t="s">
        <v>450</v>
      </c>
      <c r="D390" s="0" t="n">
        <v>108522356</v>
      </c>
      <c r="E390" s="0" t="n">
        <v>108522356</v>
      </c>
      <c r="F390" s="0" t="s">
        <v>39</v>
      </c>
      <c r="G390" s="0" t="s">
        <v>40</v>
      </c>
      <c r="H390" s="0" t="s">
        <v>2244</v>
      </c>
      <c r="I390" s="0" t="s">
        <v>1220</v>
      </c>
      <c r="J390" s="0" t="s">
        <v>2245</v>
      </c>
      <c r="K390" s="0" t="s">
        <v>49</v>
      </c>
      <c r="L390" s="0" t="str">
        <f aca="false">HYPERLINK("https://www.ncbi.nlm.nih.gov/snp/rs117567218", "rs117567218")</f>
        <v>rs117567218</v>
      </c>
      <c r="M390" s="0" t="str">
        <f aca="false">HYPERLINK("https://www.genecards.org/Search/Keyword?queryString=%5Baliases%5D(%20TMEM38B%20)&amp;keywords=TMEM38B", "TMEM38B")</f>
        <v>TMEM38B</v>
      </c>
      <c r="N390" s="0" t="s">
        <v>300</v>
      </c>
      <c r="O390" s="0" t="s">
        <v>49</v>
      </c>
      <c r="P390" s="0" t="s">
        <v>49</v>
      </c>
      <c r="Q390" s="0" t="n">
        <v>0.0159</v>
      </c>
      <c r="R390" s="0" t="n">
        <v>0.0119</v>
      </c>
      <c r="S390" s="0" t="n">
        <v>0.0129</v>
      </c>
      <c r="T390" s="0" t="n">
        <v>-1</v>
      </c>
      <c r="U390" s="0" t="n">
        <v>0.01</v>
      </c>
      <c r="V390" s="0" t="s">
        <v>49</v>
      </c>
      <c r="W390" s="0" t="s">
        <v>49</v>
      </c>
      <c r="X390" s="0" t="s">
        <v>49</v>
      </c>
      <c r="Y390" s="0" t="s">
        <v>49</v>
      </c>
      <c r="Z390" s="0" t="s">
        <v>49</v>
      </c>
      <c r="AA390" s="0" t="s">
        <v>49</v>
      </c>
      <c r="AB390" s="0" t="s">
        <v>49</v>
      </c>
      <c r="AC390" s="0" t="s">
        <v>53</v>
      </c>
      <c r="AD390" s="0" t="s">
        <v>54</v>
      </c>
      <c r="AE390" s="0" t="s">
        <v>2246</v>
      </c>
      <c r="AF390" s="0" t="s">
        <v>2247</v>
      </c>
      <c r="AG390" s="0" t="s">
        <v>2248</v>
      </c>
      <c r="AH390" s="0" t="s">
        <v>2249</v>
      </c>
      <c r="AI390" s="0" t="s">
        <v>49</v>
      </c>
      <c r="AJ390" s="0" t="s">
        <v>49</v>
      </c>
      <c r="AK390" s="0" t="s">
        <v>49</v>
      </c>
      <c r="AL390" s="0" t="s">
        <v>49</v>
      </c>
    </row>
    <row r="391" customFormat="false" ht="15" hidden="false" customHeight="false" outlineLevel="0" collapsed="false">
      <c r="B391" s="0" t="str">
        <f aca="false">HYPERLINK("https://genome.ucsc.edu/cgi-bin/hgTracks?db=hg19&amp;position=chr9%3A130699830%2D130699830", "chr9:130699830")</f>
        <v>chr9:130699830</v>
      </c>
      <c r="C391" s="0" t="s">
        <v>450</v>
      </c>
      <c r="D391" s="0" t="n">
        <v>130699830</v>
      </c>
      <c r="E391" s="0" t="n">
        <v>130699830</v>
      </c>
      <c r="F391" s="0" t="s">
        <v>60</v>
      </c>
      <c r="G391" s="0" t="s">
        <v>61</v>
      </c>
      <c r="H391" s="0" t="s">
        <v>2250</v>
      </c>
      <c r="I391" s="0" t="s">
        <v>145</v>
      </c>
      <c r="J391" s="0" t="s">
        <v>2251</v>
      </c>
      <c r="K391" s="0" t="s">
        <v>49</v>
      </c>
      <c r="L391" s="0" t="str">
        <f aca="false">HYPERLINK("https://www.ncbi.nlm.nih.gov/snp/rs377601699", "rs377601699")</f>
        <v>rs377601699</v>
      </c>
      <c r="M391" s="0" t="str">
        <f aca="false">HYPERLINK("https://www.genecards.org/Search/Keyword?queryString=%5Baliases%5D(%20DPM2%20)&amp;keywords=DPM2", "DPM2")</f>
        <v>DPM2</v>
      </c>
      <c r="N391" s="0" t="s">
        <v>283</v>
      </c>
      <c r="O391" s="0" t="s">
        <v>49</v>
      </c>
      <c r="P391" s="0" t="s">
        <v>49</v>
      </c>
      <c r="Q391" s="0" t="n">
        <v>0.0028</v>
      </c>
      <c r="R391" s="0" t="n">
        <v>0.0029</v>
      </c>
      <c r="S391" s="0" t="n">
        <v>0.0021</v>
      </c>
      <c r="T391" s="0" t="n">
        <v>-1</v>
      </c>
      <c r="U391" s="0" t="n">
        <v>0.0034</v>
      </c>
      <c r="V391" s="0" t="s">
        <v>49</v>
      </c>
      <c r="W391" s="0" t="s">
        <v>49</v>
      </c>
      <c r="X391" s="0" t="s">
        <v>218</v>
      </c>
      <c r="Y391" s="0" t="s">
        <v>219</v>
      </c>
      <c r="Z391" s="0" t="s">
        <v>49</v>
      </c>
      <c r="AA391" s="0" t="s">
        <v>49</v>
      </c>
      <c r="AB391" s="0" t="s">
        <v>49</v>
      </c>
      <c r="AC391" s="0" t="s">
        <v>53</v>
      </c>
      <c r="AD391" s="0" t="s">
        <v>54</v>
      </c>
      <c r="AE391" s="0" t="s">
        <v>2252</v>
      </c>
      <c r="AF391" s="0" t="s">
        <v>2253</v>
      </c>
      <c r="AG391" s="0" t="s">
        <v>2254</v>
      </c>
      <c r="AH391" s="0" t="s">
        <v>2255</v>
      </c>
      <c r="AI391" s="0" t="s">
        <v>49</v>
      </c>
      <c r="AJ391" s="0" t="s">
        <v>49</v>
      </c>
      <c r="AK391" s="0" t="s">
        <v>49</v>
      </c>
      <c r="AL391" s="0" t="s">
        <v>49</v>
      </c>
    </row>
    <row r="392" customFormat="false" ht="15" hidden="false" customHeight="false" outlineLevel="0" collapsed="false">
      <c r="B392" s="0" t="str">
        <f aca="false">HYPERLINK("https://genome.ucsc.edu/cgi-bin/hgTracks?db=hg19&amp;position=chr9%3A137968997%2D137968998", "chr9:137968997")</f>
        <v>chr9:137968997</v>
      </c>
      <c r="C392" s="0" t="s">
        <v>450</v>
      </c>
      <c r="D392" s="0" t="n">
        <v>137968997</v>
      </c>
      <c r="E392" s="0" t="n">
        <v>137968998</v>
      </c>
      <c r="F392" s="0" t="s">
        <v>1524</v>
      </c>
      <c r="G392" s="0" t="s">
        <v>190</v>
      </c>
      <c r="H392" s="0" t="s">
        <v>1714</v>
      </c>
      <c r="I392" s="0" t="s">
        <v>1055</v>
      </c>
      <c r="J392" s="0" t="s">
        <v>2256</v>
      </c>
      <c r="K392" s="0" t="s">
        <v>49</v>
      </c>
      <c r="L392" s="0" t="str">
        <f aca="false">HYPERLINK("https://www.ncbi.nlm.nih.gov/snp/rs746234323", "rs746234323")</f>
        <v>rs746234323</v>
      </c>
      <c r="M392" s="0" t="str">
        <f aca="false">HYPERLINK("https://www.genecards.org/Search/Keyword?queryString=%5Baliases%5D(%20OLFM1%20)&amp;keywords=OLFM1", "OLFM1")</f>
        <v>OLFM1</v>
      </c>
      <c r="N392" s="0" t="s">
        <v>549</v>
      </c>
      <c r="O392" s="0" t="s">
        <v>539</v>
      </c>
      <c r="P392" s="0" t="s">
        <v>2257</v>
      </c>
      <c r="Q392" s="0" t="n">
        <v>0.0034217</v>
      </c>
      <c r="R392" s="0" t="n">
        <v>0.0007</v>
      </c>
      <c r="S392" s="0" t="n">
        <v>0.0006</v>
      </c>
      <c r="T392" s="0" t="n">
        <v>-1</v>
      </c>
      <c r="U392" s="0" t="n">
        <v>-1</v>
      </c>
      <c r="V392" s="0" t="s">
        <v>49</v>
      </c>
      <c r="W392" s="0" t="s">
        <v>49</v>
      </c>
      <c r="X392" s="0" t="s">
        <v>49</v>
      </c>
      <c r="Y392" s="0" t="s">
        <v>49</v>
      </c>
      <c r="Z392" s="0" t="s">
        <v>49</v>
      </c>
      <c r="AA392" s="0" t="s">
        <v>49</v>
      </c>
      <c r="AB392" s="0" t="s">
        <v>49</v>
      </c>
      <c r="AC392" s="0" t="s">
        <v>53</v>
      </c>
      <c r="AD392" s="0" t="s">
        <v>54</v>
      </c>
      <c r="AE392" s="0" t="s">
        <v>2258</v>
      </c>
      <c r="AF392" s="0" t="s">
        <v>2259</v>
      </c>
      <c r="AG392" s="0" t="s">
        <v>2260</v>
      </c>
      <c r="AH392" s="0" t="s">
        <v>49</v>
      </c>
      <c r="AI392" s="0" t="s">
        <v>49</v>
      </c>
      <c r="AJ392" s="0" t="s">
        <v>49</v>
      </c>
      <c r="AK392" s="0" t="s">
        <v>49</v>
      </c>
      <c r="AL392" s="0" t="s">
        <v>49</v>
      </c>
    </row>
    <row r="393" customFormat="false" ht="15" hidden="false" customHeight="false" outlineLevel="0" collapsed="false">
      <c r="B393" s="0" t="str">
        <f aca="false">HYPERLINK("https://genome.ucsc.edu/cgi-bin/hgTracks?db=hg19&amp;position=chrX%3A2832668%2D2832668", "chrX:2832668")</f>
        <v>chrX:2832668</v>
      </c>
      <c r="C393" s="0" t="s">
        <v>495</v>
      </c>
      <c r="D393" s="0" t="n">
        <v>2832668</v>
      </c>
      <c r="E393" s="0" t="n">
        <v>2832668</v>
      </c>
      <c r="F393" s="0" t="s">
        <v>61</v>
      </c>
      <c r="G393" s="0" t="s">
        <v>60</v>
      </c>
      <c r="H393" s="0" t="s">
        <v>2261</v>
      </c>
      <c r="I393" s="0" t="s">
        <v>2262</v>
      </c>
      <c r="J393" s="0" t="s">
        <v>2263</v>
      </c>
      <c r="K393" s="0" t="s">
        <v>49</v>
      </c>
      <c r="L393" s="0" t="str">
        <f aca="false">HYPERLINK("https://www.ncbi.nlm.nih.gov/snp/rs139484145", "rs139484145")</f>
        <v>rs139484145</v>
      </c>
      <c r="M393" s="0" t="str">
        <f aca="false">HYPERLINK("https://www.genecards.org/Search/Keyword?queryString=%5Baliases%5D(%20ARSD%20)&amp;keywords=ARSD", "ARSD")</f>
        <v>ARSD</v>
      </c>
      <c r="N393" s="0" t="s">
        <v>549</v>
      </c>
      <c r="O393" s="0" t="s">
        <v>2096</v>
      </c>
      <c r="P393" s="0" t="s">
        <v>2264</v>
      </c>
      <c r="Q393" s="0" t="n">
        <v>0.0028978</v>
      </c>
      <c r="R393" s="0" t="n">
        <v>0.0025</v>
      </c>
      <c r="S393" s="0" t="n">
        <v>0.0031</v>
      </c>
      <c r="T393" s="0" t="n">
        <v>-1</v>
      </c>
      <c r="U393" s="0" t="n">
        <v>0.0083</v>
      </c>
      <c r="V393" s="0" t="s">
        <v>49</v>
      </c>
      <c r="W393" s="0" t="s">
        <v>49</v>
      </c>
      <c r="X393" s="0" t="s">
        <v>49</v>
      </c>
      <c r="Y393" s="0" t="s">
        <v>49</v>
      </c>
      <c r="Z393" s="0" t="s">
        <v>49</v>
      </c>
      <c r="AA393" s="0" t="s">
        <v>49</v>
      </c>
      <c r="AB393" s="0" t="s">
        <v>49</v>
      </c>
      <c r="AC393" s="0" t="s">
        <v>53</v>
      </c>
      <c r="AD393" s="0" t="s">
        <v>209</v>
      </c>
      <c r="AE393" s="0" t="s">
        <v>2265</v>
      </c>
      <c r="AF393" s="0" t="s">
        <v>2266</v>
      </c>
      <c r="AG393" s="0" t="s">
        <v>49</v>
      </c>
      <c r="AH393" s="0" t="s">
        <v>49</v>
      </c>
      <c r="AI393" s="0" t="s">
        <v>49</v>
      </c>
      <c r="AJ393" s="0" t="s">
        <v>49</v>
      </c>
      <c r="AK393" s="0" t="s">
        <v>49</v>
      </c>
      <c r="AL393" s="0" t="s">
        <v>49</v>
      </c>
    </row>
    <row r="394" customFormat="false" ht="15" hidden="false" customHeight="false" outlineLevel="0" collapsed="false">
      <c r="B394" s="0" t="str">
        <f aca="false">HYPERLINK("https://genome.ucsc.edu/cgi-bin/hgTracks?db=hg19&amp;position=chrX%3A2836349%2D2836349", "chrX:2836349")</f>
        <v>chrX:2836349</v>
      </c>
      <c r="C394" s="0" t="s">
        <v>495</v>
      </c>
      <c r="D394" s="0" t="n">
        <v>2836349</v>
      </c>
      <c r="E394" s="0" t="n">
        <v>2836349</v>
      </c>
      <c r="F394" s="0" t="s">
        <v>60</v>
      </c>
      <c r="G394" s="0" t="s">
        <v>39</v>
      </c>
      <c r="H394" s="0" t="s">
        <v>2267</v>
      </c>
      <c r="I394" s="0" t="s">
        <v>2226</v>
      </c>
      <c r="J394" s="0" t="s">
        <v>2268</v>
      </c>
      <c r="K394" s="0" t="s">
        <v>49</v>
      </c>
      <c r="L394" s="0" t="str">
        <f aca="false">HYPERLINK("https://www.ncbi.nlm.nih.gov/snp/rs111614007", "rs111614007")</f>
        <v>rs111614007</v>
      </c>
      <c r="M394" s="0" t="str">
        <f aca="false">HYPERLINK("https://www.genecards.org/Search/Keyword?queryString=%5Baliases%5D(%20ARSD%20)&amp;keywords=ARSD", "ARSD")</f>
        <v>ARSD</v>
      </c>
      <c r="N394" s="0" t="s">
        <v>510</v>
      </c>
      <c r="O394" s="0" t="s">
        <v>49</v>
      </c>
      <c r="P394" s="0" t="s">
        <v>49</v>
      </c>
      <c r="Q394" s="0" t="n">
        <v>0.003576</v>
      </c>
      <c r="R394" s="0" t="n">
        <v>0.0025</v>
      </c>
      <c r="S394" s="0" t="n">
        <v>0.0032</v>
      </c>
      <c r="T394" s="0" t="n">
        <v>-1</v>
      </c>
      <c r="U394" s="0" t="n">
        <v>0.0084</v>
      </c>
      <c r="V394" s="0" t="s">
        <v>49</v>
      </c>
      <c r="W394" s="0" t="s">
        <v>49</v>
      </c>
      <c r="X394" s="0" t="s">
        <v>333</v>
      </c>
      <c r="Y394" s="0" t="s">
        <v>219</v>
      </c>
      <c r="Z394" s="0" t="s">
        <v>49</v>
      </c>
      <c r="AA394" s="0" t="s">
        <v>49</v>
      </c>
      <c r="AB394" s="0" t="s">
        <v>49</v>
      </c>
      <c r="AC394" s="0" t="s">
        <v>53</v>
      </c>
      <c r="AD394" s="0" t="s">
        <v>209</v>
      </c>
      <c r="AE394" s="0" t="s">
        <v>2265</v>
      </c>
      <c r="AF394" s="0" t="s">
        <v>2266</v>
      </c>
      <c r="AG394" s="0" t="s">
        <v>49</v>
      </c>
      <c r="AH394" s="0" t="s">
        <v>49</v>
      </c>
      <c r="AI394" s="0" t="s">
        <v>49</v>
      </c>
      <c r="AJ394" s="0" t="s">
        <v>49</v>
      </c>
      <c r="AK394" s="0" t="s">
        <v>49</v>
      </c>
      <c r="AL394" s="0" t="s">
        <v>49</v>
      </c>
    </row>
    <row r="395" customFormat="false" ht="15" hidden="false" customHeight="false" outlineLevel="0" collapsed="false">
      <c r="B395" s="0" t="str">
        <f aca="false">HYPERLINK("https://genome.ucsc.edu/cgi-bin/hgTracks?db=hg19&amp;position=chrX%3A47017180%2D47017181", "chrX:47017180")</f>
        <v>chrX:47017180</v>
      </c>
      <c r="C395" s="0" t="s">
        <v>495</v>
      </c>
      <c r="D395" s="0" t="n">
        <v>47017180</v>
      </c>
      <c r="E395" s="0" t="n">
        <v>47017181</v>
      </c>
      <c r="F395" s="0" t="s">
        <v>236</v>
      </c>
      <c r="G395" s="0" t="s">
        <v>190</v>
      </c>
      <c r="H395" s="0" t="s">
        <v>2269</v>
      </c>
      <c r="I395" s="0" t="s">
        <v>370</v>
      </c>
      <c r="J395" s="0" t="s">
        <v>2270</v>
      </c>
      <c r="K395" s="0" t="s">
        <v>49</v>
      </c>
      <c r="L395" s="0" t="s">
        <v>49</v>
      </c>
      <c r="M395" s="0" t="str">
        <f aca="false">HYPERLINK("https://www.genecards.org/Search/Keyword?queryString=%5Baliases%5D(%20RBM10%20)&amp;keywords=RBM10", "RBM10")</f>
        <v>RBM10</v>
      </c>
      <c r="N395" s="0" t="s">
        <v>283</v>
      </c>
      <c r="O395" s="0" t="s">
        <v>49</v>
      </c>
      <c r="P395" s="0" t="s">
        <v>49</v>
      </c>
      <c r="Q395" s="0" t="n">
        <v>0.0099</v>
      </c>
      <c r="R395" s="0" t="n">
        <v>0.0011</v>
      </c>
      <c r="S395" s="0" t="n">
        <v>0.0007</v>
      </c>
      <c r="T395" s="0" t="n">
        <v>-1</v>
      </c>
      <c r="U395" s="0" t="n">
        <v>0.0022</v>
      </c>
      <c r="V395" s="0" t="s">
        <v>49</v>
      </c>
      <c r="W395" s="0" t="s">
        <v>49</v>
      </c>
      <c r="X395" s="0" t="s">
        <v>49</v>
      </c>
      <c r="Y395" s="0" t="s">
        <v>49</v>
      </c>
      <c r="Z395" s="0" t="s">
        <v>49</v>
      </c>
      <c r="AA395" s="0" t="s">
        <v>49</v>
      </c>
      <c r="AB395" s="0" t="s">
        <v>49</v>
      </c>
      <c r="AC395" s="0" t="s">
        <v>53</v>
      </c>
      <c r="AD395" s="0" t="s">
        <v>54</v>
      </c>
      <c r="AE395" s="0" t="s">
        <v>2271</v>
      </c>
      <c r="AF395" s="0" t="s">
        <v>2272</v>
      </c>
      <c r="AG395" s="0" t="s">
        <v>2273</v>
      </c>
      <c r="AH395" s="0" t="s">
        <v>2274</v>
      </c>
      <c r="AI395" s="0" t="s">
        <v>49</v>
      </c>
      <c r="AJ395" s="0" t="s">
        <v>49</v>
      </c>
      <c r="AK395" s="0" t="s">
        <v>49</v>
      </c>
      <c r="AL395" s="0" t="s">
        <v>49</v>
      </c>
    </row>
    <row r="396" customFormat="false" ht="15" hidden="false" customHeight="false" outlineLevel="0" collapsed="false">
      <c r="B396" s="0" t="str">
        <f aca="false">HYPERLINK("https://genome.ucsc.edu/cgi-bin/hgTracks?db=hg19&amp;position=chrX%3A53680921%2D53680921", "chrX:53680921")</f>
        <v>chrX:53680921</v>
      </c>
      <c r="C396" s="0" t="s">
        <v>495</v>
      </c>
      <c r="D396" s="0" t="n">
        <v>53680921</v>
      </c>
      <c r="E396" s="0" t="n">
        <v>53680921</v>
      </c>
      <c r="F396" s="0" t="s">
        <v>40</v>
      </c>
      <c r="G396" s="0" t="s">
        <v>39</v>
      </c>
      <c r="H396" s="0" t="s">
        <v>2275</v>
      </c>
      <c r="I396" s="0" t="s">
        <v>1215</v>
      </c>
      <c r="J396" s="0" t="s">
        <v>2276</v>
      </c>
      <c r="K396" s="0" t="s">
        <v>49</v>
      </c>
      <c r="L396" s="0" t="str">
        <f aca="false">HYPERLINK("https://www.ncbi.nlm.nih.gov/snp/rs138230407", "rs138230407")</f>
        <v>rs138230407</v>
      </c>
      <c r="M396" s="0" t="str">
        <f aca="false">HYPERLINK("https://www.genecards.org/Search/Keyword?queryString=%5Baliases%5D(%20HUWE1%20)&amp;keywords=HUWE1", "HUWE1")</f>
        <v>HUWE1</v>
      </c>
      <c r="N396" s="0" t="s">
        <v>510</v>
      </c>
      <c r="O396" s="0" t="s">
        <v>49</v>
      </c>
      <c r="P396" s="0" t="s">
        <v>49</v>
      </c>
      <c r="Q396" s="0" t="n">
        <v>0.0116</v>
      </c>
      <c r="R396" s="0" t="n">
        <v>0.0024</v>
      </c>
      <c r="S396" s="0" t="n">
        <v>0.0023</v>
      </c>
      <c r="T396" s="0" t="n">
        <v>-1</v>
      </c>
      <c r="U396" s="0" t="n">
        <v>0.0043</v>
      </c>
      <c r="V396" s="0" t="s">
        <v>49</v>
      </c>
      <c r="W396" s="0" t="s">
        <v>49</v>
      </c>
      <c r="X396" s="0" t="s">
        <v>333</v>
      </c>
      <c r="Y396" s="0" t="s">
        <v>219</v>
      </c>
      <c r="Z396" s="0" t="s">
        <v>49</v>
      </c>
      <c r="AA396" s="0" t="s">
        <v>49</v>
      </c>
      <c r="AB396" s="0" t="s">
        <v>49</v>
      </c>
      <c r="AC396" s="0" t="s">
        <v>503</v>
      </c>
      <c r="AD396" s="0" t="s">
        <v>54</v>
      </c>
      <c r="AE396" s="0" t="s">
        <v>2277</v>
      </c>
      <c r="AF396" s="0" t="s">
        <v>2278</v>
      </c>
      <c r="AG396" s="0" t="s">
        <v>2279</v>
      </c>
      <c r="AH396" s="0" t="s">
        <v>2280</v>
      </c>
      <c r="AI396" s="0" t="s">
        <v>49</v>
      </c>
      <c r="AJ396" s="0" t="s">
        <v>49</v>
      </c>
      <c r="AK396" s="0" t="s">
        <v>49</v>
      </c>
      <c r="AL396" s="0" t="s">
        <v>49</v>
      </c>
    </row>
    <row r="397" customFormat="false" ht="15" hidden="false" customHeight="false" outlineLevel="0" collapsed="false">
      <c r="B397" s="0" t="str">
        <f aca="false">HYPERLINK("https://genome.ucsc.edu/cgi-bin/hgTracks?db=hg19&amp;position=chrX%3A55172685%2D55172685", "chrX:55172685")</f>
        <v>chrX:55172685</v>
      </c>
      <c r="C397" s="0" t="s">
        <v>495</v>
      </c>
      <c r="D397" s="0" t="n">
        <v>55172685</v>
      </c>
      <c r="E397" s="0" t="n">
        <v>55172685</v>
      </c>
      <c r="F397" s="0" t="s">
        <v>190</v>
      </c>
      <c r="G397" s="0" t="s">
        <v>40</v>
      </c>
      <c r="H397" s="0" t="s">
        <v>2281</v>
      </c>
      <c r="I397" s="0" t="s">
        <v>2282</v>
      </c>
      <c r="J397" s="0" t="s">
        <v>2283</v>
      </c>
      <c r="K397" s="0" t="s">
        <v>49</v>
      </c>
      <c r="L397" s="0" t="s">
        <v>49</v>
      </c>
      <c r="M397" s="0" t="str">
        <f aca="false">HYPERLINK("https://www.genecards.org/Search/Keyword?queryString=%5Baliases%5D(%20FAM104B%20)&amp;keywords=FAM104B", "FAM104B")</f>
        <v>FAM104B</v>
      </c>
      <c r="N397" s="0" t="s">
        <v>45</v>
      </c>
      <c r="O397" s="0" t="s">
        <v>259</v>
      </c>
      <c r="P397" s="0" t="s">
        <v>2284</v>
      </c>
      <c r="Q397" s="0" t="n">
        <v>-1</v>
      </c>
      <c r="R397" s="0" t="n">
        <v>-1</v>
      </c>
      <c r="S397" s="0" t="n">
        <v>-1</v>
      </c>
      <c r="T397" s="0" t="n">
        <v>-1</v>
      </c>
      <c r="U397" s="0" t="n">
        <v>-1</v>
      </c>
      <c r="V397" s="0" t="s">
        <v>49</v>
      </c>
      <c r="W397" s="0" t="s">
        <v>49</v>
      </c>
      <c r="X397" s="0" t="s">
        <v>49</v>
      </c>
      <c r="Y397" s="0" t="s">
        <v>49</v>
      </c>
      <c r="Z397" s="0" t="s">
        <v>49</v>
      </c>
      <c r="AA397" s="0" t="s">
        <v>49</v>
      </c>
      <c r="AB397" s="0" t="s">
        <v>49</v>
      </c>
      <c r="AC397" s="0" t="s">
        <v>53</v>
      </c>
      <c r="AD397" s="0" t="s">
        <v>209</v>
      </c>
      <c r="AE397" s="0" t="s">
        <v>2285</v>
      </c>
      <c r="AF397" s="0" t="s">
        <v>2286</v>
      </c>
      <c r="AG397" s="0" t="s">
        <v>49</v>
      </c>
      <c r="AH397" s="0" t="s">
        <v>49</v>
      </c>
      <c r="AI397" s="0" t="s">
        <v>1720</v>
      </c>
      <c r="AJ397" s="0" t="s">
        <v>49</v>
      </c>
      <c r="AK397" s="0" t="s">
        <v>49</v>
      </c>
      <c r="AL397" s="0" t="s">
        <v>120</v>
      </c>
    </row>
    <row r="398" customFormat="false" ht="15" hidden="false" customHeight="false" outlineLevel="0" collapsed="false">
      <c r="B398" s="0" t="str">
        <f aca="false">HYPERLINK("https://genome.ucsc.edu/cgi-bin/hgTracks?db=hg19&amp;position=chrX%3A55172689%2D55172689", "chrX:55172689")</f>
        <v>chrX:55172689</v>
      </c>
      <c r="C398" s="0" t="s">
        <v>495</v>
      </c>
      <c r="D398" s="0" t="n">
        <v>55172689</v>
      </c>
      <c r="E398" s="0" t="n">
        <v>55172689</v>
      </c>
      <c r="F398" s="0" t="s">
        <v>60</v>
      </c>
      <c r="G398" s="0" t="s">
        <v>190</v>
      </c>
      <c r="H398" s="0" t="s">
        <v>2287</v>
      </c>
      <c r="I398" s="0" t="s">
        <v>2288</v>
      </c>
      <c r="J398" s="0" t="s">
        <v>2289</v>
      </c>
      <c r="K398" s="0" t="s">
        <v>49</v>
      </c>
      <c r="L398" s="0" t="s">
        <v>49</v>
      </c>
      <c r="M398" s="0" t="str">
        <f aca="false">HYPERLINK("https://www.genecards.org/Search/Keyword?queryString=%5Baliases%5D(%20FAM104B%20)&amp;keywords=FAM104B", "FAM104B")</f>
        <v>FAM104B</v>
      </c>
      <c r="N398" s="0" t="s">
        <v>45</v>
      </c>
      <c r="O398" s="0" t="s">
        <v>539</v>
      </c>
      <c r="P398" s="0" t="s">
        <v>2290</v>
      </c>
      <c r="Q398" s="0" t="n">
        <v>-1</v>
      </c>
      <c r="R398" s="0" t="n">
        <v>-1</v>
      </c>
      <c r="S398" s="0" t="n">
        <v>-1</v>
      </c>
      <c r="T398" s="0" t="n">
        <v>-1</v>
      </c>
      <c r="U398" s="0" t="n">
        <v>-1</v>
      </c>
      <c r="V398" s="0" t="s">
        <v>49</v>
      </c>
      <c r="W398" s="0" t="s">
        <v>49</v>
      </c>
      <c r="X398" s="0" t="s">
        <v>49</v>
      </c>
      <c r="Y398" s="0" t="s">
        <v>49</v>
      </c>
      <c r="Z398" s="0" t="s">
        <v>49</v>
      </c>
      <c r="AA398" s="0" t="s">
        <v>49</v>
      </c>
      <c r="AB398" s="0" t="s">
        <v>49</v>
      </c>
      <c r="AC398" s="0" t="s">
        <v>53</v>
      </c>
      <c r="AD398" s="0" t="s">
        <v>209</v>
      </c>
      <c r="AE398" s="0" t="s">
        <v>2285</v>
      </c>
      <c r="AF398" s="0" t="s">
        <v>2286</v>
      </c>
      <c r="AG398" s="0" t="s">
        <v>49</v>
      </c>
      <c r="AH398" s="0" t="s">
        <v>49</v>
      </c>
      <c r="AI398" s="0" t="s">
        <v>49</v>
      </c>
      <c r="AJ398" s="0" t="s">
        <v>49</v>
      </c>
      <c r="AK398" s="0" t="s">
        <v>49</v>
      </c>
      <c r="AL398" s="0" t="s">
        <v>120</v>
      </c>
    </row>
    <row r="399" customFormat="false" ht="15" hidden="false" customHeight="false" outlineLevel="0" collapsed="false">
      <c r="B399" s="0" t="str">
        <f aca="false">HYPERLINK("https://genome.ucsc.edu/cgi-bin/hgTracks?db=hg19&amp;position=chrX%3A153010190%2D153010190", "chrX:153010190")</f>
        <v>chrX:153010190</v>
      </c>
      <c r="C399" s="0" t="s">
        <v>495</v>
      </c>
      <c r="D399" s="0" t="n">
        <v>153010190</v>
      </c>
      <c r="E399" s="0" t="n">
        <v>153010190</v>
      </c>
      <c r="F399" s="0" t="s">
        <v>39</v>
      </c>
      <c r="G399" s="0" t="s">
        <v>40</v>
      </c>
      <c r="H399" s="0" t="s">
        <v>2291</v>
      </c>
      <c r="I399" s="0" t="s">
        <v>816</v>
      </c>
      <c r="J399" s="0" t="s">
        <v>2292</v>
      </c>
      <c r="K399" s="0" t="s">
        <v>49</v>
      </c>
      <c r="L399" s="0" t="str">
        <f aca="false">HYPERLINK("https://www.ncbi.nlm.nih.gov/snp/rs879949945", "rs879949945")</f>
        <v>rs879949945</v>
      </c>
      <c r="M399" s="0" t="str">
        <f aca="false">HYPERLINK("https://www.genecards.org/Search/Keyword?queryString=%5Baliases%5D(%20ABCD1%20)&amp;keywords=ABCD1", "ABCD1")</f>
        <v>ABCD1</v>
      </c>
      <c r="N399" s="0" t="s">
        <v>229</v>
      </c>
      <c r="O399" s="0" t="s">
        <v>49</v>
      </c>
      <c r="P399" s="0" t="s">
        <v>2293</v>
      </c>
      <c r="Q399" s="0" t="n">
        <v>0.0025</v>
      </c>
      <c r="R399" s="0" t="n">
        <v>-1</v>
      </c>
      <c r="S399" s="0" t="n">
        <v>-1</v>
      </c>
      <c r="T399" s="0" t="n">
        <v>-1</v>
      </c>
      <c r="U399" s="0" t="n">
        <v>-1</v>
      </c>
      <c r="V399" s="0" t="s">
        <v>49</v>
      </c>
      <c r="W399" s="0" t="s">
        <v>49</v>
      </c>
      <c r="X399" s="0" t="s">
        <v>49</v>
      </c>
      <c r="Y399" s="0" t="s">
        <v>49</v>
      </c>
      <c r="Z399" s="0" t="s">
        <v>49</v>
      </c>
      <c r="AA399" s="0" t="s">
        <v>49</v>
      </c>
      <c r="AB399" s="0" t="s">
        <v>49</v>
      </c>
      <c r="AC399" s="0" t="s">
        <v>53</v>
      </c>
      <c r="AD399" s="0" t="s">
        <v>54</v>
      </c>
      <c r="AE399" s="0" t="s">
        <v>2294</v>
      </c>
      <c r="AF399" s="0" t="s">
        <v>2295</v>
      </c>
      <c r="AG399" s="0" t="s">
        <v>2296</v>
      </c>
      <c r="AH399" s="0" t="s">
        <v>2297</v>
      </c>
      <c r="AI399" s="0" t="s">
        <v>49</v>
      </c>
      <c r="AJ399" s="0" t="s">
        <v>49</v>
      </c>
      <c r="AK399" s="0" t="s">
        <v>49</v>
      </c>
      <c r="AL399" s="0" t="s">
        <v>49</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3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239:239 A1"/>
    </sheetView>
  </sheetViews>
  <sheetFormatPr defaultColWidth="8.6953125" defaultRowHeight="15" zeroHeight="false" outlineLevelRow="0" outlineLevelCol="0"/>
  <sheetData>
    <row r="1" customFormat="false" ht="15" hidden="false" customHeight="false" outlineLevel="0" collapsed="false">
      <c r="A1" s="1" t="s">
        <v>2298</v>
      </c>
      <c r="B1" s="1" t="s">
        <v>30</v>
      </c>
      <c r="C1" s="1" t="s">
        <v>31</v>
      </c>
      <c r="D1" s="1" t="s">
        <v>32</v>
      </c>
      <c r="E1" s="1" t="s">
        <v>33</v>
      </c>
      <c r="F1" s="1" t="s">
        <v>2299</v>
      </c>
      <c r="G1" s="1" t="s">
        <v>2300</v>
      </c>
      <c r="H1" s="1" t="s">
        <v>2301</v>
      </c>
      <c r="I1" s="1" t="s">
        <v>2302</v>
      </c>
      <c r="J1" s="1" t="s">
        <v>2303</v>
      </c>
      <c r="K1" s="1" t="s">
        <v>2304</v>
      </c>
      <c r="L1" s="1" t="s">
        <v>2305</v>
      </c>
      <c r="M1" s="1" t="s">
        <v>2306</v>
      </c>
      <c r="N1" s="1" t="s">
        <v>2307</v>
      </c>
    </row>
    <row r="2" customFormat="false" ht="15" hidden="false" customHeight="false" outlineLevel="0" collapsed="false">
      <c r="A2" s="0" t="s">
        <v>2308</v>
      </c>
      <c r="B2" s="0" t="s">
        <v>1670</v>
      </c>
      <c r="C2" s="0" t="s">
        <v>1671</v>
      </c>
      <c r="D2" s="0" t="s">
        <v>1672</v>
      </c>
      <c r="E2" s="0" t="s">
        <v>1673</v>
      </c>
      <c r="F2" s="0" t="s">
        <v>2309</v>
      </c>
      <c r="G2" s="0" t="s">
        <v>2310</v>
      </c>
      <c r="H2" s="0" t="s">
        <v>2311</v>
      </c>
      <c r="I2" s="0" t="str">
        <f aca="false">HYPERLINK("https://omim.org/entry/601277", "601277")</f>
        <v>601277</v>
      </c>
      <c r="J2" s="0" t="str">
        <f aca="false">HYPERLINK("https://omim.org/entry/242500", "242500")</f>
        <v>242500</v>
      </c>
      <c r="K2" s="0" t="s">
        <v>49</v>
      </c>
      <c r="L2" s="0" t="s">
        <v>49</v>
      </c>
      <c r="M2" s="0" t="s">
        <v>49</v>
      </c>
      <c r="N2" s="0" t="s">
        <v>49</v>
      </c>
    </row>
    <row r="3" customFormat="false" ht="15" hidden="false" customHeight="false" outlineLevel="0" collapsed="false">
      <c r="A3" s="0" t="s">
        <v>2312</v>
      </c>
      <c r="B3" s="0" t="s">
        <v>1251</v>
      </c>
      <c r="C3" s="0" t="s">
        <v>1252</v>
      </c>
      <c r="D3" s="0" t="s">
        <v>1253</v>
      </c>
      <c r="E3" s="0" t="s">
        <v>49</v>
      </c>
      <c r="F3" s="0" t="s">
        <v>2313</v>
      </c>
      <c r="G3" s="0" t="s">
        <v>2314</v>
      </c>
      <c r="H3" s="0" t="s">
        <v>2315</v>
      </c>
      <c r="I3" s="0" t="s">
        <v>49</v>
      </c>
      <c r="J3" s="0" t="s">
        <v>49</v>
      </c>
      <c r="K3" s="0" t="s">
        <v>49</v>
      </c>
      <c r="L3" s="0" t="s">
        <v>49</v>
      </c>
      <c r="M3" s="0" t="s">
        <v>49</v>
      </c>
      <c r="N3" s="0" t="s">
        <v>49</v>
      </c>
    </row>
    <row r="4" customFormat="false" ht="15" hidden="false" customHeight="false" outlineLevel="0" collapsed="false">
      <c r="A4" s="0" t="s">
        <v>2316</v>
      </c>
      <c r="B4" s="0" t="s">
        <v>251</v>
      </c>
      <c r="C4" s="0" t="s">
        <v>252</v>
      </c>
      <c r="D4" s="0" t="s">
        <v>253</v>
      </c>
      <c r="E4" s="0" t="s">
        <v>254</v>
      </c>
      <c r="F4" s="0" t="s">
        <v>2317</v>
      </c>
      <c r="G4" s="0" t="s">
        <v>2318</v>
      </c>
      <c r="H4" s="0" t="s">
        <v>2319</v>
      </c>
      <c r="I4" s="0" t="str">
        <f aca="false">HYPERLINK("https://omim.org/entry/264800", "264800")</f>
        <v>264800</v>
      </c>
      <c r="J4" s="0" t="str">
        <f aca="false">HYPERLINK("https://omim.org/entry/614473", "614473")</f>
        <v>614473</v>
      </c>
      <c r="K4" s="0" t="s">
        <v>49</v>
      </c>
      <c r="L4" s="0" t="s">
        <v>49</v>
      </c>
      <c r="M4" s="0" t="s">
        <v>49</v>
      </c>
      <c r="N4" s="0" t="s">
        <v>49</v>
      </c>
    </row>
    <row r="5" customFormat="false" ht="15" hidden="false" customHeight="false" outlineLevel="0" collapsed="false">
      <c r="A5" s="0" t="s">
        <v>2320</v>
      </c>
      <c r="B5" s="0" t="s">
        <v>797</v>
      </c>
      <c r="C5" s="0" t="s">
        <v>798</v>
      </c>
      <c r="D5" s="0" t="s">
        <v>799</v>
      </c>
      <c r="E5" s="0" t="s">
        <v>800</v>
      </c>
      <c r="F5" s="0" t="s">
        <v>49</v>
      </c>
      <c r="G5" s="0" t="s">
        <v>2321</v>
      </c>
      <c r="H5" s="0" t="s">
        <v>2322</v>
      </c>
      <c r="I5" s="0" t="str">
        <f aca="false">HYPERLINK("https://omim.org/entry/240800", "240800")</f>
        <v>240800</v>
      </c>
      <c r="J5" s="0" t="str">
        <f aca="false">HYPERLINK("https://omim.org/entry/256450", "256450")</f>
        <v>256450</v>
      </c>
      <c r="K5" s="0" t="str">
        <f aca="false">HYPERLINK("https://omim.org/entry/606176", "606176")</f>
        <v>606176</v>
      </c>
      <c r="L5" s="0" t="str">
        <f aca="false">HYPERLINK("https://omim.org/entry/610374", "610374")</f>
        <v>610374</v>
      </c>
      <c r="M5" s="0" t="s">
        <v>49</v>
      </c>
      <c r="N5" s="0" t="s">
        <v>49</v>
      </c>
    </row>
    <row r="6" customFormat="false" ht="15" hidden="false" customHeight="false" outlineLevel="0" collapsed="false">
      <c r="A6" s="0" t="s">
        <v>2323</v>
      </c>
      <c r="B6" s="0" t="s">
        <v>896</v>
      </c>
      <c r="C6" s="0" t="s">
        <v>897</v>
      </c>
      <c r="D6" s="0" t="s">
        <v>898</v>
      </c>
      <c r="E6" s="0" t="s">
        <v>899</v>
      </c>
      <c r="F6" s="0" t="s">
        <v>49</v>
      </c>
      <c r="G6" s="0" t="s">
        <v>2324</v>
      </c>
      <c r="H6" s="0" t="s">
        <v>2325</v>
      </c>
      <c r="I6" s="0" t="str">
        <f aca="false">HYPERLINK("https://omim.org/entry/608569", "608569")</f>
        <v>608569</v>
      </c>
      <c r="J6" s="0" t="str">
        <f aca="false">HYPERLINK("https://omim.org/entry/614050", "614050")</f>
        <v>614050</v>
      </c>
      <c r="K6" s="0" t="str">
        <f aca="false">HYPERLINK("https://omim.org/entry/239850", "239850")</f>
        <v>239850</v>
      </c>
      <c r="L6" s="0" t="s">
        <v>49</v>
      </c>
      <c r="M6" s="0" t="s">
        <v>49</v>
      </c>
      <c r="N6" s="0" t="s">
        <v>49</v>
      </c>
    </row>
    <row r="7" customFormat="false" ht="15" hidden="false" customHeight="false" outlineLevel="0" collapsed="false">
      <c r="A7" s="0" t="s">
        <v>2326</v>
      </c>
      <c r="B7" s="0" t="s">
        <v>2294</v>
      </c>
      <c r="C7" s="0" t="s">
        <v>2295</v>
      </c>
      <c r="D7" s="0" t="s">
        <v>2296</v>
      </c>
      <c r="E7" s="0" t="s">
        <v>2297</v>
      </c>
      <c r="F7" s="0" t="s">
        <v>49</v>
      </c>
      <c r="G7" s="0" t="s">
        <v>2327</v>
      </c>
      <c r="H7" s="0" t="s">
        <v>2328</v>
      </c>
      <c r="I7" s="0" t="str">
        <f aca="false">HYPERLINK("https://omim.org/entry/300100", "300100")</f>
        <v>300100</v>
      </c>
      <c r="J7" s="0" t="s">
        <v>49</v>
      </c>
      <c r="K7" s="0" t="s">
        <v>49</v>
      </c>
      <c r="L7" s="0" t="s">
        <v>49</v>
      </c>
      <c r="M7" s="0" t="s">
        <v>49</v>
      </c>
      <c r="N7" s="0" t="s">
        <v>49</v>
      </c>
    </row>
    <row r="8" customFormat="false" ht="15" hidden="false" customHeight="false" outlineLevel="0" collapsed="false">
      <c r="A8" s="0" t="s">
        <v>2329</v>
      </c>
      <c r="B8" s="0" t="s">
        <v>1811</v>
      </c>
      <c r="C8" s="0" t="s">
        <v>1812</v>
      </c>
      <c r="D8" s="0" t="s">
        <v>1813</v>
      </c>
      <c r="E8" s="0" t="s">
        <v>1814</v>
      </c>
      <c r="F8" s="0" t="s">
        <v>2330</v>
      </c>
      <c r="G8" s="0" t="s">
        <v>2331</v>
      </c>
      <c r="H8" s="0" t="s">
        <v>2332</v>
      </c>
      <c r="I8" s="0" t="str">
        <f aca="false">HYPERLINK("https://omim.org/entry/275630", "275630")</f>
        <v>275630</v>
      </c>
      <c r="J8" s="0" t="s">
        <v>49</v>
      </c>
      <c r="K8" s="0" t="s">
        <v>49</v>
      </c>
      <c r="L8" s="0" t="s">
        <v>49</v>
      </c>
      <c r="M8" s="0" t="s">
        <v>49</v>
      </c>
      <c r="N8" s="0" t="s">
        <v>49</v>
      </c>
    </row>
    <row r="9" customFormat="false" ht="15" hidden="false" customHeight="false" outlineLevel="0" collapsed="false">
      <c r="A9" s="0" t="s">
        <v>2333</v>
      </c>
      <c r="B9" s="0" t="s">
        <v>602</v>
      </c>
      <c r="C9" s="0" t="s">
        <v>603</v>
      </c>
      <c r="D9" s="0" t="s">
        <v>604</v>
      </c>
      <c r="E9" s="0" t="s">
        <v>49</v>
      </c>
      <c r="F9" s="0" t="s">
        <v>2334</v>
      </c>
      <c r="G9" s="0" t="s">
        <v>2335</v>
      </c>
      <c r="H9" s="0" t="s">
        <v>2336</v>
      </c>
      <c r="I9" s="0" t="s">
        <v>49</v>
      </c>
      <c r="J9" s="0" t="s">
        <v>49</v>
      </c>
      <c r="K9" s="0" t="s">
        <v>49</v>
      </c>
      <c r="L9" s="0" t="s">
        <v>49</v>
      </c>
      <c r="M9" s="0" t="s">
        <v>49</v>
      </c>
      <c r="N9" s="0" t="s">
        <v>49</v>
      </c>
    </row>
    <row r="10" customFormat="false" ht="15" hidden="false" customHeight="false" outlineLevel="0" collapsed="false">
      <c r="A10" s="0" t="s">
        <v>2337</v>
      </c>
      <c r="B10" s="0" t="s">
        <v>1885</v>
      </c>
      <c r="C10" s="0" t="s">
        <v>1886</v>
      </c>
      <c r="D10" s="0" t="s">
        <v>1887</v>
      </c>
      <c r="E10" s="0" t="s">
        <v>49</v>
      </c>
      <c r="F10" s="0" t="s">
        <v>2338</v>
      </c>
      <c r="G10" s="0" t="s">
        <v>2339</v>
      </c>
      <c r="H10" s="0" t="s">
        <v>2340</v>
      </c>
      <c r="I10" s="0" t="s">
        <v>49</v>
      </c>
      <c r="J10" s="0" t="s">
        <v>49</v>
      </c>
      <c r="K10" s="0" t="s">
        <v>49</v>
      </c>
      <c r="L10" s="0" t="s">
        <v>49</v>
      </c>
      <c r="M10" s="0" t="s">
        <v>49</v>
      </c>
      <c r="N10" s="0" t="s">
        <v>49</v>
      </c>
    </row>
    <row r="11" customFormat="false" ht="15" hidden="false" customHeight="false" outlineLevel="0" collapsed="false">
      <c r="A11" s="0" t="s">
        <v>2341</v>
      </c>
      <c r="B11" s="0" t="s">
        <v>2342</v>
      </c>
      <c r="C11" s="0" t="s">
        <v>2343</v>
      </c>
      <c r="D11" s="0" t="s">
        <v>2344</v>
      </c>
      <c r="E11" s="0" t="s">
        <v>49</v>
      </c>
      <c r="F11" s="0" t="s">
        <v>49</v>
      </c>
      <c r="G11" s="0" t="s">
        <v>49</v>
      </c>
      <c r="H11" s="0" t="s">
        <v>49</v>
      </c>
      <c r="I11" s="0" t="s">
        <v>49</v>
      </c>
      <c r="J11" s="0" t="s">
        <v>49</v>
      </c>
      <c r="K11" s="0" t="s">
        <v>49</v>
      </c>
      <c r="L11" s="0" t="s">
        <v>49</v>
      </c>
      <c r="M11" s="0" t="s">
        <v>49</v>
      </c>
      <c r="N11" s="0" t="s">
        <v>49</v>
      </c>
    </row>
    <row r="12" customFormat="false" ht="15" hidden="false" customHeight="false" outlineLevel="0" collapsed="false">
      <c r="A12" s="0" t="s">
        <v>2345</v>
      </c>
      <c r="B12" s="0" t="s">
        <v>1239</v>
      </c>
      <c r="C12" s="0" t="s">
        <v>1240</v>
      </c>
      <c r="D12" s="0" t="s">
        <v>1241</v>
      </c>
      <c r="E12" s="0" t="s">
        <v>1242</v>
      </c>
      <c r="F12" s="0" t="s">
        <v>2346</v>
      </c>
      <c r="G12" s="0" t="s">
        <v>2347</v>
      </c>
      <c r="H12" s="0" t="s">
        <v>2348</v>
      </c>
      <c r="I12" s="0" t="str">
        <f aca="false">HYPERLINK("https://omim.org/entry/601367", "601367")</f>
        <v>601367</v>
      </c>
      <c r="J12" s="0" t="str">
        <f aca="false">HYPERLINK("https://omim.org/entry/267430", "267430")</f>
        <v>267430</v>
      </c>
      <c r="K12" s="0" t="str">
        <f aca="false">HYPERLINK("https://omim.org/entry/612624", "612624")</f>
        <v>612624</v>
      </c>
      <c r="L12" s="0" t="str">
        <f aca="false">HYPERLINK("https://omim.org/entry/614519", "614519")</f>
        <v>614519</v>
      </c>
      <c r="M12" s="0" t="s">
        <v>49</v>
      </c>
      <c r="N12" s="0" t="s">
        <v>49</v>
      </c>
    </row>
    <row r="13" customFormat="false" ht="15" hidden="false" customHeight="false" outlineLevel="0" collapsed="false">
      <c r="A13" s="0" t="s">
        <v>2349</v>
      </c>
      <c r="B13" s="0" t="s">
        <v>986</v>
      </c>
      <c r="C13" s="0" t="s">
        <v>987</v>
      </c>
      <c r="D13" s="0" t="s">
        <v>988</v>
      </c>
      <c r="E13" s="0" t="s">
        <v>49</v>
      </c>
      <c r="F13" s="0" t="s">
        <v>2350</v>
      </c>
      <c r="G13" s="0" t="s">
        <v>2351</v>
      </c>
      <c r="H13" s="0" t="s">
        <v>2352</v>
      </c>
      <c r="I13" s="0" t="s">
        <v>49</v>
      </c>
      <c r="J13" s="0" t="s">
        <v>49</v>
      </c>
      <c r="K13" s="0" t="s">
        <v>49</v>
      </c>
      <c r="L13" s="0" t="s">
        <v>49</v>
      </c>
      <c r="M13" s="0" t="s">
        <v>49</v>
      </c>
      <c r="N13" s="0" t="s">
        <v>49</v>
      </c>
    </row>
    <row r="14" customFormat="false" ht="15" hidden="false" customHeight="false" outlineLevel="0" collapsed="false">
      <c r="A14" s="0" t="s">
        <v>2353</v>
      </c>
      <c r="B14" s="0" t="s">
        <v>1196</v>
      </c>
      <c r="C14" s="0" t="s">
        <v>1197</v>
      </c>
      <c r="D14" s="0" t="s">
        <v>1198</v>
      </c>
      <c r="E14" s="0" t="s">
        <v>1199</v>
      </c>
      <c r="F14" s="0" t="s">
        <v>49</v>
      </c>
      <c r="G14" s="0" t="s">
        <v>2354</v>
      </c>
      <c r="H14" s="0" t="s">
        <v>2355</v>
      </c>
      <c r="I14" s="0" t="str">
        <f aca="false">HYPERLINK("https://omim.org/entry/614265", "614265")</f>
        <v>614265</v>
      </c>
      <c r="J14" s="0" t="s">
        <v>49</v>
      </c>
      <c r="K14" s="0" t="s">
        <v>49</v>
      </c>
      <c r="L14" s="0" t="s">
        <v>49</v>
      </c>
      <c r="M14" s="0" t="s">
        <v>49</v>
      </c>
      <c r="N14" s="0" t="s">
        <v>49</v>
      </c>
    </row>
    <row r="15" customFormat="false" ht="15" hidden="false" customHeight="false" outlineLevel="0" collapsed="false">
      <c r="A15" s="0" t="s">
        <v>2356</v>
      </c>
      <c r="B15" s="0" t="s">
        <v>1530</v>
      </c>
      <c r="C15" s="0" t="s">
        <v>1531</v>
      </c>
      <c r="D15" s="0" t="s">
        <v>1532</v>
      </c>
      <c r="E15" s="0" t="s">
        <v>1533</v>
      </c>
      <c r="F15" s="0" t="s">
        <v>2357</v>
      </c>
      <c r="G15" s="0" t="s">
        <v>2358</v>
      </c>
      <c r="H15" s="0" t="s">
        <v>2359</v>
      </c>
      <c r="I15" s="0" t="str">
        <f aca="false">HYPERLINK("https://omim.org/entry/614328", "614328")</f>
        <v>614328</v>
      </c>
      <c r="J15" s="0" t="s">
        <v>49</v>
      </c>
      <c r="K15" s="0" t="s">
        <v>49</v>
      </c>
      <c r="L15" s="0" t="s">
        <v>49</v>
      </c>
      <c r="M15" s="0" t="s">
        <v>49</v>
      </c>
      <c r="N15" s="0" t="s">
        <v>49</v>
      </c>
    </row>
    <row r="16" customFormat="false" ht="15" hidden="false" customHeight="false" outlineLevel="0" collapsed="false">
      <c r="A16" s="0" t="s">
        <v>2360</v>
      </c>
      <c r="B16" s="0" t="s">
        <v>1909</v>
      </c>
      <c r="C16" s="0" t="s">
        <v>1910</v>
      </c>
      <c r="D16" s="0" t="s">
        <v>1911</v>
      </c>
      <c r="E16" s="0" t="s">
        <v>49</v>
      </c>
      <c r="F16" s="0" t="s">
        <v>2361</v>
      </c>
      <c r="G16" s="0" t="s">
        <v>2362</v>
      </c>
      <c r="H16" s="0" t="s">
        <v>2363</v>
      </c>
      <c r="I16" s="0" t="s">
        <v>49</v>
      </c>
      <c r="J16" s="0" t="s">
        <v>49</v>
      </c>
      <c r="K16" s="0" t="s">
        <v>49</v>
      </c>
      <c r="L16" s="0" t="s">
        <v>49</v>
      </c>
      <c r="M16" s="0" t="s">
        <v>49</v>
      </c>
      <c r="N16" s="0" t="s">
        <v>49</v>
      </c>
    </row>
    <row r="17" customFormat="false" ht="15" hidden="false" customHeight="false" outlineLevel="0" collapsed="false">
      <c r="A17" s="0" t="s">
        <v>2364</v>
      </c>
      <c r="B17" s="0" t="s">
        <v>49</v>
      </c>
      <c r="C17" s="0" t="s">
        <v>2365</v>
      </c>
      <c r="D17" s="0" t="s">
        <v>49</v>
      </c>
      <c r="E17" s="0" t="s">
        <v>49</v>
      </c>
      <c r="F17" s="0" t="s">
        <v>49</v>
      </c>
      <c r="G17" s="0" t="s">
        <v>49</v>
      </c>
      <c r="H17" s="0" t="s">
        <v>49</v>
      </c>
      <c r="I17" s="0" t="s">
        <v>49</v>
      </c>
      <c r="J17" s="0" t="s">
        <v>49</v>
      </c>
      <c r="K17" s="0" t="s">
        <v>49</v>
      </c>
      <c r="L17" s="0" t="s">
        <v>49</v>
      </c>
      <c r="M17" s="0" t="s">
        <v>49</v>
      </c>
      <c r="N17" s="0" t="s">
        <v>49</v>
      </c>
    </row>
    <row r="18" customFormat="false" ht="15" hidden="false" customHeight="false" outlineLevel="0" collapsed="false">
      <c r="A18" s="0" t="s">
        <v>2366</v>
      </c>
      <c r="B18" s="0" t="s">
        <v>663</v>
      </c>
      <c r="C18" s="0" t="s">
        <v>664</v>
      </c>
      <c r="D18" s="0" t="s">
        <v>665</v>
      </c>
      <c r="E18" s="0" t="s">
        <v>49</v>
      </c>
      <c r="F18" s="0" t="s">
        <v>49</v>
      </c>
      <c r="G18" s="0" t="s">
        <v>49</v>
      </c>
      <c r="H18" s="0" t="s">
        <v>49</v>
      </c>
      <c r="I18" s="0" t="s">
        <v>49</v>
      </c>
      <c r="J18" s="0" t="s">
        <v>49</v>
      </c>
      <c r="K18" s="0" t="s">
        <v>49</v>
      </c>
      <c r="L18" s="0" t="s">
        <v>49</v>
      </c>
      <c r="M18" s="0" t="s">
        <v>49</v>
      </c>
      <c r="N18" s="0" t="s">
        <v>49</v>
      </c>
    </row>
    <row r="19" customFormat="false" ht="15" hidden="false" customHeight="false" outlineLevel="0" collapsed="false">
      <c r="A19" s="0" t="s">
        <v>2367</v>
      </c>
      <c r="B19" s="0" t="s">
        <v>1023</v>
      </c>
      <c r="C19" s="0" t="s">
        <v>2368</v>
      </c>
      <c r="D19" s="0" t="s">
        <v>2369</v>
      </c>
      <c r="E19" s="0" t="s">
        <v>1026</v>
      </c>
      <c r="F19" s="0" t="s">
        <v>49</v>
      </c>
      <c r="G19" s="0" t="s">
        <v>2370</v>
      </c>
      <c r="H19" s="0" t="s">
        <v>2371</v>
      </c>
      <c r="I19" s="0" t="str">
        <f aca="false">HYPERLINK("https://omim.org/entry/614105", "614105")</f>
        <v>614105</v>
      </c>
      <c r="J19" s="0" t="s">
        <v>49</v>
      </c>
      <c r="K19" s="0" t="s">
        <v>49</v>
      </c>
      <c r="L19" s="0" t="s">
        <v>49</v>
      </c>
      <c r="M19" s="0" t="s">
        <v>49</v>
      </c>
      <c r="N19" s="0" t="s">
        <v>49</v>
      </c>
    </row>
    <row r="20" customFormat="false" ht="15" hidden="false" customHeight="false" outlineLevel="0" collapsed="false">
      <c r="A20" s="0" t="s">
        <v>2372</v>
      </c>
      <c r="B20" s="0" t="s">
        <v>531</v>
      </c>
      <c r="C20" s="0" t="s">
        <v>532</v>
      </c>
      <c r="D20" s="0" t="s">
        <v>533</v>
      </c>
      <c r="E20" s="0" t="s">
        <v>534</v>
      </c>
      <c r="F20" s="0" t="s">
        <v>49</v>
      </c>
      <c r="G20" s="0" t="s">
        <v>49</v>
      </c>
      <c r="H20" s="0" t="s">
        <v>49</v>
      </c>
      <c r="I20" s="0" t="str">
        <f aca="false">HYPERLINK("https://omim.org/entry/146300", "146300")</f>
        <v>146300</v>
      </c>
      <c r="J20" s="0" t="str">
        <f aca="false">HYPERLINK("https://omim.org/entry/241510", "241510")</f>
        <v>241510</v>
      </c>
      <c r="K20" s="0" t="str">
        <f aca="false">HYPERLINK("https://omim.org/entry/241500", "241500")</f>
        <v>241500</v>
      </c>
      <c r="L20" s="0" t="s">
        <v>49</v>
      </c>
      <c r="M20" s="0" t="s">
        <v>49</v>
      </c>
      <c r="N20" s="0" t="s">
        <v>49</v>
      </c>
    </row>
    <row r="21" customFormat="false" ht="15" hidden="false" customHeight="false" outlineLevel="0" collapsed="false">
      <c r="A21" s="0" t="s">
        <v>2373</v>
      </c>
      <c r="B21" s="0" t="s">
        <v>626</v>
      </c>
      <c r="C21" s="0" t="s">
        <v>627</v>
      </c>
      <c r="D21" s="0" t="s">
        <v>49</v>
      </c>
      <c r="E21" s="0" t="s">
        <v>49</v>
      </c>
      <c r="F21" s="0" t="s">
        <v>49</v>
      </c>
      <c r="G21" s="0" t="s">
        <v>2374</v>
      </c>
      <c r="H21" s="0" t="s">
        <v>2375</v>
      </c>
      <c r="I21" s="0" t="s">
        <v>49</v>
      </c>
      <c r="J21" s="0" t="s">
        <v>49</v>
      </c>
      <c r="K21" s="0" t="s">
        <v>49</v>
      </c>
      <c r="L21" s="0" t="s">
        <v>49</v>
      </c>
      <c r="M21" s="0" t="s">
        <v>49</v>
      </c>
      <c r="N21" s="0" t="s">
        <v>49</v>
      </c>
    </row>
    <row r="22" customFormat="false" ht="15" hidden="false" customHeight="false" outlineLevel="0" collapsed="false">
      <c r="A22" s="0" t="s">
        <v>2376</v>
      </c>
      <c r="B22" s="0" t="s">
        <v>2377</v>
      </c>
      <c r="C22" s="0" t="s">
        <v>2378</v>
      </c>
      <c r="D22" s="0" t="s">
        <v>2379</v>
      </c>
      <c r="E22" s="0" t="s">
        <v>2201</v>
      </c>
      <c r="F22" s="0" t="s">
        <v>2380</v>
      </c>
      <c r="G22" s="0" t="s">
        <v>2381</v>
      </c>
      <c r="H22" s="0" t="s">
        <v>2382</v>
      </c>
      <c r="I22" s="0" t="str">
        <f aca="false">HYPERLINK("https://omim.org/entry/182900", "182900")</f>
        <v>182900</v>
      </c>
      <c r="J22" s="0" t="s">
        <v>49</v>
      </c>
      <c r="K22" s="0" t="s">
        <v>49</v>
      </c>
      <c r="L22" s="0" t="s">
        <v>49</v>
      </c>
      <c r="M22" s="0" t="s">
        <v>49</v>
      </c>
      <c r="N22" s="0" t="s">
        <v>49</v>
      </c>
    </row>
    <row r="23" customFormat="false" ht="15" hidden="false" customHeight="false" outlineLevel="0" collapsed="false">
      <c r="A23" s="0" t="s">
        <v>2383</v>
      </c>
      <c r="B23" s="0" t="s">
        <v>49</v>
      </c>
      <c r="C23" s="0" t="s">
        <v>1594</v>
      </c>
      <c r="D23" s="0" t="s">
        <v>49</v>
      </c>
      <c r="E23" s="0" t="s">
        <v>49</v>
      </c>
      <c r="F23" s="0" t="s">
        <v>49</v>
      </c>
      <c r="G23" s="0" t="s">
        <v>49</v>
      </c>
      <c r="H23" s="0" t="s">
        <v>49</v>
      </c>
      <c r="I23" s="0" t="s">
        <v>49</v>
      </c>
      <c r="J23" s="0" t="s">
        <v>49</v>
      </c>
      <c r="K23" s="0" t="s">
        <v>49</v>
      </c>
      <c r="L23" s="0" t="s">
        <v>49</v>
      </c>
      <c r="M23" s="0" t="s">
        <v>49</v>
      </c>
      <c r="N23" s="0" t="s">
        <v>49</v>
      </c>
    </row>
    <row r="24" customFormat="false" ht="15" hidden="false" customHeight="false" outlineLevel="0" collapsed="false">
      <c r="A24" s="0" t="s">
        <v>2384</v>
      </c>
      <c r="B24" s="0" t="s">
        <v>49</v>
      </c>
      <c r="C24" s="0" t="s">
        <v>1640</v>
      </c>
      <c r="D24" s="0" t="s">
        <v>49</v>
      </c>
      <c r="E24" s="0" t="s">
        <v>49</v>
      </c>
      <c r="F24" s="0" t="s">
        <v>49</v>
      </c>
      <c r="G24" s="0" t="s">
        <v>2385</v>
      </c>
      <c r="H24" s="0" t="s">
        <v>49</v>
      </c>
      <c r="I24" s="0" t="s">
        <v>49</v>
      </c>
      <c r="J24" s="0" t="s">
        <v>49</v>
      </c>
      <c r="K24" s="0" t="s">
        <v>49</v>
      </c>
      <c r="L24" s="0" t="s">
        <v>49</v>
      </c>
      <c r="M24" s="0" t="s">
        <v>49</v>
      </c>
      <c r="N24" s="0" t="s">
        <v>49</v>
      </c>
    </row>
    <row r="25" customFormat="false" ht="15" hidden="false" customHeight="false" outlineLevel="0" collapsed="false">
      <c r="A25" s="0" t="s">
        <v>2386</v>
      </c>
      <c r="B25" s="0" t="s">
        <v>49</v>
      </c>
      <c r="C25" s="0" t="s">
        <v>1586</v>
      </c>
      <c r="D25" s="0" t="s">
        <v>49</v>
      </c>
      <c r="E25" s="0" t="s">
        <v>49</v>
      </c>
      <c r="F25" s="0" t="s">
        <v>49</v>
      </c>
      <c r="G25" s="0" t="s">
        <v>49</v>
      </c>
      <c r="H25" s="0" t="s">
        <v>49</v>
      </c>
      <c r="I25" s="0" t="s">
        <v>49</v>
      </c>
      <c r="J25" s="0" t="s">
        <v>49</v>
      </c>
      <c r="K25" s="0" t="s">
        <v>49</v>
      </c>
      <c r="L25" s="0" t="s">
        <v>49</v>
      </c>
      <c r="M25" s="0" t="s">
        <v>49</v>
      </c>
      <c r="N25" s="0" t="s">
        <v>49</v>
      </c>
    </row>
    <row r="26" customFormat="false" ht="15" hidden="false" customHeight="false" outlineLevel="0" collapsed="false">
      <c r="A26" s="0" t="s">
        <v>2387</v>
      </c>
      <c r="B26" s="0" t="s">
        <v>49</v>
      </c>
      <c r="C26" s="0" t="s">
        <v>371</v>
      </c>
      <c r="D26" s="0" t="s">
        <v>49</v>
      </c>
      <c r="E26" s="0" t="s">
        <v>49</v>
      </c>
      <c r="F26" s="0" t="s">
        <v>49</v>
      </c>
      <c r="G26" s="0" t="s">
        <v>2388</v>
      </c>
      <c r="H26" s="0" t="s">
        <v>49</v>
      </c>
      <c r="I26" s="0" t="s">
        <v>49</v>
      </c>
      <c r="J26" s="0" t="s">
        <v>49</v>
      </c>
      <c r="K26" s="0" t="s">
        <v>49</v>
      </c>
      <c r="L26" s="0" t="s">
        <v>49</v>
      </c>
      <c r="M26" s="0" t="s">
        <v>49</v>
      </c>
      <c r="N26" s="0" t="s">
        <v>49</v>
      </c>
    </row>
    <row r="27" customFormat="false" ht="15" hidden="false" customHeight="false" outlineLevel="0" collapsed="false">
      <c r="A27" s="0" t="s">
        <v>2389</v>
      </c>
      <c r="B27" s="0" t="s">
        <v>915</v>
      </c>
      <c r="C27" s="0" t="s">
        <v>916</v>
      </c>
      <c r="D27" s="0" t="s">
        <v>917</v>
      </c>
      <c r="E27" s="0" t="s">
        <v>49</v>
      </c>
      <c r="F27" s="0" t="s">
        <v>2390</v>
      </c>
      <c r="G27" s="0" t="s">
        <v>2391</v>
      </c>
      <c r="H27" s="0" t="s">
        <v>2392</v>
      </c>
      <c r="I27" s="0" t="s">
        <v>49</v>
      </c>
      <c r="J27" s="0" t="s">
        <v>49</v>
      </c>
      <c r="K27" s="0" t="s">
        <v>49</v>
      </c>
      <c r="L27" s="0" t="s">
        <v>49</v>
      </c>
      <c r="M27" s="0" t="s">
        <v>49</v>
      </c>
      <c r="N27" s="0" t="s">
        <v>49</v>
      </c>
    </row>
    <row r="28" customFormat="false" ht="15" hidden="false" customHeight="false" outlineLevel="0" collapsed="false">
      <c r="A28" s="0" t="s">
        <v>2393</v>
      </c>
      <c r="B28" s="0" t="s">
        <v>1411</v>
      </c>
      <c r="C28" s="0" t="s">
        <v>1412</v>
      </c>
      <c r="D28" s="0" t="s">
        <v>1413</v>
      </c>
      <c r="E28" s="0" t="s">
        <v>1414</v>
      </c>
      <c r="F28" s="0" t="s">
        <v>49</v>
      </c>
      <c r="G28" s="0" t="s">
        <v>2394</v>
      </c>
      <c r="H28" s="0" t="s">
        <v>2395</v>
      </c>
      <c r="I28" s="0" t="str">
        <f aca="false">HYPERLINK("https://omim.org/entry/600740", "600740")</f>
        <v>600740</v>
      </c>
      <c r="J28" s="0" t="s">
        <v>49</v>
      </c>
      <c r="K28" s="0" t="s">
        <v>49</v>
      </c>
      <c r="L28" s="0" t="s">
        <v>49</v>
      </c>
      <c r="M28" s="0" t="s">
        <v>49</v>
      </c>
      <c r="N28" s="0" t="s">
        <v>49</v>
      </c>
    </row>
    <row r="29" customFormat="false" ht="15" hidden="false" customHeight="false" outlineLevel="0" collapsed="false">
      <c r="A29" s="0" t="s">
        <v>2396</v>
      </c>
      <c r="B29" s="0" t="s">
        <v>49</v>
      </c>
      <c r="C29" s="0" t="s">
        <v>1217</v>
      </c>
      <c r="D29" s="0" t="s">
        <v>1218</v>
      </c>
      <c r="E29" s="0" t="s">
        <v>49</v>
      </c>
      <c r="F29" s="0" t="s">
        <v>2397</v>
      </c>
      <c r="G29" s="0" t="s">
        <v>49</v>
      </c>
      <c r="H29" s="0" t="s">
        <v>49</v>
      </c>
      <c r="I29" s="0" t="s">
        <v>49</v>
      </c>
      <c r="J29" s="0" t="s">
        <v>49</v>
      </c>
      <c r="K29" s="0" t="s">
        <v>49</v>
      </c>
      <c r="L29" s="0" t="s">
        <v>49</v>
      </c>
      <c r="M29" s="0" t="s">
        <v>49</v>
      </c>
      <c r="N29" s="0" t="s">
        <v>49</v>
      </c>
    </row>
    <row r="30" customFormat="false" ht="15" hidden="false" customHeight="false" outlineLevel="0" collapsed="false">
      <c r="A30" s="0" t="s">
        <v>2398</v>
      </c>
      <c r="B30" s="0" t="s">
        <v>1635</v>
      </c>
      <c r="C30" s="0" t="s">
        <v>1636</v>
      </c>
      <c r="D30" s="0" t="s">
        <v>1637</v>
      </c>
      <c r="E30" s="0" t="s">
        <v>49</v>
      </c>
      <c r="F30" s="0" t="s">
        <v>2399</v>
      </c>
      <c r="G30" s="0" t="s">
        <v>2400</v>
      </c>
      <c r="H30" s="0" t="s">
        <v>2401</v>
      </c>
      <c r="I30" s="0" t="s">
        <v>49</v>
      </c>
      <c r="J30" s="0" t="s">
        <v>49</v>
      </c>
      <c r="K30" s="0" t="s">
        <v>49</v>
      </c>
      <c r="L30" s="0" t="s">
        <v>49</v>
      </c>
      <c r="M30" s="0" t="s">
        <v>49</v>
      </c>
      <c r="N30" s="0" t="s">
        <v>49</v>
      </c>
    </row>
    <row r="31" customFormat="false" ht="15" hidden="false" customHeight="false" outlineLevel="0" collapsed="false">
      <c r="A31" s="0" t="s">
        <v>2402</v>
      </c>
      <c r="B31" s="0" t="s">
        <v>2084</v>
      </c>
      <c r="C31" s="0" t="s">
        <v>2085</v>
      </c>
      <c r="D31" s="0" t="s">
        <v>2086</v>
      </c>
      <c r="E31" s="0" t="s">
        <v>2087</v>
      </c>
      <c r="F31" s="0" t="s">
        <v>2403</v>
      </c>
      <c r="G31" s="0" t="s">
        <v>2404</v>
      </c>
      <c r="H31" s="0" t="s">
        <v>2405</v>
      </c>
      <c r="I31" s="0" t="str">
        <f aca="false">HYPERLINK("https://omim.org/entry/614562", "614562")</f>
        <v>614562</v>
      </c>
      <c r="J31" s="0" t="s">
        <v>49</v>
      </c>
      <c r="K31" s="0" t="s">
        <v>49</v>
      </c>
      <c r="L31" s="0" t="s">
        <v>49</v>
      </c>
      <c r="M31" s="0" t="s">
        <v>49</v>
      </c>
      <c r="N31" s="0" t="s">
        <v>49</v>
      </c>
    </row>
    <row r="32" customFormat="false" ht="15" hidden="false" customHeight="false" outlineLevel="0" collapsed="false">
      <c r="A32" s="0" t="s">
        <v>2406</v>
      </c>
      <c r="B32" s="0" t="s">
        <v>2265</v>
      </c>
      <c r="C32" s="0" t="s">
        <v>2266</v>
      </c>
      <c r="D32" s="0" t="s">
        <v>49</v>
      </c>
      <c r="E32" s="0" t="s">
        <v>49</v>
      </c>
      <c r="F32" s="0" t="s">
        <v>2407</v>
      </c>
      <c r="G32" s="0" t="s">
        <v>2408</v>
      </c>
      <c r="H32" s="0" t="s">
        <v>2409</v>
      </c>
      <c r="I32" s="0" t="s">
        <v>49</v>
      </c>
      <c r="J32" s="0" t="s">
        <v>49</v>
      </c>
      <c r="K32" s="0" t="s">
        <v>49</v>
      </c>
      <c r="L32" s="0" t="s">
        <v>49</v>
      </c>
      <c r="M32" s="0" t="s">
        <v>49</v>
      </c>
      <c r="N32" s="0" t="s">
        <v>49</v>
      </c>
    </row>
    <row r="33" customFormat="false" ht="15" hidden="false" customHeight="false" outlineLevel="0" collapsed="false">
      <c r="A33" s="0" t="s">
        <v>2410</v>
      </c>
      <c r="B33" s="0" t="s">
        <v>594</v>
      </c>
      <c r="C33" s="0" t="s">
        <v>595</v>
      </c>
      <c r="D33" s="0" t="s">
        <v>596</v>
      </c>
      <c r="E33" s="0" t="s">
        <v>49</v>
      </c>
      <c r="F33" s="0" t="s">
        <v>49</v>
      </c>
      <c r="G33" s="0" t="s">
        <v>2411</v>
      </c>
      <c r="H33" s="0" t="s">
        <v>2412</v>
      </c>
      <c r="I33" s="0" t="s">
        <v>49</v>
      </c>
      <c r="J33" s="0" t="s">
        <v>49</v>
      </c>
      <c r="K33" s="0" t="s">
        <v>49</v>
      </c>
      <c r="L33" s="0" t="s">
        <v>49</v>
      </c>
      <c r="M33" s="0" t="s">
        <v>49</v>
      </c>
      <c r="N33" s="0" t="s">
        <v>49</v>
      </c>
    </row>
    <row r="34" customFormat="false" ht="15" hidden="false" customHeight="false" outlineLevel="0" collapsed="false">
      <c r="A34" s="0" t="s">
        <v>2413</v>
      </c>
      <c r="B34" s="0" t="s">
        <v>1880</v>
      </c>
      <c r="C34" s="0" t="s">
        <v>2414</v>
      </c>
      <c r="D34" s="0" t="s">
        <v>49</v>
      </c>
      <c r="E34" s="0" t="s">
        <v>1882</v>
      </c>
      <c r="F34" s="0" t="s">
        <v>2415</v>
      </c>
      <c r="G34" s="0" t="s">
        <v>2416</v>
      </c>
      <c r="H34" s="0" t="s">
        <v>2417</v>
      </c>
      <c r="I34" s="0" t="s">
        <v>49</v>
      </c>
      <c r="J34" s="0" t="s">
        <v>49</v>
      </c>
      <c r="K34" s="0" t="s">
        <v>49</v>
      </c>
      <c r="L34" s="0" t="s">
        <v>49</v>
      </c>
      <c r="M34" s="0" t="s">
        <v>49</v>
      </c>
      <c r="N34" s="0" t="s">
        <v>49</v>
      </c>
    </row>
    <row r="35" customFormat="false" ht="15" hidden="false" customHeight="false" outlineLevel="0" collapsed="false">
      <c r="A35" s="0" t="s">
        <v>2418</v>
      </c>
      <c r="B35" s="0" t="s">
        <v>49</v>
      </c>
      <c r="C35" s="0" t="s">
        <v>2419</v>
      </c>
      <c r="D35" s="0" t="s">
        <v>49</v>
      </c>
      <c r="E35" s="0" t="s">
        <v>49</v>
      </c>
      <c r="F35" s="0" t="s">
        <v>49</v>
      </c>
      <c r="G35" s="0" t="s">
        <v>49</v>
      </c>
      <c r="H35" s="0" t="s">
        <v>49</v>
      </c>
      <c r="I35" s="0" t="s">
        <v>49</v>
      </c>
      <c r="J35" s="0" t="s">
        <v>49</v>
      </c>
      <c r="K35" s="0" t="s">
        <v>49</v>
      </c>
      <c r="L35" s="0" t="s">
        <v>49</v>
      </c>
      <c r="M35" s="0" t="s">
        <v>49</v>
      </c>
      <c r="N35" s="0" t="s">
        <v>49</v>
      </c>
    </row>
    <row r="36" customFormat="false" ht="15" hidden="false" customHeight="false" outlineLevel="0" collapsed="false">
      <c r="A36" s="0" t="s">
        <v>2420</v>
      </c>
      <c r="B36" s="0" t="s">
        <v>1875</v>
      </c>
      <c r="C36" s="0" t="s">
        <v>1876</v>
      </c>
      <c r="D36" s="0" t="s">
        <v>49</v>
      </c>
      <c r="E36" s="0" t="s">
        <v>49</v>
      </c>
      <c r="F36" s="0" t="s">
        <v>49</v>
      </c>
      <c r="G36" s="0" t="s">
        <v>2421</v>
      </c>
      <c r="H36" s="0" t="s">
        <v>2422</v>
      </c>
      <c r="I36" s="0" t="s">
        <v>49</v>
      </c>
      <c r="J36" s="0" t="s">
        <v>49</v>
      </c>
      <c r="K36" s="0" t="s">
        <v>49</v>
      </c>
      <c r="L36" s="0" t="s">
        <v>49</v>
      </c>
      <c r="M36" s="0" t="s">
        <v>49</v>
      </c>
      <c r="N36" s="0" t="s">
        <v>49</v>
      </c>
    </row>
    <row r="37" customFormat="false" ht="15" hidden="false" customHeight="false" outlineLevel="0" collapsed="false">
      <c r="A37" s="0" t="s">
        <v>2423</v>
      </c>
      <c r="B37" s="0" t="s">
        <v>2205</v>
      </c>
      <c r="C37" s="0" t="s">
        <v>2206</v>
      </c>
      <c r="D37" s="0" t="s">
        <v>2207</v>
      </c>
      <c r="E37" s="0" t="s">
        <v>49</v>
      </c>
      <c r="F37" s="0" t="s">
        <v>2424</v>
      </c>
      <c r="G37" s="0" t="s">
        <v>2425</v>
      </c>
      <c r="H37" s="0" t="s">
        <v>2426</v>
      </c>
      <c r="I37" s="0" t="s">
        <v>49</v>
      </c>
      <c r="J37" s="0" t="s">
        <v>49</v>
      </c>
      <c r="K37" s="0" t="s">
        <v>49</v>
      </c>
      <c r="L37" s="0" t="s">
        <v>49</v>
      </c>
      <c r="M37" s="0" t="s">
        <v>49</v>
      </c>
      <c r="N37" s="0" t="s">
        <v>49</v>
      </c>
    </row>
    <row r="38" customFormat="false" ht="15" hidden="false" customHeight="false" outlineLevel="0" collapsed="false">
      <c r="A38" s="0" t="s">
        <v>2427</v>
      </c>
      <c r="B38" s="0" t="s">
        <v>1854</v>
      </c>
      <c r="C38" s="0" t="s">
        <v>1855</v>
      </c>
      <c r="D38" s="0" t="s">
        <v>1856</v>
      </c>
      <c r="E38" s="0" t="s">
        <v>1857</v>
      </c>
      <c r="F38" s="0" t="s">
        <v>2428</v>
      </c>
      <c r="G38" s="0" t="s">
        <v>2429</v>
      </c>
      <c r="H38" s="0" t="s">
        <v>2430</v>
      </c>
      <c r="I38" s="0" t="str">
        <f aca="false">HYPERLINK("https://omim.org/entry/210600", "210600")</f>
        <v>210600</v>
      </c>
      <c r="J38" s="0" t="str">
        <f aca="false">HYPERLINK("https://omim.org/entry/614564", "614564")</f>
        <v>614564</v>
      </c>
      <c r="K38" s="0" t="s">
        <v>49</v>
      </c>
      <c r="L38" s="0" t="s">
        <v>49</v>
      </c>
      <c r="M38" s="0" t="s">
        <v>49</v>
      </c>
      <c r="N38" s="0" t="s">
        <v>49</v>
      </c>
    </row>
    <row r="39" customFormat="false" ht="15" hidden="false" customHeight="false" outlineLevel="0" collapsed="false">
      <c r="A39" s="0" t="s">
        <v>2431</v>
      </c>
      <c r="B39" s="0" t="s">
        <v>1050</v>
      </c>
      <c r="C39" s="0" t="s">
        <v>1051</v>
      </c>
      <c r="D39" s="0" t="s">
        <v>1052</v>
      </c>
      <c r="E39" s="0" t="s">
        <v>1053</v>
      </c>
      <c r="F39" s="0" t="s">
        <v>2432</v>
      </c>
      <c r="G39" s="0" t="s">
        <v>2433</v>
      </c>
      <c r="H39" s="0" t="s">
        <v>2434</v>
      </c>
      <c r="I39" s="0" t="str">
        <f aca="false">HYPERLINK("https://omim.org/entry/109150", "109150")</f>
        <v>109150</v>
      </c>
      <c r="J39" s="0" t="s">
        <v>49</v>
      </c>
      <c r="K39" s="0" t="s">
        <v>49</v>
      </c>
      <c r="L39" s="0" t="s">
        <v>49</v>
      </c>
      <c r="M39" s="0" t="s">
        <v>49</v>
      </c>
      <c r="N39" s="0" t="s">
        <v>49</v>
      </c>
    </row>
    <row r="40" customFormat="false" ht="15" hidden="false" customHeight="false" outlineLevel="0" collapsed="false">
      <c r="A40" s="0" t="s">
        <v>2435</v>
      </c>
      <c r="B40" s="0" t="s">
        <v>1918</v>
      </c>
      <c r="C40" s="0" t="s">
        <v>1919</v>
      </c>
      <c r="D40" s="0" t="s">
        <v>1920</v>
      </c>
      <c r="E40" s="0" t="s">
        <v>1921</v>
      </c>
      <c r="F40" s="0" t="s">
        <v>2436</v>
      </c>
      <c r="G40" s="0" t="s">
        <v>2437</v>
      </c>
      <c r="H40" s="0" t="s">
        <v>2438</v>
      </c>
      <c r="I40" s="0" t="str">
        <f aca="false">HYPERLINK("https://omim.org/entry/152700", "152700")</f>
        <v>152700</v>
      </c>
      <c r="J40" s="0" t="s">
        <v>49</v>
      </c>
      <c r="K40" s="0" t="s">
        <v>49</v>
      </c>
      <c r="L40" s="0" t="s">
        <v>49</v>
      </c>
      <c r="M40" s="0" t="s">
        <v>49</v>
      </c>
      <c r="N40" s="0" t="s">
        <v>49</v>
      </c>
    </row>
    <row r="41" customFormat="false" ht="15" hidden="false" customHeight="false" outlineLevel="0" collapsed="false">
      <c r="A41" s="0" t="s">
        <v>2439</v>
      </c>
      <c r="B41" s="0" t="s">
        <v>49</v>
      </c>
      <c r="C41" s="0" t="s">
        <v>2440</v>
      </c>
      <c r="D41" s="0" t="s">
        <v>2441</v>
      </c>
      <c r="E41" s="0" t="s">
        <v>49</v>
      </c>
      <c r="F41" s="0" t="s">
        <v>49</v>
      </c>
      <c r="G41" s="0" t="s">
        <v>49</v>
      </c>
      <c r="H41" s="0" t="s">
        <v>49</v>
      </c>
      <c r="I41" s="0" t="s">
        <v>49</v>
      </c>
      <c r="J41" s="0" t="s">
        <v>49</v>
      </c>
      <c r="K41" s="0" t="s">
        <v>49</v>
      </c>
      <c r="L41" s="0" t="s">
        <v>49</v>
      </c>
      <c r="M41" s="0" t="s">
        <v>49</v>
      </c>
      <c r="N41" s="0" t="s">
        <v>49</v>
      </c>
    </row>
    <row r="42" customFormat="false" ht="15" hidden="false" customHeight="false" outlineLevel="0" collapsed="false">
      <c r="A42" s="0" t="s">
        <v>2442</v>
      </c>
      <c r="B42" s="0" t="s">
        <v>1258</v>
      </c>
      <c r="C42" s="0" t="s">
        <v>1259</v>
      </c>
      <c r="D42" s="0" t="s">
        <v>1260</v>
      </c>
      <c r="E42" s="0" t="s">
        <v>49</v>
      </c>
      <c r="F42" s="0" t="s">
        <v>2443</v>
      </c>
      <c r="G42" s="0" t="s">
        <v>2444</v>
      </c>
      <c r="H42" s="0" t="s">
        <v>2445</v>
      </c>
      <c r="I42" s="0" t="s">
        <v>49</v>
      </c>
      <c r="J42" s="0" t="s">
        <v>49</v>
      </c>
      <c r="K42" s="0" t="s">
        <v>49</v>
      </c>
      <c r="L42" s="0" t="s">
        <v>49</v>
      </c>
      <c r="M42" s="0" t="s">
        <v>49</v>
      </c>
      <c r="N42" s="0" t="s">
        <v>49</v>
      </c>
    </row>
    <row r="43" customFormat="false" ht="15" hidden="false" customHeight="false" outlineLevel="0" collapsed="false">
      <c r="A43" s="0" t="s">
        <v>2446</v>
      </c>
      <c r="B43" s="0" t="s">
        <v>752</v>
      </c>
      <c r="C43" s="0" t="s">
        <v>753</v>
      </c>
      <c r="D43" s="0" t="s">
        <v>754</v>
      </c>
      <c r="E43" s="0" t="s">
        <v>755</v>
      </c>
      <c r="F43" s="0" t="s">
        <v>2447</v>
      </c>
      <c r="G43" s="0" t="s">
        <v>2448</v>
      </c>
      <c r="H43" s="0" t="s">
        <v>2449</v>
      </c>
      <c r="I43" s="0" t="str">
        <f aca="false">HYPERLINK("https://omim.org/entry/610069", "610069")</f>
        <v>610069</v>
      </c>
      <c r="J43" s="0" t="s">
        <v>49</v>
      </c>
      <c r="K43" s="0" t="s">
        <v>49</v>
      </c>
      <c r="L43" s="0" t="s">
        <v>49</v>
      </c>
      <c r="M43" s="0" t="s">
        <v>49</v>
      </c>
      <c r="N43" s="0" t="s">
        <v>49</v>
      </c>
    </row>
    <row r="44" customFormat="false" ht="15" hidden="false" customHeight="false" outlineLevel="0" collapsed="false">
      <c r="A44" s="0" t="s">
        <v>2450</v>
      </c>
      <c r="B44" s="0" t="s">
        <v>579</v>
      </c>
      <c r="C44" s="0" t="s">
        <v>580</v>
      </c>
      <c r="D44" s="0" t="s">
        <v>581</v>
      </c>
      <c r="E44" s="0" t="s">
        <v>49</v>
      </c>
      <c r="F44" s="0" t="s">
        <v>2451</v>
      </c>
      <c r="G44" s="0" t="s">
        <v>2452</v>
      </c>
      <c r="H44" s="0" t="s">
        <v>2453</v>
      </c>
      <c r="I44" s="0" t="s">
        <v>49</v>
      </c>
      <c r="J44" s="0" t="s">
        <v>49</v>
      </c>
      <c r="K44" s="0" t="s">
        <v>49</v>
      </c>
      <c r="L44" s="0" t="s">
        <v>49</v>
      </c>
      <c r="M44" s="0" t="s">
        <v>49</v>
      </c>
      <c r="N44" s="0" t="s">
        <v>49</v>
      </c>
    </row>
    <row r="45" customFormat="false" ht="15" hidden="false" customHeight="false" outlineLevel="0" collapsed="false">
      <c r="A45" s="0" t="s">
        <v>2454</v>
      </c>
      <c r="B45" s="0" t="s">
        <v>1539</v>
      </c>
      <c r="C45" s="0" t="s">
        <v>1540</v>
      </c>
      <c r="D45" s="0" t="s">
        <v>1541</v>
      </c>
      <c r="E45" s="0" t="s">
        <v>49</v>
      </c>
      <c r="F45" s="0" t="s">
        <v>2455</v>
      </c>
      <c r="G45" s="0" t="s">
        <v>2456</v>
      </c>
      <c r="H45" s="0" t="s">
        <v>2457</v>
      </c>
      <c r="I45" s="0" t="s">
        <v>49</v>
      </c>
      <c r="J45" s="0" t="s">
        <v>49</v>
      </c>
      <c r="K45" s="0" t="s">
        <v>49</v>
      </c>
      <c r="L45" s="0" t="s">
        <v>49</v>
      </c>
      <c r="M45" s="0" t="s">
        <v>49</v>
      </c>
      <c r="N45" s="0" t="s">
        <v>49</v>
      </c>
    </row>
    <row r="46" customFormat="false" ht="15" hidden="false" customHeight="false" outlineLevel="0" collapsed="false">
      <c r="A46" s="0" t="s">
        <v>2458</v>
      </c>
      <c r="B46" s="0" t="s">
        <v>1079</v>
      </c>
      <c r="C46" s="0" t="s">
        <v>1080</v>
      </c>
      <c r="D46" s="0" t="s">
        <v>49</v>
      </c>
      <c r="E46" s="0" t="s">
        <v>1081</v>
      </c>
      <c r="F46" s="0" t="s">
        <v>49</v>
      </c>
      <c r="G46" s="0" t="s">
        <v>2459</v>
      </c>
      <c r="H46" s="0" t="s">
        <v>2453</v>
      </c>
      <c r="I46" s="0" t="str">
        <f aca="false">HYPERLINK("https://omim.org/entry/615631", "615631")</f>
        <v>615631</v>
      </c>
      <c r="J46" s="0" t="s">
        <v>49</v>
      </c>
      <c r="K46" s="0" t="s">
        <v>49</v>
      </c>
      <c r="L46" s="0" t="s">
        <v>49</v>
      </c>
      <c r="M46" s="0" t="s">
        <v>49</v>
      </c>
      <c r="N46" s="0" t="s">
        <v>49</v>
      </c>
    </row>
    <row r="47" customFormat="false" ht="15" hidden="false" customHeight="false" outlineLevel="0" collapsed="false">
      <c r="A47" s="0" t="s">
        <v>2460</v>
      </c>
      <c r="B47" s="0" t="s">
        <v>1891</v>
      </c>
      <c r="C47" s="0" t="s">
        <v>1892</v>
      </c>
      <c r="D47" s="0" t="s">
        <v>49</v>
      </c>
      <c r="E47" s="0" t="s">
        <v>49</v>
      </c>
      <c r="F47" s="0" t="s">
        <v>49</v>
      </c>
      <c r="G47" s="0" t="s">
        <v>2461</v>
      </c>
      <c r="H47" s="0" t="s">
        <v>49</v>
      </c>
      <c r="I47" s="0" t="s">
        <v>49</v>
      </c>
      <c r="J47" s="0" t="s">
        <v>49</v>
      </c>
      <c r="K47" s="0" t="s">
        <v>49</v>
      </c>
      <c r="L47" s="0" t="s">
        <v>49</v>
      </c>
      <c r="M47" s="0" t="s">
        <v>49</v>
      </c>
      <c r="N47" s="0" t="s">
        <v>49</v>
      </c>
    </row>
    <row r="48" customFormat="false" ht="15" hidden="false" customHeight="false" outlineLevel="0" collapsed="false">
      <c r="A48" s="0" t="s">
        <v>2462</v>
      </c>
      <c r="B48" s="0" t="s">
        <v>705</v>
      </c>
      <c r="C48" s="0" t="s">
        <v>706</v>
      </c>
      <c r="D48" s="0" t="s">
        <v>707</v>
      </c>
      <c r="E48" s="0" t="s">
        <v>708</v>
      </c>
      <c r="F48" s="0" t="s">
        <v>2463</v>
      </c>
      <c r="G48" s="0" t="s">
        <v>2464</v>
      </c>
      <c r="H48" s="0" t="s">
        <v>2465</v>
      </c>
      <c r="I48" s="0" t="str">
        <f aca="false">HYPERLINK("https://omim.org/entry/611876", "611876")</f>
        <v>611876</v>
      </c>
      <c r="J48" s="0" t="s">
        <v>49</v>
      </c>
      <c r="K48" s="0" t="s">
        <v>49</v>
      </c>
      <c r="L48" s="0" t="s">
        <v>49</v>
      </c>
      <c r="M48" s="0" t="s">
        <v>49</v>
      </c>
      <c r="N48" s="0" t="s">
        <v>49</v>
      </c>
    </row>
    <row r="49" customFormat="false" ht="15" hidden="false" customHeight="false" outlineLevel="0" collapsed="false">
      <c r="A49" s="0" t="s">
        <v>2466</v>
      </c>
      <c r="B49" s="0" t="s">
        <v>2090</v>
      </c>
      <c r="C49" s="0" t="s">
        <v>2091</v>
      </c>
      <c r="D49" s="0" t="s">
        <v>2092</v>
      </c>
      <c r="E49" s="0" t="s">
        <v>2093</v>
      </c>
      <c r="F49" s="0" t="s">
        <v>2467</v>
      </c>
      <c r="G49" s="0" t="s">
        <v>2468</v>
      </c>
      <c r="H49" s="0" t="s">
        <v>2469</v>
      </c>
      <c r="I49" s="0" t="str">
        <f aca="false">HYPERLINK("https://omim.org/entry/616452", "616452")</f>
        <v>616452</v>
      </c>
      <c r="J49" s="0" t="str">
        <f aca="false">HYPERLINK("https://omim.org/entry/615206", "615206")</f>
        <v>615206</v>
      </c>
      <c r="K49" s="0" t="s">
        <v>49</v>
      </c>
      <c r="L49" s="0" t="s">
        <v>49</v>
      </c>
      <c r="M49" s="0" t="s">
        <v>49</v>
      </c>
      <c r="N49" s="0" t="s">
        <v>49</v>
      </c>
    </row>
    <row r="50" customFormat="false" ht="15" hidden="false" customHeight="false" outlineLevel="0" collapsed="false">
      <c r="A50" s="0" t="s">
        <v>2470</v>
      </c>
      <c r="B50" s="0" t="s">
        <v>903</v>
      </c>
      <c r="C50" s="0" t="s">
        <v>904</v>
      </c>
      <c r="D50" s="0" t="s">
        <v>49</v>
      </c>
      <c r="E50" s="0" t="s">
        <v>49</v>
      </c>
      <c r="F50" s="0" t="s">
        <v>49</v>
      </c>
      <c r="G50" s="0" t="s">
        <v>2471</v>
      </c>
      <c r="H50" s="0" t="s">
        <v>2472</v>
      </c>
      <c r="I50" s="0" t="s">
        <v>49</v>
      </c>
      <c r="J50" s="0" t="s">
        <v>49</v>
      </c>
      <c r="K50" s="0" t="s">
        <v>49</v>
      </c>
      <c r="L50" s="0" t="s">
        <v>49</v>
      </c>
      <c r="M50" s="0" t="s">
        <v>49</v>
      </c>
      <c r="N50" s="0" t="s">
        <v>49</v>
      </c>
    </row>
    <row r="51" customFormat="false" ht="15" hidden="false" customHeight="false" outlineLevel="0" collapsed="false">
      <c r="A51" s="0" t="s">
        <v>2473</v>
      </c>
      <c r="B51" s="0" t="s">
        <v>2223</v>
      </c>
      <c r="C51" s="0" t="s">
        <v>2224</v>
      </c>
      <c r="D51" s="0" t="s">
        <v>49</v>
      </c>
      <c r="E51" s="0" t="s">
        <v>49</v>
      </c>
      <c r="F51" s="0" t="s">
        <v>2474</v>
      </c>
      <c r="G51" s="0" t="s">
        <v>2475</v>
      </c>
      <c r="H51" s="0" t="s">
        <v>49</v>
      </c>
      <c r="I51" s="0" t="s">
        <v>49</v>
      </c>
      <c r="J51" s="0" t="s">
        <v>49</v>
      </c>
      <c r="K51" s="0" t="s">
        <v>49</v>
      </c>
      <c r="L51" s="0" t="s">
        <v>49</v>
      </c>
      <c r="M51" s="0" t="s">
        <v>49</v>
      </c>
      <c r="N51" s="0" t="s">
        <v>49</v>
      </c>
    </row>
    <row r="52" customFormat="false" ht="15" hidden="false" customHeight="false" outlineLevel="0" collapsed="false">
      <c r="A52" s="0" t="s">
        <v>2476</v>
      </c>
      <c r="B52" s="0" t="s">
        <v>1625</v>
      </c>
      <c r="C52" s="0" t="s">
        <v>1626</v>
      </c>
      <c r="D52" s="0" t="s">
        <v>49</v>
      </c>
      <c r="E52" s="0" t="s">
        <v>49</v>
      </c>
      <c r="F52" s="0" t="s">
        <v>49</v>
      </c>
      <c r="G52" s="0" t="s">
        <v>2477</v>
      </c>
      <c r="H52" s="0" t="s">
        <v>49</v>
      </c>
      <c r="I52" s="0" t="s">
        <v>49</v>
      </c>
      <c r="J52" s="0" t="s">
        <v>49</v>
      </c>
      <c r="K52" s="0" t="s">
        <v>49</v>
      </c>
      <c r="L52" s="0" t="s">
        <v>49</v>
      </c>
      <c r="M52" s="0" t="s">
        <v>49</v>
      </c>
      <c r="N52" s="0" t="s">
        <v>49</v>
      </c>
    </row>
    <row r="53" customFormat="false" ht="15" hidden="false" customHeight="false" outlineLevel="0" collapsed="false">
      <c r="A53" s="0" t="s">
        <v>2478</v>
      </c>
      <c r="B53" s="0" t="s">
        <v>541</v>
      </c>
      <c r="C53" s="0" t="s">
        <v>542</v>
      </c>
      <c r="D53" s="0" t="s">
        <v>49</v>
      </c>
      <c r="E53" s="0" t="s">
        <v>49</v>
      </c>
      <c r="F53" s="0" t="s">
        <v>2479</v>
      </c>
      <c r="G53" s="0" t="s">
        <v>2480</v>
      </c>
      <c r="H53" s="0" t="s">
        <v>2481</v>
      </c>
      <c r="I53" s="0" t="s">
        <v>49</v>
      </c>
      <c r="J53" s="0" t="s">
        <v>49</v>
      </c>
      <c r="K53" s="0" t="s">
        <v>49</v>
      </c>
      <c r="L53" s="0" t="s">
        <v>49</v>
      </c>
      <c r="M53" s="0" t="s">
        <v>49</v>
      </c>
      <c r="N53" s="0" t="s">
        <v>49</v>
      </c>
    </row>
    <row r="54" customFormat="false" ht="15" hidden="false" customHeight="false" outlineLevel="0" collapsed="false">
      <c r="A54" s="0" t="s">
        <v>2482</v>
      </c>
      <c r="B54" s="0" t="s">
        <v>405</v>
      </c>
      <c r="C54" s="0" t="s">
        <v>406</v>
      </c>
      <c r="D54" s="0" t="s">
        <v>49</v>
      </c>
      <c r="E54" s="0" t="s">
        <v>49</v>
      </c>
      <c r="F54" s="0" t="s">
        <v>49</v>
      </c>
      <c r="G54" s="0" t="s">
        <v>2483</v>
      </c>
      <c r="H54" s="0" t="s">
        <v>49</v>
      </c>
      <c r="I54" s="0" t="s">
        <v>49</v>
      </c>
      <c r="J54" s="0" t="s">
        <v>49</v>
      </c>
      <c r="K54" s="0" t="s">
        <v>49</v>
      </c>
      <c r="L54" s="0" t="s">
        <v>49</v>
      </c>
      <c r="M54" s="0" t="s">
        <v>49</v>
      </c>
      <c r="N54" s="0" t="s">
        <v>49</v>
      </c>
    </row>
    <row r="55" customFormat="false" ht="15" hidden="false" customHeight="false" outlineLevel="0" collapsed="false">
      <c r="A55" s="0" t="s">
        <v>2484</v>
      </c>
      <c r="B55" s="0" t="s">
        <v>49</v>
      </c>
      <c r="C55" s="0" t="s">
        <v>1644</v>
      </c>
      <c r="D55" s="0" t="s">
        <v>49</v>
      </c>
      <c r="E55" s="0" t="s">
        <v>49</v>
      </c>
      <c r="F55" s="0" t="s">
        <v>49</v>
      </c>
      <c r="G55" s="0" t="s">
        <v>49</v>
      </c>
      <c r="H55" s="0" t="s">
        <v>49</v>
      </c>
      <c r="I55" s="0" t="s">
        <v>49</v>
      </c>
      <c r="J55" s="0" t="s">
        <v>49</v>
      </c>
      <c r="K55" s="0" t="s">
        <v>49</v>
      </c>
      <c r="L55" s="0" t="s">
        <v>49</v>
      </c>
      <c r="M55" s="0" t="s">
        <v>49</v>
      </c>
      <c r="N55" s="0" t="s">
        <v>49</v>
      </c>
    </row>
    <row r="56" customFormat="false" ht="15" hidden="false" customHeight="false" outlineLevel="0" collapsed="false">
      <c r="A56" s="0" t="s">
        <v>2485</v>
      </c>
      <c r="B56" s="0" t="s">
        <v>1186</v>
      </c>
      <c r="C56" s="0" t="s">
        <v>1187</v>
      </c>
      <c r="D56" s="0" t="s">
        <v>1188</v>
      </c>
      <c r="E56" s="0" t="s">
        <v>49</v>
      </c>
      <c r="F56" s="0" t="s">
        <v>2486</v>
      </c>
      <c r="G56" s="0" t="s">
        <v>2487</v>
      </c>
      <c r="H56" s="0" t="s">
        <v>2488</v>
      </c>
      <c r="I56" s="0" t="s">
        <v>49</v>
      </c>
      <c r="J56" s="0" t="s">
        <v>49</v>
      </c>
      <c r="K56" s="0" t="s">
        <v>49</v>
      </c>
      <c r="L56" s="0" t="s">
        <v>49</v>
      </c>
      <c r="M56" s="0" t="s">
        <v>49</v>
      </c>
      <c r="N56" s="0" t="s">
        <v>49</v>
      </c>
    </row>
    <row r="57" customFormat="false" ht="15" hidden="false" customHeight="false" outlineLevel="0" collapsed="false">
      <c r="A57" s="0" t="s">
        <v>2489</v>
      </c>
      <c r="B57" s="0" t="s">
        <v>882</v>
      </c>
      <c r="C57" s="0" t="s">
        <v>883</v>
      </c>
      <c r="D57" s="0" t="s">
        <v>884</v>
      </c>
      <c r="E57" s="0" t="s">
        <v>885</v>
      </c>
      <c r="F57" s="0" t="s">
        <v>49</v>
      </c>
      <c r="G57" s="0" t="s">
        <v>2490</v>
      </c>
      <c r="H57" s="0" t="s">
        <v>2491</v>
      </c>
      <c r="I57" s="0" t="str">
        <f aca="false">HYPERLINK("https://omim.org/entry/614226", "614226")</f>
        <v>614226</v>
      </c>
      <c r="J57" s="0" t="s">
        <v>49</v>
      </c>
      <c r="K57" s="0" t="s">
        <v>49</v>
      </c>
      <c r="L57" s="0" t="s">
        <v>49</v>
      </c>
      <c r="M57" s="0" t="s">
        <v>49</v>
      </c>
      <c r="N57" s="0" t="s">
        <v>49</v>
      </c>
    </row>
    <row r="58" customFormat="false" ht="15" hidden="false" customHeight="false" outlineLevel="0" collapsed="false">
      <c r="A58" s="0" t="s">
        <v>2492</v>
      </c>
      <c r="B58" s="0" t="s">
        <v>49</v>
      </c>
      <c r="C58" s="0" t="s">
        <v>659</v>
      </c>
      <c r="D58" s="0" t="s">
        <v>660</v>
      </c>
      <c r="E58" s="0" t="s">
        <v>49</v>
      </c>
      <c r="F58" s="0" t="s">
        <v>49</v>
      </c>
      <c r="G58" s="0" t="s">
        <v>2493</v>
      </c>
      <c r="H58" s="0" t="s">
        <v>2494</v>
      </c>
      <c r="I58" s="0" t="s">
        <v>49</v>
      </c>
      <c r="J58" s="0" t="s">
        <v>49</v>
      </c>
      <c r="K58" s="0" t="s">
        <v>49</v>
      </c>
      <c r="L58" s="0" t="s">
        <v>49</v>
      </c>
      <c r="M58" s="0" t="s">
        <v>49</v>
      </c>
      <c r="N58" s="0" t="s">
        <v>49</v>
      </c>
    </row>
    <row r="59" customFormat="false" ht="15" hidden="false" customHeight="false" outlineLevel="0" collapsed="false">
      <c r="A59" s="0" t="s">
        <v>2495</v>
      </c>
      <c r="B59" s="0" t="s">
        <v>105</v>
      </c>
      <c r="C59" s="0" t="s">
        <v>106</v>
      </c>
      <c r="D59" s="0" t="s">
        <v>107</v>
      </c>
      <c r="E59" s="0" t="s">
        <v>108</v>
      </c>
      <c r="F59" s="0" t="s">
        <v>2496</v>
      </c>
      <c r="G59" s="0" t="s">
        <v>2497</v>
      </c>
      <c r="H59" s="0" t="s">
        <v>2498</v>
      </c>
      <c r="I59" s="0" t="str">
        <f aca="false">HYPERLINK("https://omim.org/entry/610188", "610188")</f>
        <v>610188</v>
      </c>
      <c r="J59" s="0" t="str">
        <f aca="false">HYPERLINK("https://omim.org/entry/610189", "610189")</f>
        <v>610189</v>
      </c>
      <c r="K59" s="0" t="str">
        <f aca="false">HYPERLINK("https://omim.org/entry/611755", "611755")</f>
        <v>611755</v>
      </c>
      <c r="L59" s="0" t="str">
        <f aca="false">HYPERLINK("https://omim.org/entry/611134", "611134")</f>
        <v>611134</v>
      </c>
      <c r="M59" s="0" t="str">
        <f aca="false">HYPERLINK("https://omim.org/entry/615991", "615991")</f>
        <v>615991</v>
      </c>
      <c r="N59" s="0" t="s">
        <v>49</v>
      </c>
    </row>
    <row r="60" customFormat="false" ht="15" hidden="false" customHeight="false" outlineLevel="0" collapsed="false">
      <c r="A60" s="0" t="s">
        <v>2499</v>
      </c>
      <c r="B60" s="0" t="s">
        <v>1568</v>
      </c>
      <c r="C60" s="0" t="s">
        <v>1569</v>
      </c>
      <c r="D60" s="0" t="s">
        <v>1570</v>
      </c>
      <c r="E60" s="0" t="s">
        <v>49</v>
      </c>
      <c r="F60" s="0" t="s">
        <v>49</v>
      </c>
      <c r="G60" s="0" t="s">
        <v>2500</v>
      </c>
      <c r="H60" s="0" t="s">
        <v>2453</v>
      </c>
      <c r="I60" s="0" t="s">
        <v>49</v>
      </c>
      <c r="J60" s="0" t="s">
        <v>49</v>
      </c>
      <c r="K60" s="0" t="s">
        <v>49</v>
      </c>
      <c r="L60" s="0" t="s">
        <v>49</v>
      </c>
      <c r="M60" s="0" t="s">
        <v>49</v>
      </c>
      <c r="N60" s="0" t="s">
        <v>49</v>
      </c>
    </row>
    <row r="61" customFormat="false" ht="15" hidden="false" customHeight="false" outlineLevel="0" collapsed="false">
      <c r="A61" s="0" t="s">
        <v>2501</v>
      </c>
      <c r="B61" s="0" t="s">
        <v>1654</v>
      </c>
      <c r="C61" s="0" t="s">
        <v>1655</v>
      </c>
      <c r="D61" s="0" t="s">
        <v>1656</v>
      </c>
      <c r="E61" s="0" t="s">
        <v>1657</v>
      </c>
      <c r="F61" s="0" t="s">
        <v>2502</v>
      </c>
      <c r="G61" s="0" t="s">
        <v>2503</v>
      </c>
      <c r="H61" s="0" t="s">
        <v>2504</v>
      </c>
      <c r="I61" s="0" t="str">
        <f aca="false">HYPERLINK("https://omim.org/entry/601462", "601462")</f>
        <v>601462</v>
      </c>
      <c r="J61" s="0" t="str">
        <f aca="false">HYPERLINK("https://omim.org/entry/608930", "608930")</f>
        <v>608930</v>
      </c>
      <c r="K61" s="0" t="s">
        <v>49</v>
      </c>
      <c r="L61" s="0" t="s">
        <v>49</v>
      </c>
      <c r="M61" s="0" t="s">
        <v>49</v>
      </c>
      <c r="N61" s="0" t="s">
        <v>49</v>
      </c>
    </row>
    <row r="62" customFormat="false" ht="15" hidden="false" customHeight="false" outlineLevel="0" collapsed="false">
      <c r="A62" s="0" t="s">
        <v>2505</v>
      </c>
      <c r="B62" s="0" t="s">
        <v>49</v>
      </c>
      <c r="C62" s="0" t="s">
        <v>2506</v>
      </c>
      <c r="D62" s="0" t="s">
        <v>2507</v>
      </c>
      <c r="E62" s="0" t="s">
        <v>49</v>
      </c>
      <c r="F62" s="0" t="s">
        <v>49</v>
      </c>
      <c r="G62" s="0" t="s">
        <v>49</v>
      </c>
      <c r="H62" s="0" t="s">
        <v>49</v>
      </c>
      <c r="I62" s="0" t="s">
        <v>49</v>
      </c>
      <c r="J62" s="0" t="s">
        <v>49</v>
      </c>
      <c r="K62" s="0" t="s">
        <v>49</v>
      </c>
      <c r="L62" s="0" t="s">
        <v>49</v>
      </c>
      <c r="M62" s="0" t="s">
        <v>49</v>
      </c>
      <c r="N62" s="0" t="s">
        <v>49</v>
      </c>
    </row>
    <row r="63" customFormat="false" ht="15" hidden="false" customHeight="false" outlineLevel="0" collapsed="false">
      <c r="A63" s="0" t="s">
        <v>2508</v>
      </c>
      <c r="B63" s="0" t="s">
        <v>382</v>
      </c>
      <c r="C63" s="0" t="s">
        <v>383</v>
      </c>
      <c r="D63" s="0" t="s">
        <v>384</v>
      </c>
      <c r="E63" s="0" t="s">
        <v>49</v>
      </c>
      <c r="F63" s="0" t="s">
        <v>49</v>
      </c>
      <c r="G63" s="0" t="s">
        <v>2509</v>
      </c>
      <c r="H63" s="0" t="s">
        <v>2510</v>
      </c>
      <c r="I63" s="0" t="s">
        <v>49</v>
      </c>
      <c r="J63" s="0" t="s">
        <v>49</v>
      </c>
      <c r="K63" s="0" t="s">
        <v>49</v>
      </c>
      <c r="L63" s="0" t="s">
        <v>49</v>
      </c>
      <c r="M63" s="0" t="s">
        <v>49</v>
      </c>
      <c r="N63" s="0" t="s">
        <v>49</v>
      </c>
    </row>
    <row r="64" customFormat="false" ht="15" hidden="false" customHeight="false" outlineLevel="0" collapsed="false">
      <c r="A64" s="0" t="s">
        <v>2511</v>
      </c>
      <c r="B64" s="0" t="s">
        <v>991</v>
      </c>
      <c r="C64" s="0" t="s">
        <v>992</v>
      </c>
      <c r="D64" s="0" t="s">
        <v>993</v>
      </c>
      <c r="E64" s="0" t="s">
        <v>49</v>
      </c>
      <c r="F64" s="0" t="s">
        <v>2512</v>
      </c>
      <c r="G64" s="0" t="s">
        <v>2513</v>
      </c>
      <c r="H64" s="0" t="s">
        <v>2514</v>
      </c>
      <c r="I64" s="0" t="s">
        <v>49</v>
      </c>
      <c r="J64" s="0" t="s">
        <v>49</v>
      </c>
      <c r="K64" s="0" t="s">
        <v>49</v>
      </c>
      <c r="L64" s="0" t="s">
        <v>49</v>
      </c>
      <c r="M64" s="0" t="s">
        <v>49</v>
      </c>
      <c r="N64" s="0" t="s">
        <v>49</v>
      </c>
    </row>
    <row r="65" customFormat="false" ht="15" hidden="false" customHeight="false" outlineLevel="0" collapsed="false">
      <c r="A65" s="0" t="s">
        <v>2515</v>
      </c>
      <c r="B65" s="0" t="s">
        <v>1761</v>
      </c>
      <c r="C65" s="0" t="s">
        <v>1762</v>
      </c>
      <c r="D65" s="0" t="s">
        <v>1763</v>
      </c>
      <c r="E65" s="0" t="s">
        <v>1764</v>
      </c>
      <c r="F65" s="0" t="s">
        <v>2516</v>
      </c>
      <c r="G65" s="0" t="s">
        <v>2517</v>
      </c>
      <c r="H65" s="0" t="s">
        <v>2518</v>
      </c>
      <c r="I65" s="0" t="str">
        <f aca="false">HYPERLINK("https://omim.org/entry/267750", "267750")</f>
        <v>267750</v>
      </c>
      <c r="J65" s="0" t="s">
        <v>49</v>
      </c>
      <c r="K65" s="0" t="s">
        <v>49</v>
      </c>
      <c r="L65" s="0" t="s">
        <v>49</v>
      </c>
      <c r="M65" s="0" t="s">
        <v>49</v>
      </c>
      <c r="N65" s="0" t="s">
        <v>49</v>
      </c>
    </row>
    <row r="66" customFormat="false" ht="15" hidden="false" customHeight="false" outlineLevel="0" collapsed="false">
      <c r="A66" s="0" t="s">
        <v>2519</v>
      </c>
      <c r="B66" s="0" t="s">
        <v>275</v>
      </c>
      <c r="C66" s="0" t="s">
        <v>276</v>
      </c>
      <c r="D66" s="0" t="s">
        <v>277</v>
      </c>
      <c r="E66" s="0" t="s">
        <v>278</v>
      </c>
      <c r="F66" s="0" t="s">
        <v>2334</v>
      </c>
      <c r="G66" s="0" t="s">
        <v>2520</v>
      </c>
      <c r="H66" s="0" t="s">
        <v>2521</v>
      </c>
      <c r="I66" s="0" t="str">
        <f aca="false">HYPERLINK("https://omim.org/entry/616351", "616351")</f>
        <v>616351</v>
      </c>
      <c r="J66" s="0" t="s">
        <v>49</v>
      </c>
      <c r="K66" s="0" t="s">
        <v>49</v>
      </c>
      <c r="L66" s="0" t="s">
        <v>49</v>
      </c>
      <c r="M66" s="0" t="s">
        <v>49</v>
      </c>
      <c r="N66" s="0" t="s">
        <v>49</v>
      </c>
    </row>
    <row r="67" customFormat="false" ht="15" hidden="false" customHeight="false" outlineLevel="0" collapsed="false">
      <c r="A67" s="0" t="s">
        <v>2522</v>
      </c>
      <c r="B67" s="0" t="s">
        <v>1357</v>
      </c>
      <c r="C67" s="0" t="s">
        <v>1358</v>
      </c>
      <c r="D67" s="0" t="s">
        <v>1359</v>
      </c>
      <c r="E67" s="0" t="s">
        <v>49</v>
      </c>
      <c r="F67" s="0" t="s">
        <v>49</v>
      </c>
      <c r="G67" s="0" t="s">
        <v>2523</v>
      </c>
      <c r="H67" s="0" t="s">
        <v>2524</v>
      </c>
      <c r="I67" s="0" t="s">
        <v>49</v>
      </c>
      <c r="J67" s="0" t="s">
        <v>49</v>
      </c>
      <c r="K67" s="0" t="s">
        <v>49</v>
      </c>
      <c r="L67" s="0" t="s">
        <v>49</v>
      </c>
      <c r="M67" s="0" t="s">
        <v>49</v>
      </c>
      <c r="N67" s="0" t="s">
        <v>49</v>
      </c>
    </row>
    <row r="68" customFormat="false" ht="15" hidden="false" customHeight="false" outlineLevel="0" collapsed="false">
      <c r="A68" s="0" t="s">
        <v>2525</v>
      </c>
      <c r="B68" s="0" t="s">
        <v>1730</v>
      </c>
      <c r="C68" s="0" t="s">
        <v>1731</v>
      </c>
      <c r="D68" s="0" t="s">
        <v>1732</v>
      </c>
      <c r="E68" s="0" t="s">
        <v>1733</v>
      </c>
      <c r="F68" s="0" t="s">
        <v>49</v>
      </c>
      <c r="G68" s="0" t="s">
        <v>2526</v>
      </c>
      <c r="H68" s="0" t="s">
        <v>2527</v>
      </c>
      <c r="I68" s="0" t="str">
        <f aca="false">HYPERLINK("https://omim.org/entry/600969", "600969")</f>
        <v>600969</v>
      </c>
      <c r="J68" s="0" t="str">
        <f aca="false">HYPERLINK("https://omim.org/entry/603932", "603932")</f>
        <v>603932</v>
      </c>
      <c r="K68" s="0" t="s">
        <v>49</v>
      </c>
      <c r="L68" s="0" t="s">
        <v>49</v>
      </c>
      <c r="M68" s="0" t="s">
        <v>49</v>
      </c>
      <c r="N68" s="0" t="s">
        <v>49</v>
      </c>
    </row>
    <row r="69" customFormat="false" ht="15" hidden="false" customHeight="false" outlineLevel="0" collapsed="false">
      <c r="A69" s="0" t="s">
        <v>2528</v>
      </c>
      <c r="B69" s="0" t="s">
        <v>455</v>
      </c>
      <c r="C69" s="0" t="s">
        <v>456</v>
      </c>
      <c r="D69" s="0" t="s">
        <v>457</v>
      </c>
      <c r="E69" s="0" t="s">
        <v>49</v>
      </c>
      <c r="F69" s="0" t="s">
        <v>2529</v>
      </c>
      <c r="G69" s="0" t="s">
        <v>2530</v>
      </c>
      <c r="H69" s="0" t="s">
        <v>49</v>
      </c>
      <c r="I69" s="0" t="s">
        <v>49</v>
      </c>
      <c r="J69" s="0" t="s">
        <v>49</v>
      </c>
      <c r="K69" s="0" t="s">
        <v>49</v>
      </c>
      <c r="L69" s="0" t="s">
        <v>49</v>
      </c>
      <c r="M69" s="0" t="s">
        <v>49</v>
      </c>
      <c r="N69" s="0" t="s">
        <v>49</v>
      </c>
    </row>
    <row r="70" customFormat="false" ht="15" hidden="false" customHeight="false" outlineLevel="0" collapsed="false">
      <c r="A70" s="0" t="s">
        <v>2531</v>
      </c>
      <c r="B70" s="0" t="s">
        <v>1262</v>
      </c>
      <c r="C70" s="0" t="s">
        <v>1263</v>
      </c>
      <c r="D70" s="0" t="s">
        <v>1264</v>
      </c>
      <c r="E70" s="0" t="s">
        <v>1265</v>
      </c>
      <c r="F70" s="0" t="s">
        <v>2532</v>
      </c>
      <c r="G70" s="0" t="s">
        <v>2533</v>
      </c>
      <c r="H70" s="0" t="s">
        <v>2534</v>
      </c>
      <c r="I70" s="0" t="str">
        <f aca="false">HYPERLINK("https://omim.org/entry/615224", "615224")</f>
        <v>615224</v>
      </c>
      <c r="J70" s="0" t="s">
        <v>49</v>
      </c>
      <c r="K70" s="0" t="s">
        <v>49</v>
      </c>
      <c r="L70" s="0" t="s">
        <v>49</v>
      </c>
      <c r="M70" s="0" t="s">
        <v>49</v>
      </c>
      <c r="N70" s="0" t="s">
        <v>49</v>
      </c>
    </row>
    <row r="71" customFormat="false" ht="15" hidden="false" customHeight="false" outlineLevel="0" collapsed="false">
      <c r="A71" s="0" t="s">
        <v>2535</v>
      </c>
      <c r="B71" s="0" t="s">
        <v>357</v>
      </c>
      <c r="C71" s="0" t="s">
        <v>358</v>
      </c>
      <c r="D71" s="0" t="s">
        <v>359</v>
      </c>
      <c r="E71" s="0" t="s">
        <v>49</v>
      </c>
      <c r="F71" s="0" t="s">
        <v>2536</v>
      </c>
      <c r="G71" s="0" t="s">
        <v>2537</v>
      </c>
      <c r="H71" s="0" t="s">
        <v>2538</v>
      </c>
      <c r="I71" s="0" t="s">
        <v>49</v>
      </c>
      <c r="J71" s="0" t="s">
        <v>49</v>
      </c>
      <c r="K71" s="0" t="s">
        <v>49</v>
      </c>
      <c r="L71" s="0" t="s">
        <v>49</v>
      </c>
      <c r="M71" s="0" t="s">
        <v>49</v>
      </c>
      <c r="N71" s="0" t="s">
        <v>49</v>
      </c>
    </row>
    <row r="72" customFormat="false" ht="15" hidden="false" customHeight="false" outlineLevel="0" collapsed="false">
      <c r="A72" s="0" t="s">
        <v>2539</v>
      </c>
      <c r="B72" s="0" t="s">
        <v>1328</v>
      </c>
      <c r="C72" s="0" t="s">
        <v>1329</v>
      </c>
      <c r="D72" s="0" t="s">
        <v>1330</v>
      </c>
      <c r="E72" s="0" t="s">
        <v>1331</v>
      </c>
      <c r="F72" s="0" t="s">
        <v>2540</v>
      </c>
      <c r="G72" s="0" t="s">
        <v>2541</v>
      </c>
      <c r="H72" s="0" t="s">
        <v>2542</v>
      </c>
      <c r="I72" s="0" t="str">
        <f aca="false">HYPERLINK("https://omim.org/entry/604168", "604168")</f>
        <v>604168</v>
      </c>
      <c r="J72" s="0" t="s">
        <v>49</v>
      </c>
      <c r="K72" s="0" t="s">
        <v>49</v>
      </c>
      <c r="L72" s="0" t="s">
        <v>49</v>
      </c>
      <c r="M72" s="0" t="s">
        <v>49</v>
      </c>
      <c r="N72" s="0" t="s">
        <v>49</v>
      </c>
    </row>
    <row r="73" customFormat="false" ht="15" hidden="false" customHeight="false" outlineLevel="0" collapsed="false">
      <c r="A73" s="0" t="s">
        <v>2543</v>
      </c>
      <c r="B73" s="0" t="s">
        <v>922</v>
      </c>
      <c r="C73" s="0" t="s">
        <v>923</v>
      </c>
      <c r="D73" s="0" t="s">
        <v>924</v>
      </c>
      <c r="E73" s="0" t="s">
        <v>49</v>
      </c>
      <c r="F73" s="0" t="s">
        <v>2544</v>
      </c>
      <c r="G73" s="0" t="s">
        <v>49</v>
      </c>
      <c r="H73" s="0" t="s">
        <v>49</v>
      </c>
      <c r="I73" s="0" t="s">
        <v>49</v>
      </c>
      <c r="J73" s="0" t="s">
        <v>49</v>
      </c>
      <c r="K73" s="0" t="s">
        <v>49</v>
      </c>
      <c r="L73" s="0" t="s">
        <v>49</v>
      </c>
      <c r="M73" s="0" t="s">
        <v>49</v>
      </c>
      <c r="N73" s="0" t="s">
        <v>49</v>
      </c>
    </row>
    <row r="74" customFormat="false" ht="15" hidden="false" customHeight="false" outlineLevel="0" collapsed="false">
      <c r="A74" s="0" t="s">
        <v>2545</v>
      </c>
      <c r="B74" s="0" t="s">
        <v>55</v>
      </c>
      <c r="C74" s="0" t="s">
        <v>56</v>
      </c>
      <c r="D74" s="0" t="s">
        <v>57</v>
      </c>
      <c r="E74" s="0" t="s">
        <v>58</v>
      </c>
      <c r="F74" s="0" t="s">
        <v>49</v>
      </c>
      <c r="G74" s="0" t="s">
        <v>2546</v>
      </c>
      <c r="H74" s="0" t="s">
        <v>2547</v>
      </c>
      <c r="I74" s="0" t="str">
        <f aca="false">HYPERLINK("https://omim.org/entry/213700", "213700")</f>
        <v>213700</v>
      </c>
      <c r="J74" s="0" t="s">
        <v>49</v>
      </c>
      <c r="K74" s="0" t="s">
        <v>49</v>
      </c>
      <c r="L74" s="0" t="s">
        <v>49</v>
      </c>
      <c r="M74" s="0" t="s">
        <v>49</v>
      </c>
      <c r="N74" s="0" t="s">
        <v>49</v>
      </c>
    </row>
    <row r="75" customFormat="false" ht="15" hidden="false" customHeight="false" outlineLevel="0" collapsed="false">
      <c r="A75" s="0" t="s">
        <v>2548</v>
      </c>
      <c r="B75" s="0" t="s">
        <v>1316</v>
      </c>
      <c r="C75" s="0" t="s">
        <v>1317</v>
      </c>
      <c r="D75" s="0" t="s">
        <v>1318</v>
      </c>
      <c r="E75" s="0" t="s">
        <v>1319</v>
      </c>
      <c r="F75" s="0" t="s">
        <v>2549</v>
      </c>
      <c r="G75" s="0" t="s">
        <v>2550</v>
      </c>
      <c r="H75" s="0" t="s">
        <v>2551</v>
      </c>
      <c r="I75" s="0" t="str">
        <f aca="false">HYPERLINK("https://omim.org/entry/157600", "157600")</f>
        <v>157600</v>
      </c>
      <c r="J75" s="0" t="s">
        <v>49</v>
      </c>
      <c r="K75" s="0" t="s">
        <v>49</v>
      </c>
      <c r="L75" s="0" t="s">
        <v>49</v>
      </c>
      <c r="M75" s="0" t="s">
        <v>49</v>
      </c>
      <c r="N75" s="0" t="s">
        <v>49</v>
      </c>
    </row>
    <row r="76" customFormat="false" ht="15" hidden="false" customHeight="false" outlineLevel="0" collapsed="false">
      <c r="A76" s="0" t="s">
        <v>2552</v>
      </c>
      <c r="B76" s="0" t="s">
        <v>687</v>
      </c>
      <c r="C76" s="0" t="s">
        <v>688</v>
      </c>
      <c r="D76" s="0" t="s">
        <v>689</v>
      </c>
      <c r="E76" s="0" t="s">
        <v>690</v>
      </c>
      <c r="F76" s="0" t="s">
        <v>2553</v>
      </c>
      <c r="G76" s="0" t="s">
        <v>2554</v>
      </c>
      <c r="H76" s="0" t="s">
        <v>2555</v>
      </c>
      <c r="I76" s="0" t="str">
        <f aca="false">HYPERLINK("https://omim.org/entry/602450", "602450")</f>
        <v>602450</v>
      </c>
      <c r="J76" s="0" t="str">
        <f aca="false">HYPERLINK("https://omim.org/entry/602450", "602450")</f>
        <v>602450</v>
      </c>
      <c r="K76" s="0" t="str">
        <f aca="false">HYPERLINK("https://omim.org/entry/603554", "603554")</f>
        <v>603554</v>
      </c>
      <c r="L76" s="0" t="s">
        <v>49</v>
      </c>
      <c r="M76" s="0" t="s">
        <v>49</v>
      </c>
      <c r="N76" s="0" t="s">
        <v>49</v>
      </c>
    </row>
    <row r="77" customFormat="false" ht="15" hidden="false" customHeight="false" outlineLevel="0" collapsed="false">
      <c r="A77" s="0" t="s">
        <v>2556</v>
      </c>
      <c r="B77" s="0" t="s">
        <v>49</v>
      </c>
      <c r="C77" s="0" t="s">
        <v>2557</v>
      </c>
      <c r="D77" s="0" t="s">
        <v>49</v>
      </c>
      <c r="E77" s="0" t="s">
        <v>49</v>
      </c>
      <c r="F77" s="0" t="s">
        <v>49</v>
      </c>
      <c r="G77" s="0" t="s">
        <v>49</v>
      </c>
      <c r="H77" s="0" t="s">
        <v>49</v>
      </c>
      <c r="I77" s="0" t="s">
        <v>49</v>
      </c>
      <c r="J77" s="0" t="s">
        <v>49</v>
      </c>
      <c r="K77" s="0" t="s">
        <v>49</v>
      </c>
      <c r="L77" s="0" t="s">
        <v>49</v>
      </c>
      <c r="M77" s="0" t="s">
        <v>49</v>
      </c>
      <c r="N77" s="0" t="s">
        <v>49</v>
      </c>
    </row>
    <row r="78" customFormat="false" ht="15" hidden="false" customHeight="false" outlineLevel="0" collapsed="false">
      <c r="A78" s="0" t="s">
        <v>2558</v>
      </c>
      <c r="B78" s="0" t="s">
        <v>1788</v>
      </c>
      <c r="C78" s="0" t="s">
        <v>1789</v>
      </c>
      <c r="D78" s="0" t="s">
        <v>1790</v>
      </c>
      <c r="E78" s="0" t="s">
        <v>1791</v>
      </c>
      <c r="F78" s="0" t="s">
        <v>2559</v>
      </c>
      <c r="G78" s="0" t="s">
        <v>2560</v>
      </c>
      <c r="H78" s="0" t="s">
        <v>2561</v>
      </c>
      <c r="I78" s="0" t="s">
        <v>49</v>
      </c>
      <c r="J78" s="0" t="s">
        <v>49</v>
      </c>
      <c r="K78" s="0" t="s">
        <v>49</v>
      </c>
      <c r="L78" s="0" t="s">
        <v>49</v>
      </c>
      <c r="M78" s="0" t="s">
        <v>49</v>
      </c>
      <c r="N78" s="0" t="s">
        <v>49</v>
      </c>
    </row>
    <row r="79" customFormat="false" ht="15" hidden="false" customHeight="false" outlineLevel="0" collapsed="false">
      <c r="A79" s="0" t="s">
        <v>2562</v>
      </c>
      <c r="B79" s="0" t="s">
        <v>812</v>
      </c>
      <c r="C79" s="0" t="s">
        <v>813</v>
      </c>
      <c r="D79" s="0" t="s">
        <v>814</v>
      </c>
      <c r="E79" s="0" t="s">
        <v>49</v>
      </c>
      <c r="F79" s="0" t="s">
        <v>2563</v>
      </c>
      <c r="G79" s="0" t="s">
        <v>2564</v>
      </c>
      <c r="H79" s="0" t="s">
        <v>49</v>
      </c>
      <c r="I79" s="0" t="s">
        <v>49</v>
      </c>
      <c r="J79" s="0" t="s">
        <v>49</v>
      </c>
      <c r="K79" s="0" t="s">
        <v>49</v>
      </c>
      <c r="L79" s="0" t="s">
        <v>49</v>
      </c>
      <c r="M79" s="0" t="s">
        <v>49</v>
      </c>
      <c r="N79" s="0" t="s">
        <v>49</v>
      </c>
    </row>
    <row r="80" customFormat="false" ht="15" hidden="false" customHeight="false" outlineLevel="0" collapsed="false">
      <c r="A80" s="0" t="s">
        <v>2565</v>
      </c>
      <c r="B80" s="0" t="s">
        <v>1862</v>
      </c>
      <c r="C80" s="0" t="s">
        <v>1863</v>
      </c>
      <c r="D80" s="0" t="s">
        <v>1864</v>
      </c>
      <c r="E80" s="0" t="s">
        <v>49</v>
      </c>
      <c r="F80" s="0" t="s">
        <v>2566</v>
      </c>
      <c r="G80" s="0" t="s">
        <v>2567</v>
      </c>
      <c r="H80" s="0" t="s">
        <v>2568</v>
      </c>
      <c r="I80" s="0" t="s">
        <v>49</v>
      </c>
      <c r="J80" s="0" t="s">
        <v>49</v>
      </c>
      <c r="K80" s="0" t="s">
        <v>49</v>
      </c>
      <c r="L80" s="0" t="s">
        <v>49</v>
      </c>
      <c r="M80" s="0" t="s">
        <v>49</v>
      </c>
      <c r="N80" s="0" t="s">
        <v>49</v>
      </c>
    </row>
    <row r="81" customFormat="false" ht="15" hidden="false" customHeight="false" outlineLevel="0" collapsed="false">
      <c r="A81" s="0" t="s">
        <v>2569</v>
      </c>
      <c r="B81" s="0" t="s">
        <v>643</v>
      </c>
      <c r="C81" s="0" t="s">
        <v>2570</v>
      </c>
      <c r="D81" s="0" t="s">
        <v>645</v>
      </c>
      <c r="E81" s="0" t="s">
        <v>646</v>
      </c>
      <c r="F81" s="0" t="s">
        <v>2571</v>
      </c>
      <c r="G81" s="0" t="s">
        <v>2513</v>
      </c>
      <c r="H81" s="0" t="s">
        <v>2572</v>
      </c>
      <c r="I81" s="0" t="str">
        <f aca="false">HYPERLINK("https://omim.org/entry/604906", "604906")</f>
        <v>604906</v>
      </c>
      <c r="J81" s="0" t="s">
        <v>49</v>
      </c>
      <c r="K81" s="0" t="s">
        <v>49</v>
      </c>
      <c r="L81" s="0" t="s">
        <v>49</v>
      </c>
      <c r="M81" s="0" t="s">
        <v>49</v>
      </c>
      <c r="N81" s="0" t="s">
        <v>49</v>
      </c>
    </row>
    <row r="82" customFormat="false" ht="15" hidden="false" customHeight="false" outlineLevel="0" collapsed="false">
      <c r="A82" s="0" t="s">
        <v>2573</v>
      </c>
      <c r="B82" s="0" t="s">
        <v>49</v>
      </c>
      <c r="C82" s="0" t="s">
        <v>1709</v>
      </c>
      <c r="D82" s="0" t="s">
        <v>49</v>
      </c>
      <c r="E82" s="0" t="s">
        <v>49</v>
      </c>
      <c r="F82" s="0" t="s">
        <v>49</v>
      </c>
      <c r="G82" s="0" t="s">
        <v>49</v>
      </c>
      <c r="H82" s="0" t="s">
        <v>49</v>
      </c>
      <c r="I82" s="0" t="s">
        <v>49</v>
      </c>
      <c r="J82" s="0" t="s">
        <v>49</v>
      </c>
      <c r="K82" s="0" t="s">
        <v>49</v>
      </c>
      <c r="L82" s="0" t="s">
        <v>49</v>
      </c>
      <c r="M82" s="0" t="s">
        <v>49</v>
      </c>
      <c r="N82" s="0" t="s">
        <v>49</v>
      </c>
    </row>
    <row r="83" customFormat="false" ht="15" hidden="false" customHeight="false" outlineLevel="0" collapsed="false">
      <c r="A83" s="0" t="s">
        <v>2574</v>
      </c>
      <c r="B83" s="0" t="s">
        <v>1903</v>
      </c>
      <c r="C83" s="0" t="s">
        <v>1904</v>
      </c>
      <c r="D83" s="0" t="s">
        <v>1905</v>
      </c>
      <c r="E83" s="0" t="s">
        <v>1906</v>
      </c>
      <c r="F83" s="0" t="s">
        <v>2575</v>
      </c>
      <c r="G83" s="0" t="s">
        <v>2576</v>
      </c>
      <c r="H83" s="0" t="s">
        <v>2577</v>
      </c>
      <c r="I83" s="0" t="str">
        <f aca="false">HYPERLINK("https://omim.org/entry/241520", "241520")</f>
        <v>241520</v>
      </c>
      <c r="J83" s="0" t="s">
        <v>49</v>
      </c>
      <c r="K83" s="0" t="s">
        <v>49</v>
      </c>
      <c r="L83" s="0" t="s">
        <v>49</v>
      </c>
      <c r="M83" s="0" t="s">
        <v>49</v>
      </c>
      <c r="N83" s="0" t="s">
        <v>49</v>
      </c>
    </row>
    <row r="84" customFormat="false" ht="15" hidden="false" customHeight="false" outlineLevel="0" collapsed="false">
      <c r="A84" s="0" t="s">
        <v>2578</v>
      </c>
      <c r="B84" s="0" t="s">
        <v>1404</v>
      </c>
      <c r="C84" s="0" t="s">
        <v>1405</v>
      </c>
      <c r="D84" s="0" t="s">
        <v>1406</v>
      </c>
      <c r="E84" s="0" t="s">
        <v>1407</v>
      </c>
      <c r="F84" s="0" t="s">
        <v>2579</v>
      </c>
      <c r="G84" s="0" t="s">
        <v>2580</v>
      </c>
      <c r="H84" s="0" t="s">
        <v>2581</v>
      </c>
      <c r="I84" s="0" t="str">
        <f aca="false">HYPERLINK("https://omim.org/entry/160900", "160900")</f>
        <v>160900</v>
      </c>
      <c r="J84" s="0" t="s">
        <v>49</v>
      </c>
      <c r="K84" s="0" t="s">
        <v>49</v>
      </c>
      <c r="L84" s="0" t="s">
        <v>49</v>
      </c>
      <c r="M84" s="0" t="s">
        <v>49</v>
      </c>
      <c r="N84" s="0" t="s">
        <v>49</v>
      </c>
    </row>
    <row r="85" customFormat="false" ht="15" hidden="false" customHeight="false" outlineLevel="0" collapsed="false">
      <c r="A85" s="0" t="s">
        <v>2582</v>
      </c>
      <c r="B85" s="0" t="s">
        <v>221</v>
      </c>
      <c r="C85" s="0" t="s">
        <v>222</v>
      </c>
      <c r="D85" s="0" t="s">
        <v>223</v>
      </c>
      <c r="E85" s="0" t="s">
        <v>224</v>
      </c>
      <c r="F85" s="0" t="s">
        <v>49</v>
      </c>
      <c r="G85" s="0" t="s">
        <v>49</v>
      </c>
      <c r="H85" s="0" t="s">
        <v>49</v>
      </c>
      <c r="I85" s="0" t="str">
        <f aca="false">HYPERLINK("https://omim.org/entry/606763", "606763")</f>
        <v>606763</v>
      </c>
      <c r="J85" s="0" t="s">
        <v>49</v>
      </c>
      <c r="K85" s="0" t="s">
        <v>49</v>
      </c>
      <c r="L85" s="0" t="s">
        <v>49</v>
      </c>
      <c r="M85" s="0" t="s">
        <v>49</v>
      </c>
      <c r="N85" s="0" t="s">
        <v>49</v>
      </c>
    </row>
    <row r="86" customFormat="false" ht="15" hidden="false" customHeight="false" outlineLevel="0" collapsed="false">
      <c r="A86" s="0" t="s">
        <v>2583</v>
      </c>
      <c r="B86" s="0" t="s">
        <v>1938</v>
      </c>
      <c r="C86" s="0" t="s">
        <v>1939</v>
      </c>
      <c r="D86" s="0" t="s">
        <v>1940</v>
      </c>
      <c r="E86" s="0" t="s">
        <v>1941</v>
      </c>
      <c r="F86" s="0" t="s">
        <v>49</v>
      </c>
      <c r="G86" s="0" t="s">
        <v>2584</v>
      </c>
      <c r="H86" s="0" t="s">
        <v>2585</v>
      </c>
      <c r="I86" s="0" t="str">
        <f aca="false">HYPERLINK("https://omim.org/entry/608644", "608644")</f>
        <v>608644</v>
      </c>
      <c r="J86" s="0" t="str">
        <f aca="false">HYPERLINK("https://omim.org/entry/244400", "244400")</f>
        <v>244400</v>
      </c>
      <c r="K86" s="0" t="s">
        <v>49</v>
      </c>
      <c r="L86" s="0" t="s">
        <v>49</v>
      </c>
      <c r="M86" s="0" t="s">
        <v>49</v>
      </c>
      <c r="N86" s="0" t="s">
        <v>49</v>
      </c>
    </row>
    <row r="87" customFormat="false" ht="15" hidden="false" customHeight="false" outlineLevel="0" collapsed="false">
      <c r="A87" s="0" t="s">
        <v>2586</v>
      </c>
      <c r="B87" s="0" t="s">
        <v>1724</v>
      </c>
      <c r="C87" s="0" t="s">
        <v>2587</v>
      </c>
      <c r="D87" s="0" t="s">
        <v>1726</v>
      </c>
      <c r="E87" s="0" t="s">
        <v>1727</v>
      </c>
      <c r="F87" s="0" t="s">
        <v>49</v>
      </c>
      <c r="G87" s="0" t="s">
        <v>49</v>
      </c>
      <c r="H87" s="0" t="s">
        <v>49</v>
      </c>
      <c r="I87" s="0" t="str">
        <f aca="false">HYPERLINK("https://omim.org/entry/608799", "608799")</f>
        <v>608799</v>
      </c>
      <c r="J87" s="0" t="s">
        <v>49</v>
      </c>
      <c r="K87" s="0" t="s">
        <v>49</v>
      </c>
      <c r="L87" s="0" t="s">
        <v>49</v>
      </c>
      <c r="M87" s="0" t="s">
        <v>49</v>
      </c>
      <c r="N87" s="0" t="s">
        <v>49</v>
      </c>
    </row>
    <row r="88" customFormat="false" ht="15" hidden="false" customHeight="false" outlineLevel="0" collapsed="false">
      <c r="A88" s="0" t="s">
        <v>2588</v>
      </c>
      <c r="B88" s="0" t="s">
        <v>2252</v>
      </c>
      <c r="C88" s="0" t="s">
        <v>2253</v>
      </c>
      <c r="D88" s="0" t="s">
        <v>2254</v>
      </c>
      <c r="E88" s="0" t="s">
        <v>2255</v>
      </c>
      <c r="F88" s="0" t="s">
        <v>49</v>
      </c>
      <c r="G88" s="0" t="s">
        <v>2589</v>
      </c>
      <c r="H88" s="0" t="s">
        <v>2514</v>
      </c>
      <c r="I88" s="0" t="str">
        <f aca="false">HYPERLINK("https://omim.org/entry/615042", "615042")</f>
        <v>615042</v>
      </c>
      <c r="J88" s="0" t="s">
        <v>49</v>
      </c>
      <c r="K88" s="0" t="s">
        <v>49</v>
      </c>
      <c r="L88" s="0" t="s">
        <v>49</v>
      </c>
      <c r="M88" s="0" t="s">
        <v>49</v>
      </c>
      <c r="N88" s="0" t="s">
        <v>49</v>
      </c>
    </row>
    <row r="89" customFormat="false" ht="15" hidden="false" customHeight="false" outlineLevel="0" collapsed="false">
      <c r="A89" s="0" t="s">
        <v>2590</v>
      </c>
      <c r="B89" s="0" t="s">
        <v>447</v>
      </c>
      <c r="C89" s="0" t="s">
        <v>448</v>
      </c>
      <c r="D89" s="0" t="s">
        <v>449</v>
      </c>
      <c r="E89" s="0" t="s">
        <v>49</v>
      </c>
      <c r="F89" s="0" t="s">
        <v>49</v>
      </c>
      <c r="G89" s="0" t="s">
        <v>2591</v>
      </c>
      <c r="H89" s="0" t="s">
        <v>2422</v>
      </c>
      <c r="I89" s="0" t="s">
        <v>49</v>
      </c>
      <c r="J89" s="0" t="s">
        <v>49</v>
      </c>
      <c r="K89" s="0" t="s">
        <v>49</v>
      </c>
      <c r="L89" s="0" t="s">
        <v>49</v>
      </c>
      <c r="M89" s="0" t="s">
        <v>49</v>
      </c>
      <c r="N89" s="0" t="s">
        <v>49</v>
      </c>
    </row>
    <row r="90" customFormat="false" ht="15" hidden="false" customHeight="false" outlineLevel="0" collapsed="false">
      <c r="A90" s="0" t="s">
        <v>2592</v>
      </c>
      <c r="B90" s="0" t="s">
        <v>681</v>
      </c>
      <c r="C90" s="0" t="s">
        <v>682</v>
      </c>
      <c r="D90" s="0" t="s">
        <v>49</v>
      </c>
      <c r="E90" s="0" t="s">
        <v>49</v>
      </c>
      <c r="F90" s="0" t="s">
        <v>49</v>
      </c>
      <c r="G90" s="0" t="s">
        <v>49</v>
      </c>
      <c r="H90" s="0" t="s">
        <v>49</v>
      </c>
      <c r="I90" s="0" t="s">
        <v>49</v>
      </c>
      <c r="J90" s="0" t="s">
        <v>49</v>
      </c>
      <c r="K90" s="0" t="s">
        <v>49</v>
      </c>
      <c r="L90" s="0" t="s">
        <v>49</v>
      </c>
      <c r="M90" s="0" t="s">
        <v>49</v>
      </c>
      <c r="N90" s="0" t="s">
        <v>49</v>
      </c>
    </row>
    <row r="91" customFormat="false" ht="15" hidden="false" customHeight="false" outlineLevel="0" collapsed="false">
      <c r="A91" s="0" t="s">
        <v>2593</v>
      </c>
      <c r="B91" s="0" t="s">
        <v>49</v>
      </c>
      <c r="C91" s="0" t="s">
        <v>1139</v>
      </c>
      <c r="D91" s="0" t="s">
        <v>1140</v>
      </c>
      <c r="E91" s="0" t="s">
        <v>49</v>
      </c>
      <c r="F91" s="0" t="s">
        <v>49</v>
      </c>
      <c r="G91" s="0" t="s">
        <v>49</v>
      </c>
      <c r="H91" s="0" t="s">
        <v>49</v>
      </c>
      <c r="I91" s="0" t="s">
        <v>49</v>
      </c>
      <c r="J91" s="0" t="s">
        <v>49</v>
      </c>
      <c r="K91" s="0" t="s">
        <v>49</v>
      </c>
      <c r="L91" s="0" t="s">
        <v>49</v>
      </c>
      <c r="M91" s="0" t="s">
        <v>49</v>
      </c>
      <c r="N91" s="0" t="s">
        <v>49</v>
      </c>
    </row>
    <row r="92" customFormat="false" ht="15" hidden="false" customHeight="false" outlineLevel="0" collapsed="false">
      <c r="A92" s="0" t="s">
        <v>2594</v>
      </c>
      <c r="B92" s="0" t="s">
        <v>1030</v>
      </c>
      <c r="C92" s="0" t="s">
        <v>1031</v>
      </c>
      <c r="D92" s="0" t="s">
        <v>1032</v>
      </c>
      <c r="E92" s="0" t="s">
        <v>1033</v>
      </c>
      <c r="F92" s="0" t="s">
        <v>49</v>
      </c>
      <c r="G92" s="0" t="s">
        <v>2595</v>
      </c>
      <c r="H92" s="0" t="s">
        <v>2596</v>
      </c>
      <c r="I92" s="0" t="str">
        <f aca="false">HYPERLINK("https://omim.org/entry/603896", "603896")</f>
        <v>603896</v>
      </c>
      <c r="J92" s="0" t="s">
        <v>49</v>
      </c>
      <c r="K92" s="0" t="s">
        <v>49</v>
      </c>
      <c r="L92" s="0" t="s">
        <v>49</v>
      </c>
      <c r="M92" s="0" t="s">
        <v>49</v>
      </c>
      <c r="N92" s="0" t="s">
        <v>49</v>
      </c>
    </row>
    <row r="93" customFormat="false" ht="15" hidden="false" customHeight="false" outlineLevel="0" collapsed="false">
      <c r="A93" s="0" t="s">
        <v>2597</v>
      </c>
      <c r="B93" s="0" t="s">
        <v>49</v>
      </c>
      <c r="C93" s="0" t="s">
        <v>575</v>
      </c>
      <c r="D93" s="0" t="s">
        <v>49</v>
      </c>
      <c r="E93" s="0" t="s">
        <v>49</v>
      </c>
      <c r="F93" s="0" t="s">
        <v>49</v>
      </c>
      <c r="G93" s="0" t="s">
        <v>49</v>
      </c>
      <c r="H93" s="0" t="s">
        <v>49</v>
      </c>
      <c r="I93" s="0" t="s">
        <v>49</v>
      </c>
      <c r="J93" s="0" t="s">
        <v>49</v>
      </c>
      <c r="K93" s="0" t="s">
        <v>49</v>
      </c>
      <c r="L93" s="0" t="s">
        <v>49</v>
      </c>
      <c r="M93" s="0" t="s">
        <v>49</v>
      </c>
      <c r="N93" s="0" t="s">
        <v>49</v>
      </c>
    </row>
    <row r="94" customFormat="false" ht="15" hidden="false" customHeight="false" outlineLevel="0" collapsed="false">
      <c r="A94" s="0" t="s">
        <v>2598</v>
      </c>
      <c r="B94" s="0" t="s">
        <v>2073</v>
      </c>
      <c r="C94" s="0" t="s">
        <v>2074</v>
      </c>
      <c r="D94" s="0" t="s">
        <v>2075</v>
      </c>
      <c r="E94" s="0" t="s">
        <v>2076</v>
      </c>
      <c r="F94" s="0" t="s">
        <v>2599</v>
      </c>
      <c r="G94" s="0" t="s">
        <v>2600</v>
      </c>
      <c r="H94" s="0" t="s">
        <v>2601</v>
      </c>
      <c r="I94" s="0" t="str">
        <f aca="false">HYPERLINK("https://omim.org/entry/602475", "602475")</f>
        <v>602475</v>
      </c>
      <c r="J94" s="0" t="str">
        <f aca="false">HYPERLINK("https://omim.org/entry/208000", "208000")</f>
        <v>208000</v>
      </c>
      <c r="K94" s="0" t="str">
        <f aca="false">HYPERLINK("https://omim.org/entry/125853", "125853")</f>
        <v>125853</v>
      </c>
      <c r="L94" s="0" t="str">
        <f aca="false">HYPERLINK("https://omim.org/entry/613312", "613312")</f>
        <v>613312</v>
      </c>
      <c r="M94" s="0" t="str">
        <f aca="false">HYPERLINK("https://omim.org/entry/615522", "615522")</f>
        <v>615522</v>
      </c>
      <c r="N94" s="0" t="s">
        <v>49</v>
      </c>
    </row>
    <row r="95" customFormat="false" ht="15" hidden="false" customHeight="false" outlineLevel="0" collapsed="false">
      <c r="A95" s="0" t="s">
        <v>2602</v>
      </c>
      <c r="B95" s="0" t="s">
        <v>232</v>
      </c>
      <c r="C95" s="0" t="s">
        <v>233</v>
      </c>
      <c r="D95" s="0" t="s">
        <v>234</v>
      </c>
      <c r="E95" s="0" t="s">
        <v>235</v>
      </c>
      <c r="F95" s="0" t="s">
        <v>49</v>
      </c>
      <c r="G95" s="0" t="s">
        <v>2603</v>
      </c>
      <c r="H95" s="0" t="s">
        <v>2604</v>
      </c>
      <c r="I95" s="0" t="str">
        <f aca="false">HYPERLINK("https://omim.org/entry/613684", "613684")</f>
        <v>613684</v>
      </c>
      <c r="J95" s="0" t="s">
        <v>49</v>
      </c>
      <c r="K95" s="0" t="s">
        <v>49</v>
      </c>
      <c r="L95" s="0" t="s">
        <v>49</v>
      </c>
      <c r="M95" s="0" t="s">
        <v>49</v>
      </c>
      <c r="N95" s="0" t="s">
        <v>49</v>
      </c>
    </row>
    <row r="96" customFormat="false" ht="15" hidden="false" customHeight="false" outlineLevel="0" collapsed="false">
      <c r="A96" s="0" t="s">
        <v>2605</v>
      </c>
      <c r="B96" s="0" t="s">
        <v>654</v>
      </c>
      <c r="C96" s="0" t="s">
        <v>655</v>
      </c>
      <c r="D96" s="0" t="s">
        <v>656</v>
      </c>
      <c r="E96" s="0" t="s">
        <v>49</v>
      </c>
      <c r="F96" s="0" t="s">
        <v>2606</v>
      </c>
      <c r="G96" s="0" t="s">
        <v>2607</v>
      </c>
      <c r="H96" s="0" t="s">
        <v>2608</v>
      </c>
      <c r="I96" s="0" t="s">
        <v>49</v>
      </c>
      <c r="J96" s="0" t="s">
        <v>49</v>
      </c>
      <c r="K96" s="0" t="s">
        <v>49</v>
      </c>
      <c r="L96" s="0" t="s">
        <v>49</v>
      </c>
      <c r="M96" s="0" t="s">
        <v>49</v>
      </c>
      <c r="N96" s="0" t="s">
        <v>49</v>
      </c>
    </row>
    <row r="97" customFormat="false" ht="15" hidden="false" customHeight="false" outlineLevel="0" collapsed="false">
      <c r="A97" s="0" t="s">
        <v>2609</v>
      </c>
      <c r="B97" s="0" t="s">
        <v>1012</v>
      </c>
      <c r="C97" s="0" t="s">
        <v>1013</v>
      </c>
      <c r="D97" s="0" t="s">
        <v>1014</v>
      </c>
      <c r="E97" s="0" t="s">
        <v>49</v>
      </c>
      <c r="F97" s="0" t="s">
        <v>2610</v>
      </c>
      <c r="G97" s="0" t="s">
        <v>2611</v>
      </c>
      <c r="H97" s="0" t="s">
        <v>49</v>
      </c>
      <c r="I97" s="0" t="s">
        <v>49</v>
      </c>
      <c r="J97" s="0" t="s">
        <v>49</v>
      </c>
      <c r="K97" s="0" t="s">
        <v>49</v>
      </c>
      <c r="L97" s="0" t="s">
        <v>49</v>
      </c>
      <c r="M97" s="0" t="s">
        <v>49</v>
      </c>
      <c r="N97" s="0" t="s">
        <v>49</v>
      </c>
    </row>
    <row r="98" customFormat="false" ht="15" hidden="false" customHeight="false" outlineLevel="0" collapsed="false">
      <c r="A98" s="0" t="s">
        <v>2612</v>
      </c>
      <c r="B98" s="0" t="s">
        <v>1817</v>
      </c>
      <c r="C98" s="0" t="s">
        <v>1818</v>
      </c>
      <c r="D98" s="0" t="s">
        <v>1819</v>
      </c>
      <c r="E98" s="0" t="s">
        <v>49</v>
      </c>
      <c r="F98" s="0" t="s">
        <v>49</v>
      </c>
      <c r="G98" s="0" t="s">
        <v>2613</v>
      </c>
      <c r="H98" s="0" t="s">
        <v>2614</v>
      </c>
      <c r="I98" s="0" t="s">
        <v>49</v>
      </c>
      <c r="J98" s="0" t="s">
        <v>49</v>
      </c>
      <c r="K98" s="0" t="s">
        <v>49</v>
      </c>
      <c r="L98" s="0" t="s">
        <v>49</v>
      </c>
      <c r="M98" s="0" t="s">
        <v>49</v>
      </c>
      <c r="N98" s="0" t="s">
        <v>49</v>
      </c>
    </row>
    <row r="99" customFormat="false" ht="15" hidden="false" customHeight="false" outlineLevel="0" collapsed="false">
      <c r="A99" s="0" t="s">
        <v>2615</v>
      </c>
      <c r="B99" s="0" t="s">
        <v>2285</v>
      </c>
      <c r="C99" s="0" t="s">
        <v>2286</v>
      </c>
      <c r="D99" s="0" t="s">
        <v>49</v>
      </c>
      <c r="E99" s="0" t="s">
        <v>49</v>
      </c>
      <c r="F99" s="0" t="s">
        <v>49</v>
      </c>
      <c r="G99" s="0" t="s">
        <v>2616</v>
      </c>
      <c r="H99" s="0" t="s">
        <v>2617</v>
      </c>
      <c r="I99" s="0" t="s">
        <v>49</v>
      </c>
      <c r="J99" s="0" t="s">
        <v>49</v>
      </c>
      <c r="K99" s="0" t="s">
        <v>49</v>
      </c>
      <c r="L99" s="0" t="s">
        <v>49</v>
      </c>
      <c r="M99" s="0" t="s">
        <v>49</v>
      </c>
      <c r="N99" s="0" t="s">
        <v>49</v>
      </c>
    </row>
    <row r="100" customFormat="false" ht="15" hidden="false" customHeight="false" outlineLevel="0" collapsed="false">
      <c r="A100" s="0" t="s">
        <v>2618</v>
      </c>
      <c r="B100" s="0" t="s">
        <v>1550</v>
      </c>
      <c r="C100" s="0" t="s">
        <v>1551</v>
      </c>
      <c r="D100" s="0" t="s">
        <v>49</v>
      </c>
      <c r="E100" s="0" t="s">
        <v>49</v>
      </c>
      <c r="F100" s="0" t="s">
        <v>49</v>
      </c>
      <c r="G100" s="0" t="s">
        <v>49</v>
      </c>
      <c r="H100" s="0" t="s">
        <v>49</v>
      </c>
      <c r="I100" s="0" t="s">
        <v>49</v>
      </c>
      <c r="J100" s="0" t="s">
        <v>49</v>
      </c>
      <c r="K100" s="0" t="s">
        <v>49</v>
      </c>
      <c r="L100" s="0" t="s">
        <v>49</v>
      </c>
      <c r="M100" s="0" t="s">
        <v>49</v>
      </c>
      <c r="N100" s="0" t="s">
        <v>49</v>
      </c>
    </row>
    <row r="101" customFormat="false" ht="15" hidden="false" customHeight="false" outlineLevel="0" collapsed="false">
      <c r="A101" s="0" t="s">
        <v>2619</v>
      </c>
      <c r="B101" s="0" t="s">
        <v>49</v>
      </c>
      <c r="C101" s="0" t="s">
        <v>1895</v>
      </c>
      <c r="D101" s="0" t="s">
        <v>49</v>
      </c>
      <c r="E101" s="0" t="s">
        <v>49</v>
      </c>
      <c r="F101" s="0" t="s">
        <v>49</v>
      </c>
      <c r="G101" s="0" t="s">
        <v>2620</v>
      </c>
      <c r="H101" s="0" t="s">
        <v>2359</v>
      </c>
      <c r="I101" s="0" t="s">
        <v>49</v>
      </c>
      <c r="J101" s="0" t="s">
        <v>49</v>
      </c>
      <c r="K101" s="0" t="s">
        <v>49</v>
      </c>
      <c r="L101" s="0" t="s">
        <v>49</v>
      </c>
      <c r="M101" s="0" t="s">
        <v>49</v>
      </c>
      <c r="N101" s="0" t="s">
        <v>49</v>
      </c>
    </row>
    <row r="102" customFormat="false" ht="15" hidden="false" customHeight="false" outlineLevel="0" collapsed="false">
      <c r="A102" s="0" t="s">
        <v>2621</v>
      </c>
      <c r="B102" s="0" t="s">
        <v>317</v>
      </c>
      <c r="C102" s="0" t="s">
        <v>318</v>
      </c>
      <c r="D102" s="0" t="s">
        <v>319</v>
      </c>
      <c r="E102" s="0" t="s">
        <v>320</v>
      </c>
      <c r="F102" s="0" t="s">
        <v>2622</v>
      </c>
      <c r="G102" s="0" t="s">
        <v>2623</v>
      </c>
      <c r="H102" s="0" t="s">
        <v>2624</v>
      </c>
      <c r="I102" s="0" t="str">
        <f aca="false">HYPERLINK("https://omim.org/entry/259775", "259775")</f>
        <v>259775</v>
      </c>
      <c r="J102" s="0" t="s">
        <v>49</v>
      </c>
      <c r="K102" s="0" t="s">
        <v>49</v>
      </c>
      <c r="L102" s="0" t="s">
        <v>49</v>
      </c>
      <c r="M102" s="0" t="s">
        <v>49</v>
      </c>
      <c r="N102" s="0" t="s">
        <v>49</v>
      </c>
    </row>
    <row r="103" customFormat="false" ht="15" hidden="false" customHeight="false" outlineLevel="0" collapsed="false">
      <c r="A103" s="0" t="s">
        <v>2625</v>
      </c>
      <c r="B103" s="0" t="s">
        <v>1999</v>
      </c>
      <c r="C103" s="0" t="s">
        <v>2000</v>
      </c>
      <c r="D103" s="0" t="s">
        <v>2001</v>
      </c>
      <c r="E103" s="0" t="s">
        <v>2002</v>
      </c>
      <c r="F103" s="0" t="s">
        <v>2626</v>
      </c>
      <c r="G103" s="0" t="s">
        <v>2627</v>
      </c>
      <c r="H103" s="0" t="s">
        <v>2628</v>
      </c>
      <c r="I103" s="0" t="s">
        <v>49</v>
      </c>
      <c r="J103" s="0" t="s">
        <v>49</v>
      </c>
      <c r="K103" s="0" t="s">
        <v>49</v>
      </c>
      <c r="L103" s="0" t="s">
        <v>49</v>
      </c>
      <c r="M103" s="0" t="s">
        <v>49</v>
      </c>
      <c r="N103" s="0" t="s">
        <v>49</v>
      </c>
    </row>
    <row r="104" customFormat="false" ht="15" hidden="false" customHeight="false" outlineLevel="0" collapsed="false">
      <c r="A104" s="0" t="s">
        <v>2629</v>
      </c>
      <c r="B104" s="0" t="s">
        <v>49</v>
      </c>
      <c r="C104" s="0" t="s">
        <v>620</v>
      </c>
      <c r="D104" s="0" t="s">
        <v>621</v>
      </c>
      <c r="E104" s="0" t="s">
        <v>49</v>
      </c>
      <c r="F104" s="0" t="s">
        <v>2630</v>
      </c>
      <c r="G104" s="0" t="s">
        <v>2631</v>
      </c>
      <c r="H104" s="0" t="s">
        <v>49</v>
      </c>
      <c r="I104" s="0" t="s">
        <v>49</v>
      </c>
      <c r="J104" s="0" t="s">
        <v>49</v>
      </c>
      <c r="K104" s="0" t="s">
        <v>49</v>
      </c>
      <c r="L104" s="0" t="s">
        <v>49</v>
      </c>
      <c r="M104" s="0" t="s">
        <v>49</v>
      </c>
      <c r="N104" s="0" t="s">
        <v>49</v>
      </c>
    </row>
    <row r="105" customFormat="false" ht="15" hidden="false" customHeight="false" outlineLevel="0" collapsed="false">
      <c r="A105" s="0" t="s">
        <v>2632</v>
      </c>
      <c r="B105" s="0" t="s">
        <v>49</v>
      </c>
      <c r="C105" s="0" t="s">
        <v>1833</v>
      </c>
      <c r="D105" s="0" t="s">
        <v>49</v>
      </c>
      <c r="E105" s="0" t="s">
        <v>49</v>
      </c>
      <c r="F105" s="0" t="s">
        <v>49</v>
      </c>
      <c r="G105" s="0" t="s">
        <v>49</v>
      </c>
      <c r="H105" s="0" t="s">
        <v>49</v>
      </c>
      <c r="I105" s="0" t="s">
        <v>49</v>
      </c>
      <c r="J105" s="0" t="s">
        <v>49</v>
      </c>
      <c r="K105" s="0" t="s">
        <v>49</v>
      </c>
      <c r="L105" s="0" t="s">
        <v>49</v>
      </c>
      <c r="M105" s="0" t="s">
        <v>49</v>
      </c>
      <c r="N105" s="0" t="s">
        <v>49</v>
      </c>
    </row>
    <row r="106" customFormat="false" ht="15" hidden="false" customHeight="false" outlineLevel="0" collapsed="false">
      <c r="A106" s="0" t="s">
        <v>2633</v>
      </c>
      <c r="B106" s="0" t="s">
        <v>1343</v>
      </c>
      <c r="C106" s="0" t="s">
        <v>1344</v>
      </c>
      <c r="D106" s="0" t="s">
        <v>1345</v>
      </c>
      <c r="E106" s="0" t="s">
        <v>49</v>
      </c>
      <c r="F106" s="0" t="s">
        <v>2634</v>
      </c>
      <c r="G106" s="0" t="s">
        <v>2635</v>
      </c>
      <c r="H106" s="0" t="s">
        <v>2636</v>
      </c>
      <c r="I106" s="0" t="s">
        <v>49</v>
      </c>
      <c r="J106" s="0" t="s">
        <v>49</v>
      </c>
      <c r="K106" s="0" t="s">
        <v>49</v>
      </c>
      <c r="L106" s="0" t="s">
        <v>49</v>
      </c>
      <c r="M106" s="0" t="s">
        <v>49</v>
      </c>
      <c r="N106" s="0" t="s">
        <v>49</v>
      </c>
    </row>
    <row r="107" customFormat="false" ht="15" hidden="false" customHeight="false" outlineLevel="0" collapsed="false">
      <c r="A107" s="0" t="s">
        <v>2637</v>
      </c>
      <c r="B107" s="0" t="s">
        <v>462</v>
      </c>
      <c r="C107" s="0" t="s">
        <v>463</v>
      </c>
      <c r="D107" s="0" t="s">
        <v>464</v>
      </c>
      <c r="E107" s="0" t="s">
        <v>49</v>
      </c>
      <c r="F107" s="0" t="s">
        <v>2638</v>
      </c>
      <c r="G107" s="0" t="s">
        <v>2639</v>
      </c>
      <c r="H107" s="0" t="s">
        <v>2640</v>
      </c>
      <c r="I107" s="0" t="s">
        <v>49</v>
      </c>
      <c r="J107" s="0" t="s">
        <v>49</v>
      </c>
      <c r="K107" s="0" t="s">
        <v>49</v>
      </c>
      <c r="L107" s="0" t="s">
        <v>49</v>
      </c>
      <c r="M107" s="0" t="s">
        <v>49</v>
      </c>
      <c r="N107" s="0" t="s">
        <v>49</v>
      </c>
    </row>
    <row r="108" customFormat="false" ht="15" hidden="false" customHeight="false" outlineLevel="0" collapsed="false">
      <c r="A108" s="0" t="s">
        <v>2641</v>
      </c>
      <c r="B108" s="0" t="s">
        <v>301</v>
      </c>
      <c r="C108" s="0" t="s">
        <v>302</v>
      </c>
      <c r="D108" s="0" t="s">
        <v>303</v>
      </c>
      <c r="E108" s="0" t="s">
        <v>304</v>
      </c>
      <c r="F108" s="0" t="s">
        <v>2642</v>
      </c>
      <c r="G108" s="0" t="s">
        <v>2643</v>
      </c>
      <c r="H108" s="0" t="s">
        <v>2644</v>
      </c>
      <c r="I108" s="0" t="str">
        <f aca="false">HYPERLINK("https://omim.org/entry/609524", "609524")</f>
        <v>609524</v>
      </c>
      <c r="J108" s="0" t="str">
        <f aca="false">HYPERLINK("https://omim.org/entry/614065", "614065")</f>
        <v>614065</v>
      </c>
      <c r="K108" s="0" t="s">
        <v>49</v>
      </c>
      <c r="L108" s="0" t="s">
        <v>49</v>
      </c>
      <c r="M108" s="0" t="s">
        <v>49</v>
      </c>
      <c r="N108" s="0" t="s">
        <v>49</v>
      </c>
    </row>
    <row r="109" customFormat="false" ht="15" hidden="false" customHeight="false" outlineLevel="0" collapsed="false">
      <c r="A109" s="0" t="s">
        <v>2645</v>
      </c>
      <c r="B109" s="0" t="s">
        <v>1932</v>
      </c>
      <c r="C109" s="0" t="s">
        <v>1933</v>
      </c>
      <c r="D109" s="0" t="s">
        <v>1934</v>
      </c>
      <c r="E109" s="0" t="s">
        <v>49</v>
      </c>
      <c r="F109" s="0" t="s">
        <v>2646</v>
      </c>
      <c r="G109" s="0" t="s">
        <v>2647</v>
      </c>
      <c r="H109" s="0" t="s">
        <v>2648</v>
      </c>
      <c r="I109" s="0" t="s">
        <v>49</v>
      </c>
      <c r="J109" s="0" t="s">
        <v>49</v>
      </c>
      <c r="K109" s="0" t="s">
        <v>49</v>
      </c>
      <c r="L109" s="0" t="s">
        <v>49</v>
      </c>
      <c r="M109" s="0" t="s">
        <v>49</v>
      </c>
      <c r="N109" s="0" t="s">
        <v>49</v>
      </c>
    </row>
    <row r="110" customFormat="false" ht="15" hidden="false" customHeight="false" outlineLevel="0" collapsed="false">
      <c r="A110" s="0" t="s">
        <v>2649</v>
      </c>
      <c r="B110" s="0" t="s">
        <v>2650</v>
      </c>
      <c r="C110" s="0" t="s">
        <v>2651</v>
      </c>
      <c r="D110" s="0" t="s">
        <v>2507</v>
      </c>
      <c r="E110" s="0" t="s">
        <v>49</v>
      </c>
      <c r="F110" s="0" t="s">
        <v>49</v>
      </c>
      <c r="G110" s="0" t="s">
        <v>2652</v>
      </c>
      <c r="H110" s="0" t="s">
        <v>2653</v>
      </c>
      <c r="I110" s="0" t="s">
        <v>49</v>
      </c>
      <c r="J110" s="0" t="s">
        <v>49</v>
      </c>
      <c r="K110" s="0" t="s">
        <v>49</v>
      </c>
      <c r="L110" s="0" t="s">
        <v>49</v>
      </c>
      <c r="M110" s="0" t="s">
        <v>49</v>
      </c>
      <c r="N110" s="0" t="s">
        <v>49</v>
      </c>
    </row>
    <row r="111" customFormat="false" ht="15" hidden="false" customHeight="false" outlineLevel="0" collapsed="false">
      <c r="A111" s="0" t="s">
        <v>2654</v>
      </c>
      <c r="B111" s="0" t="s">
        <v>2655</v>
      </c>
      <c r="C111" s="0" t="s">
        <v>2656</v>
      </c>
      <c r="D111" s="0" t="s">
        <v>2657</v>
      </c>
      <c r="E111" s="0" t="s">
        <v>2658</v>
      </c>
      <c r="F111" s="0" t="s">
        <v>2659</v>
      </c>
      <c r="G111" s="0" t="s">
        <v>2660</v>
      </c>
      <c r="H111" s="0" t="s">
        <v>2661</v>
      </c>
      <c r="I111" s="0" t="str">
        <f aca="false">HYPERLINK("https://omim.org/entry/616117", "616117")</f>
        <v>616117</v>
      </c>
      <c r="J111" s="0" t="s">
        <v>49</v>
      </c>
      <c r="K111" s="0" t="s">
        <v>49</v>
      </c>
      <c r="L111" s="0" t="s">
        <v>49</v>
      </c>
      <c r="M111" s="0" t="s">
        <v>49</v>
      </c>
      <c r="N111" s="0" t="s">
        <v>49</v>
      </c>
    </row>
    <row r="112" customFormat="false" ht="15" hidden="false" customHeight="false" outlineLevel="0" collapsed="false">
      <c r="A112" s="0" t="s">
        <v>2662</v>
      </c>
      <c r="B112" s="0" t="s">
        <v>2005</v>
      </c>
      <c r="C112" s="0" t="s">
        <v>2006</v>
      </c>
      <c r="D112" s="0" t="s">
        <v>2007</v>
      </c>
      <c r="E112" s="0" t="s">
        <v>49</v>
      </c>
      <c r="F112" s="0" t="s">
        <v>2663</v>
      </c>
      <c r="G112" s="0" t="s">
        <v>2664</v>
      </c>
      <c r="H112" s="0" t="s">
        <v>49</v>
      </c>
      <c r="I112" s="0" t="s">
        <v>49</v>
      </c>
      <c r="J112" s="0" t="s">
        <v>49</v>
      </c>
      <c r="K112" s="0" t="s">
        <v>49</v>
      </c>
      <c r="L112" s="0" t="s">
        <v>49</v>
      </c>
      <c r="M112" s="0" t="s">
        <v>49</v>
      </c>
      <c r="N112" s="0" t="s">
        <v>49</v>
      </c>
    </row>
    <row r="113" customFormat="false" ht="15" hidden="false" customHeight="false" outlineLevel="0" collapsed="false">
      <c r="A113" s="0" t="s">
        <v>2665</v>
      </c>
      <c r="B113" s="0" t="s">
        <v>1099</v>
      </c>
      <c r="C113" s="0" t="s">
        <v>1100</v>
      </c>
      <c r="D113" s="0" t="s">
        <v>1101</v>
      </c>
      <c r="E113" s="0" t="s">
        <v>49</v>
      </c>
      <c r="F113" s="0" t="s">
        <v>49</v>
      </c>
      <c r="G113" s="0" t="s">
        <v>2666</v>
      </c>
      <c r="H113" s="0" t="s">
        <v>2667</v>
      </c>
      <c r="I113" s="0" t="s">
        <v>49</v>
      </c>
      <c r="J113" s="0" t="s">
        <v>49</v>
      </c>
      <c r="K113" s="0" t="s">
        <v>49</v>
      </c>
      <c r="L113" s="0" t="s">
        <v>49</v>
      </c>
      <c r="M113" s="0" t="s">
        <v>49</v>
      </c>
      <c r="N113" s="0" t="s">
        <v>49</v>
      </c>
    </row>
    <row r="114" customFormat="false" ht="15" hidden="false" customHeight="false" outlineLevel="0" collapsed="false">
      <c r="A114" s="0" t="s">
        <v>2668</v>
      </c>
      <c r="B114" s="0" t="s">
        <v>1042</v>
      </c>
      <c r="C114" s="0" t="s">
        <v>1043</v>
      </c>
      <c r="D114" s="0" t="s">
        <v>1044</v>
      </c>
      <c r="E114" s="0" t="s">
        <v>1045</v>
      </c>
      <c r="F114" s="0" t="s">
        <v>2669</v>
      </c>
      <c r="G114" s="0" t="s">
        <v>2670</v>
      </c>
      <c r="H114" s="0" t="s">
        <v>2671</v>
      </c>
      <c r="I114" s="0" t="str">
        <f aca="false">HYPERLINK("https://omim.org/entry/245200", "245200")</f>
        <v>245200</v>
      </c>
      <c r="J114" s="0" t="s">
        <v>49</v>
      </c>
      <c r="K114" s="0" t="s">
        <v>49</v>
      </c>
      <c r="L114" s="0" t="s">
        <v>49</v>
      </c>
      <c r="M114" s="0" t="s">
        <v>49</v>
      </c>
      <c r="N114" s="0" t="s">
        <v>49</v>
      </c>
    </row>
    <row r="115" customFormat="false" ht="15" hidden="false" customHeight="false" outlineLevel="0" collapsed="false">
      <c r="A115" s="0" t="s">
        <v>2672</v>
      </c>
      <c r="B115" s="0" t="s">
        <v>294</v>
      </c>
      <c r="C115" s="0" t="s">
        <v>295</v>
      </c>
      <c r="D115" s="0" t="s">
        <v>296</v>
      </c>
      <c r="E115" s="0" t="s">
        <v>297</v>
      </c>
      <c r="F115" s="0" t="s">
        <v>2673</v>
      </c>
      <c r="G115" s="0" t="s">
        <v>49</v>
      </c>
      <c r="H115" s="0" t="s">
        <v>49</v>
      </c>
      <c r="I115" s="0" t="str">
        <f aca="false">HYPERLINK("https://omim.org/entry/600794", "600794")</f>
        <v>600794</v>
      </c>
      <c r="J115" s="0" t="s">
        <v>49</v>
      </c>
      <c r="K115" s="0" t="s">
        <v>49</v>
      </c>
      <c r="L115" s="0" t="s">
        <v>49</v>
      </c>
      <c r="M115" s="0" t="s">
        <v>49</v>
      </c>
      <c r="N115" s="0" t="s">
        <v>49</v>
      </c>
    </row>
    <row r="116" customFormat="false" ht="15" hidden="false" customHeight="false" outlineLevel="0" collapsed="false">
      <c r="A116" s="0" t="s">
        <v>2674</v>
      </c>
      <c r="B116" s="0" t="s">
        <v>1767</v>
      </c>
      <c r="C116" s="0" t="s">
        <v>1768</v>
      </c>
      <c r="D116" s="0" t="s">
        <v>1769</v>
      </c>
      <c r="E116" s="0" t="s">
        <v>1770</v>
      </c>
      <c r="F116" s="0" t="s">
        <v>2675</v>
      </c>
      <c r="G116" s="0" t="s">
        <v>2676</v>
      </c>
      <c r="H116" s="0" t="s">
        <v>49</v>
      </c>
      <c r="I116" s="0" t="str">
        <f aca="false">HYPERLINK("https://omim.org/entry/231950", "231950")</f>
        <v>231950</v>
      </c>
      <c r="J116" s="0" t="s">
        <v>49</v>
      </c>
      <c r="K116" s="0" t="s">
        <v>49</v>
      </c>
      <c r="L116" s="0" t="s">
        <v>49</v>
      </c>
      <c r="M116" s="0" t="s">
        <v>49</v>
      </c>
      <c r="N116" s="0" t="s">
        <v>49</v>
      </c>
    </row>
    <row r="117" customFormat="false" ht="15" hidden="false" customHeight="false" outlineLevel="0" collapsed="false">
      <c r="A117" s="0" t="s">
        <v>2677</v>
      </c>
      <c r="B117" s="0" t="s">
        <v>392</v>
      </c>
      <c r="C117" s="0" t="s">
        <v>393</v>
      </c>
      <c r="D117" s="0" t="s">
        <v>49</v>
      </c>
      <c r="E117" s="0" t="s">
        <v>49</v>
      </c>
      <c r="F117" s="0" t="s">
        <v>2678</v>
      </c>
      <c r="G117" s="0" t="s">
        <v>49</v>
      </c>
      <c r="H117" s="0" t="s">
        <v>49</v>
      </c>
      <c r="I117" s="0" t="s">
        <v>49</v>
      </c>
      <c r="J117" s="0" t="s">
        <v>49</v>
      </c>
      <c r="K117" s="0" t="s">
        <v>49</v>
      </c>
      <c r="L117" s="0" t="s">
        <v>49</v>
      </c>
      <c r="M117" s="0" t="s">
        <v>49</v>
      </c>
      <c r="N117" s="0" t="s">
        <v>49</v>
      </c>
    </row>
    <row r="118" customFormat="false" ht="15" hidden="false" customHeight="false" outlineLevel="0" collapsed="false">
      <c r="A118" s="0" t="s">
        <v>2679</v>
      </c>
      <c r="B118" s="0" t="s">
        <v>1950</v>
      </c>
      <c r="C118" s="0" t="s">
        <v>1951</v>
      </c>
      <c r="D118" s="0" t="s">
        <v>1952</v>
      </c>
      <c r="E118" s="0" t="s">
        <v>1953</v>
      </c>
      <c r="F118" s="0" t="s">
        <v>2680</v>
      </c>
      <c r="G118" s="0" t="s">
        <v>2681</v>
      </c>
      <c r="H118" s="0" t="s">
        <v>2682</v>
      </c>
      <c r="I118" s="0" t="str">
        <f aca="false">HYPERLINK("https://omim.org/entry/262500", "262500")</f>
        <v>262500</v>
      </c>
      <c r="J118" s="0" t="str">
        <f aca="false">HYPERLINK("https://omim.org/entry/604271", "604271")</f>
        <v>604271</v>
      </c>
      <c r="K118" s="0" t="s">
        <v>49</v>
      </c>
      <c r="L118" s="0" t="s">
        <v>49</v>
      </c>
      <c r="M118" s="0" t="s">
        <v>49</v>
      </c>
      <c r="N118" s="0" t="s">
        <v>49</v>
      </c>
    </row>
    <row r="119" customFormat="false" ht="15" hidden="false" customHeight="false" outlineLevel="0" collapsed="false">
      <c r="A119" s="0" t="s">
        <v>2683</v>
      </c>
      <c r="B119" s="0" t="s">
        <v>1683</v>
      </c>
      <c r="C119" s="0" t="s">
        <v>1684</v>
      </c>
      <c r="D119" s="0" t="s">
        <v>1685</v>
      </c>
      <c r="E119" s="0" t="s">
        <v>1686</v>
      </c>
      <c r="F119" s="0" t="s">
        <v>49</v>
      </c>
      <c r="G119" s="0" t="s">
        <v>49</v>
      </c>
      <c r="H119" s="0" t="s">
        <v>49</v>
      </c>
      <c r="I119" s="0" t="str">
        <f aca="false">HYPERLINK("https://omim.org/entry/607688", "607688")</f>
        <v>607688</v>
      </c>
      <c r="J119" s="0" t="s">
        <v>49</v>
      </c>
      <c r="K119" s="0" t="s">
        <v>49</v>
      </c>
      <c r="L119" s="0" t="s">
        <v>49</v>
      </c>
      <c r="M119" s="0" t="s">
        <v>49</v>
      </c>
      <c r="N119" s="0" t="s">
        <v>49</v>
      </c>
    </row>
    <row r="120" customFormat="false" ht="15" hidden="false" customHeight="false" outlineLevel="0" collapsed="false">
      <c r="A120" s="0" t="s">
        <v>2684</v>
      </c>
      <c r="B120" s="0" t="s">
        <v>1848</v>
      </c>
      <c r="C120" s="0" t="s">
        <v>1849</v>
      </c>
      <c r="D120" s="0" t="s">
        <v>49</v>
      </c>
      <c r="E120" s="0" t="s">
        <v>49</v>
      </c>
      <c r="F120" s="0" t="s">
        <v>49</v>
      </c>
      <c r="G120" s="0" t="s">
        <v>49</v>
      </c>
      <c r="H120" s="0" t="s">
        <v>49</v>
      </c>
      <c r="I120" s="0" t="s">
        <v>49</v>
      </c>
      <c r="J120" s="0" t="s">
        <v>49</v>
      </c>
      <c r="K120" s="0" t="s">
        <v>49</v>
      </c>
      <c r="L120" s="0" t="s">
        <v>49</v>
      </c>
      <c r="M120" s="0" t="s">
        <v>49</v>
      </c>
      <c r="N120" s="0" t="s">
        <v>49</v>
      </c>
    </row>
    <row r="121" customFormat="false" ht="15" hidden="false" customHeight="false" outlineLevel="0" collapsed="false">
      <c r="A121" s="0" t="s">
        <v>2685</v>
      </c>
      <c r="B121" s="0" t="s">
        <v>1337</v>
      </c>
      <c r="C121" s="0" t="s">
        <v>1338</v>
      </c>
      <c r="D121" s="0" t="s">
        <v>1339</v>
      </c>
      <c r="E121" s="0" t="s">
        <v>1340</v>
      </c>
      <c r="F121" s="0" t="s">
        <v>2686</v>
      </c>
      <c r="G121" s="0" t="s">
        <v>2687</v>
      </c>
      <c r="H121" s="0" t="s">
        <v>2688</v>
      </c>
      <c r="I121" s="0" t="str">
        <f aca="false">HYPERLINK("https://omim.org/entry/145981", "145981")</f>
        <v>145981</v>
      </c>
      <c r="J121" s="0" t="str">
        <f aca="false">HYPERLINK("https://omim.org/entry/615361", "615361")</f>
        <v>615361</v>
      </c>
      <c r="K121" s="0" t="s">
        <v>49</v>
      </c>
      <c r="L121" s="0" t="s">
        <v>49</v>
      </c>
      <c r="M121" s="0" t="s">
        <v>49</v>
      </c>
      <c r="N121" s="0" t="s">
        <v>49</v>
      </c>
    </row>
    <row r="122" customFormat="false" ht="15" hidden="false" customHeight="false" outlineLevel="0" collapsed="false">
      <c r="A122" s="0" t="s">
        <v>2689</v>
      </c>
      <c r="B122" s="0" t="s">
        <v>1689</v>
      </c>
      <c r="C122" s="0" t="s">
        <v>1690</v>
      </c>
      <c r="D122" s="0" t="s">
        <v>1691</v>
      </c>
      <c r="E122" s="0" t="s">
        <v>1692</v>
      </c>
      <c r="F122" s="0" t="s">
        <v>2432</v>
      </c>
      <c r="G122" s="0" t="s">
        <v>2690</v>
      </c>
      <c r="H122" s="0" t="s">
        <v>49</v>
      </c>
      <c r="I122" s="0" t="str">
        <f aca="false">HYPERLINK("https://omim.org/entry/600430", "600430")</f>
        <v>600430</v>
      </c>
      <c r="J122" s="0" t="s">
        <v>49</v>
      </c>
      <c r="K122" s="0" t="s">
        <v>49</v>
      </c>
      <c r="L122" s="0" t="s">
        <v>49</v>
      </c>
      <c r="M122" s="0" t="s">
        <v>49</v>
      </c>
      <c r="N122" s="0" t="s">
        <v>49</v>
      </c>
    </row>
    <row r="123" customFormat="false" ht="15" hidden="false" customHeight="false" outlineLevel="0" collapsed="false">
      <c r="A123" s="0" t="s">
        <v>2691</v>
      </c>
      <c r="B123" s="0" t="s">
        <v>1110</v>
      </c>
      <c r="C123" s="0" t="s">
        <v>1111</v>
      </c>
      <c r="D123" s="0" t="s">
        <v>1112</v>
      </c>
      <c r="E123" s="0" t="s">
        <v>1113</v>
      </c>
      <c r="F123" s="0" t="s">
        <v>49</v>
      </c>
      <c r="G123" s="0" t="s">
        <v>2692</v>
      </c>
      <c r="H123" s="0" t="s">
        <v>2693</v>
      </c>
      <c r="I123" s="0" t="str">
        <f aca="false">HYPERLINK("https://omim.org/entry/272800", "272800")</f>
        <v>272800</v>
      </c>
      <c r="J123" s="0" t="s">
        <v>49</v>
      </c>
      <c r="K123" s="0" t="s">
        <v>49</v>
      </c>
      <c r="L123" s="0" t="s">
        <v>49</v>
      </c>
      <c r="M123" s="0" t="s">
        <v>49</v>
      </c>
      <c r="N123" s="0" t="s">
        <v>49</v>
      </c>
    </row>
    <row r="124" customFormat="false" ht="15" hidden="false" customHeight="false" outlineLevel="0" collapsed="false">
      <c r="A124" s="0" t="s">
        <v>2694</v>
      </c>
      <c r="B124" s="0" t="s">
        <v>2024</v>
      </c>
      <c r="C124" s="0" t="s">
        <v>2025</v>
      </c>
      <c r="D124" s="0" t="s">
        <v>2026</v>
      </c>
      <c r="E124" s="0" t="s">
        <v>49</v>
      </c>
      <c r="F124" s="0" t="s">
        <v>49</v>
      </c>
      <c r="G124" s="0" t="s">
        <v>2695</v>
      </c>
      <c r="H124" s="0" t="s">
        <v>49</v>
      </c>
      <c r="I124" s="0" t="s">
        <v>49</v>
      </c>
      <c r="J124" s="0" t="s">
        <v>49</v>
      </c>
      <c r="K124" s="0" t="s">
        <v>49</v>
      </c>
      <c r="L124" s="0" t="s">
        <v>49</v>
      </c>
      <c r="M124" s="0" t="s">
        <v>49</v>
      </c>
      <c r="N124" s="0" t="s">
        <v>49</v>
      </c>
    </row>
    <row r="125" customFormat="false" ht="15" hidden="false" customHeight="false" outlineLevel="0" collapsed="false">
      <c r="A125" s="0" t="s">
        <v>2696</v>
      </c>
      <c r="B125" s="0" t="s">
        <v>932</v>
      </c>
      <c r="C125" s="0" t="s">
        <v>933</v>
      </c>
      <c r="D125" s="0" t="s">
        <v>934</v>
      </c>
      <c r="E125" s="0" t="s">
        <v>935</v>
      </c>
      <c r="F125" s="0" t="s">
        <v>49</v>
      </c>
      <c r="G125" s="0" t="s">
        <v>2697</v>
      </c>
      <c r="H125" s="0" t="s">
        <v>2336</v>
      </c>
      <c r="I125" s="0" t="s">
        <v>49</v>
      </c>
      <c r="J125" s="0" t="s">
        <v>49</v>
      </c>
      <c r="K125" s="0" t="s">
        <v>49</v>
      </c>
      <c r="L125" s="0" t="s">
        <v>49</v>
      </c>
      <c r="M125" s="0" t="s">
        <v>49</v>
      </c>
      <c r="N125" s="0" t="s">
        <v>49</v>
      </c>
    </row>
    <row r="126" customFormat="false" ht="15" hidden="false" customHeight="false" outlineLevel="0" collapsed="false">
      <c r="A126" s="0" t="s">
        <v>2698</v>
      </c>
      <c r="B126" s="0" t="s">
        <v>2192</v>
      </c>
      <c r="C126" s="0" t="s">
        <v>2193</v>
      </c>
      <c r="D126" s="0" t="s">
        <v>2194</v>
      </c>
      <c r="E126" s="0" t="s">
        <v>2195</v>
      </c>
      <c r="F126" s="0" t="s">
        <v>2699</v>
      </c>
      <c r="G126" s="0" t="s">
        <v>2700</v>
      </c>
      <c r="H126" s="0" t="s">
        <v>2701</v>
      </c>
      <c r="I126" s="0" t="str">
        <f aca="false">HYPERLINK("https://omim.org/entry/203655", "203655")</f>
        <v>203655</v>
      </c>
      <c r="J126" s="0" t="str">
        <f aca="false">HYPERLINK("https://omim.org/entry/209500", "209500")</f>
        <v>209500</v>
      </c>
      <c r="K126" s="0" t="str">
        <f aca="false">HYPERLINK("https://omim.org/entry/146550", "146550")</f>
        <v>146550</v>
      </c>
      <c r="L126" s="0" t="s">
        <v>49</v>
      </c>
      <c r="M126" s="0" t="s">
        <v>49</v>
      </c>
      <c r="N126" s="0" t="s">
        <v>49</v>
      </c>
    </row>
    <row r="127" customFormat="false" ht="15" hidden="false" customHeight="false" outlineLevel="0" collapsed="false">
      <c r="A127" s="0" t="s">
        <v>2702</v>
      </c>
      <c r="B127" s="0" t="s">
        <v>2277</v>
      </c>
      <c r="C127" s="0" t="s">
        <v>2278</v>
      </c>
      <c r="D127" s="0" t="s">
        <v>2279</v>
      </c>
      <c r="E127" s="0" t="s">
        <v>2280</v>
      </c>
      <c r="F127" s="0" t="s">
        <v>2703</v>
      </c>
      <c r="G127" s="0" t="s">
        <v>2704</v>
      </c>
      <c r="H127" s="0" t="s">
        <v>2705</v>
      </c>
      <c r="I127" s="0" t="str">
        <f aca="false">HYPERLINK("https://omim.org/entry/300706", "300706")</f>
        <v>300706</v>
      </c>
      <c r="J127" s="0" t="str">
        <f aca="false">HYPERLINK("https://omim.org/entry/300705", "300705")</f>
        <v>300705</v>
      </c>
      <c r="K127" s="0" t="s">
        <v>49</v>
      </c>
      <c r="L127" s="0" t="s">
        <v>49</v>
      </c>
      <c r="M127" s="0" t="s">
        <v>49</v>
      </c>
      <c r="N127" s="0" t="s">
        <v>49</v>
      </c>
    </row>
    <row r="128" customFormat="false" ht="15" hidden="false" customHeight="false" outlineLevel="0" collapsed="false">
      <c r="A128" s="0" t="s">
        <v>2706</v>
      </c>
      <c r="B128" s="0" t="s">
        <v>49</v>
      </c>
      <c r="C128" s="0" t="s">
        <v>1180</v>
      </c>
      <c r="D128" s="0" t="s">
        <v>1181</v>
      </c>
      <c r="E128" s="0" t="s">
        <v>1182</v>
      </c>
      <c r="F128" s="0" t="s">
        <v>49</v>
      </c>
      <c r="G128" s="0" t="s">
        <v>2707</v>
      </c>
      <c r="H128" s="0" t="s">
        <v>2708</v>
      </c>
      <c r="I128" s="0" t="str">
        <f aca="false">HYPERLINK("https://omim.org/entry/608647", "608647")</f>
        <v>608647</v>
      </c>
      <c r="J128" s="0" t="s">
        <v>49</v>
      </c>
      <c r="K128" s="0" t="s">
        <v>49</v>
      </c>
      <c r="L128" s="0" t="s">
        <v>49</v>
      </c>
      <c r="M128" s="0" t="s">
        <v>49</v>
      </c>
      <c r="N128" s="0" t="s">
        <v>49</v>
      </c>
    </row>
    <row r="129" customFormat="false" ht="15" hidden="false" customHeight="false" outlineLevel="0" collapsed="false">
      <c r="A129" s="0" t="s">
        <v>2709</v>
      </c>
      <c r="B129" s="0" t="s">
        <v>950</v>
      </c>
      <c r="C129" s="0" t="s">
        <v>951</v>
      </c>
      <c r="D129" s="0" t="s">
        <v>952</v>
      </c>
      <c r="E129" s="0" t="s">
        <v>953</v>
      </c>
      <c r="F129" s="0" t="s">
        <v>49</v>
      </c>
      <c r="G129" s="0" t="s">
        <v>2710</v>
      </c>
      <c r="H129" s="0" t="s">
        <v>2711</v>
      </c>
      <c r="I129" s="0" t="str">
        <f aca="false">HYPERLINK("https://omim.org/entry/608747", "608747")</f>
        <v>608747</v>
      </c>
      <c r="J129" s="0" t="s">
        <v>49</v>
      </c>
      <c r="K129" s="0" t="s">
        <v>49</v>
      </c>
      <c r="L129" s="0" t="s">
        <v>49</v>
      </c>
      <c r="M129" s="0" t="s">
        <v>49</v>
      </c>
      <c r="N129" s="0" t="s">
        <v>49</v>
      </c>
    </row>
    <row r="130" customFormat="false" ht="15" hidden="false" customHeight="false" outlineLevel="0" collapsed="false">
      <c r="A130" s="0" t="s">
        <v>2712</v>
      </c>
      <c r="B130" s="0" t="s">
        <v>1128</v>
      </c>
      <c r="C130" s="0" t="s">
        <v>1135</v>
      </c>
      <c r="D130" s="0" t="s">
        <v>1130</v>
      </c>
      <c r="E130" s="0" t="s">
        <v>1131</v>
      </c>
      <c r="F130" s="0" t="s">
        <v>2713</v>
      </c>
      <c r="G130" s="0" t="s">
        <v>2714</v>
      </c>
      <c r="H130" s="0" t="s">
        <v>2715</v>
      </c>
      <c r="I130" s="0" t="str">
        <f aca="false">HYPERLINK("https://omim.org/entry/270450", "270450")</f>
        <v>270450</v>
      </c>
      <c r="J130" s="0" t="s">
        <v>49</v>
      </c>
      <c r="K130" s="0" t="s">
        <v>49</v>
      </c>
      <c r="L130" s="0" t="s">
        <v>49</v>
      </c>
      <c r="M130" s="0" t="s">
        <v>49</v>
      </c>
      <c r="N130" s="0" t="s">
        <v>49</v>
      </c>
    </row>
    <row r="131" customFormat="false" ht="15" hidden="false" customHeight="false" outlineLevel="0" collapsed="false">
      <c r="A131" s="0" t="s">
        <v>2716</v>
      </c>
      <c r="B131" s="0" t="s">
        <v>613</v>
      </c>
      <c r="C131" s="0" t="s">
        <v>614</v>
      </c>
      <c r="D131" s="0" t="s">
        <v>49</v>
      </c>
      <c r="E131" s="0" t="s">
        <v>49</v>
      </c>
      <c r="F131" s="0" t="s">
        <v>2717</v>
      </c>
      <c r="G131" s="0" t="s">
        <v>2718</v>
      </c>
      <c r="H131" s="0" t="s">
        <v>2336</v>
      </c>
      <c r="I131" s="0" t="s">
        <v>49</v>
      </c>
      <c r="J131" s="0" t="s">
        <v>49</v>
      </c>
      <c r="K131" s="0" t="s">
        <v>49</v>
      </c>
      <c r="L131" s="0" t="s">
        <v>49</v>
      </c>
      <c r="M131" s="0" t="s">
        <v>49</v>
      </c>
      <c r="N131" s="0" t="s">
        <v>49</v>
      </c>
    </row>
    <row r="132" customFormat="false" ht="15" hidden="false" customHeight="false" outlineLevel="0" collapsed="false">
      <c r="A132" s="0" t="s">
        <v>2719</v>
      </c>
      <c r="B132" s="0" t="s">
        <v>470</v>
      </c>
      <c r="C132" s="0" t="s">
        <v>471</v>
      </c>
      <c r="D132" s="0" t="s">
        <v>49</v>
      </c>
      <c r="E132" s="0" t="s">
        <v>49</v>
      </c>
      <c r="F132" s="0" t="s">
        <v>2720</v>
      </c>
      <c r="G132" s="0" t="s">
        <v>2721</v>
      </c>
      <c r="H132" s="0" t="s">
        <v>2722</v>
      </c>
      <c r="I132" s="0" t="s">
        <v>49</v>
      </c>
      <c r="J132" s="0" t="s">
        <v>49</v>
      </c>
      <c r="K132" s="0" t="s">
        <v>49</v>
      </c>
      <c r="L132" s="0" t="s">
        <v>49</v>
      </c>
      <c r="M132" s="0" t="s">
        <v>49</v>
      </c>
      <c r="N132" s="0" t="s">
        <v>49</v>
      </c>
    </row>
    <row r="133" customFormat="false" ht="15" hidden="false" customHeight="false" outlineLevel="0" collapsed="false">
      <c r="A133" s="0" t="s">
        <v>2723</v>
      </c>
      <c r="B133" s="0" t="s">
        <v>1926</v>
      </c>
      <c r="C133" s="0" t="s">
        <v>1927</v>
      </c>
      <c r="D133" s="0" t="s">
        <v>1928</v>
      </c>
      <c r="E133" s="0" t="s">
        <v>49</v>
      </c>
      <c r="F133" s="0" t="s">
        <v>49</v>
      </c>
      <c r="G133" s="0" t="s">
        <v>2724</v>
      </c>
      <c r="H133" s="0" t="s">
        <v>2725</v>
      </c>
      <c r="I133" s="0" t="s">
        <v>49</v>
      </c>
      <c r="J133" s="0" t="s">
        <v>49</v>
      </c>
      <c r="K133" s="0" t="s">
        <v>49</v>
      </c>
      <c r="L133" s="0" t="s">
        <v>49</v>
      </c>
      <c r="M133" s="0" t="s">
        <v>49</v>
      </c>
      <c r="N133" s="0" t="s">
        <v>49</v>
      </c>
    </row>
    <row r="134" customFormat="false" ht="15" hidden="false" customHeight="false" outlineLevel="0" collapsed="false">
      <c r="A134" s="0" t="s">
        <v>2726</v>
      </c>
      <c r="B134" s="0" t="s">
        <v>584</v>
      </c>
      <c r="C134" s="0" t="s">
        <v>585</v>
      </c>
      <c r="D134" s="0" t="s">
        <v>586</v>
      </c>
      <c r="E134" s="0" t="s">
        <v>49</v>
      </c>
      <c r="F134" s="0" t="s">
        <v>49</v>
      </c>
      <c r="G134" s="0" t="s">
        <v>2727</v>
      </c>
      <c r="H134" s="0" t="s">
        <v>2449</v>
      </c>
      <c r="I134" s="0" t="s">
        <v>49</v>
      </c>
      <c r="J134" s="0" t="s">
        <v>49</v>
      </c>
      <c r="K134" s="0" t="s">
        <v>49</v>
      </c>
      <c r="L134" s="0" t="s">
        <v>49</v>
      </c>
      <c r="M134" s="0" t="s">
        <v>49</v>
      </c>
      <c r="N134" s="0" t="s">
        <v>49</v>
      </c>
    </row>
    <row r="135" customFormat="false" ht="15" hidden="false" customHeight="false" outlineLevel="0" collapsed="false">
      <c r="A135" s="0" t="s">
        <v>2728</v>
      </c>
      <c r="B135" s="0" t="s">
        <v>49</v>
      </c>
      <c r="C135" s="0" t="s">
        <v>2729</v>
      </c>
      <c r="D135" s="0" t="s">
        <v>49</v>
      </c>
      <c r="E135" s="0" t="s">
        <v>49</v>
      </c>
      <c r="F135" s="0" t="s">
        <v>49</v>
      </c>
      <c r="G135" s="0" t="s">
        <v>49</v>
      </c>
      <c r="H135" s="0" t="s">
        <v>49</v>
      </c>
      <c r="I135" s="0" t="s">
        <v>49</v>
      </c>
      <c r="J135" s="0" t="s">
        <v>49</v>
      </c>
      <c r="K135" s="0" t="s">
        <v>49</v>
      </c>
      <c r="L135" s="0" t="s">
        <v>49</v>
      </c>
      <c r="M135" s="0" t="s">
        <v>49</v>
      </c>
      <c r="N135" s="0" t="s">
        <v>49</v>
      </c>
    </row>
    <row r="136" customFormat="false" ht="15" hidden="false" customHeight="false" outlineLevel="0" collapsed="false">
      <c r="A136" s="0" t="s">
        <v>2730</v>
      </c>
      <c r="B136" s="0" t="s">
        <v>243</v>
      </c>
      <c r="C136" s="0" t="s">
        <v>244</v>
      </c>
      <c r="D136" s="0" t="s">
        <v>245</v>
      </c>
      <c r="E136" s="0" t="s">
        <v>246</v>
      </c>
      <c r="F136" s="0" t="s">
        <v>2731</v>
      </c>
      <c r="G136" s="0" t="s">
        <v>49</v>
      </c>
      <c r="H136" s="0" t="s">
        <v>49</v>
      </c>
      <c r="I136" s="0" t="str">
        <f aca="false">HYPERLINK("https://omim.org/entry/616052", "616052")</f>
        <v>616052</v>
      </c>
      <c r="J136" s="0" t="s">
        <v>49</v>
      </c>
      <c r="K136" s="0" t="s">
        <v>49</v>
      </c>
      <c r="L136" s="0" t="s">
        <v>49</v>
      </c>
      <c r="M136" s="0" t="s">
        <v>49</v>
      </c>
      <c r="N136" s="0" t="s">
        <v>49</v>
      </c>
    </row>
    <row r="137" customFormat="false" ht="15" hidden="false" customHeight="false" outlineLevel="0" collapsed="false">
      <c r="A137" s="0" t="s">
        <v>2732</v>
      </c>
      <c r="B137" s="0" t="s">
        <v>1704</v>
      </c>
      <c r="C137" s="0" t="s">
        <v>1705</v>
      </c>
      <c r="D137" s="0" t="s">
        <v>1706</v>
      </c>
      <c r="E137" s="0" t="s">
        <v>1707</v>
      </c>
      <c r="F137" s="0" t="s">
        <v>2334</v>
      </c>
      <c r="G137" s="0" t="s">
        <v>2733</v>
      </c>
      <c r="H137" s="0" t="s">
        <v>2734</v>
      </c>
      <c r="I137" s="0" t="str">
        <f aca="false">HYPERLINK("https://omim.org/entry/613385", "613385")</f>
        <v>613385</v>
      </c>
      <c r="J137" s="0" t="s">
        <v>49</v>
      </c>
      <c r="K137" s="0" t="s">
        <v>49</v>
      </c>
      <c r="L137" s="0" t="s">
        <v>49</v>
      </c>
      <c r="M137" s="0" t="s">
        <v>49</v>
      </c>
      <c r="N137" s="0" t="s">
        <v>49</v>
      </c>
    </row>
    <row r="138" customFormat="false" ht="15" hidden="false" customHeight="false" outlineLevel="0" collapsed="false">
      <c r="A138" s="0" t="s">
        <v>2735</v>
      </c>
      <c r="B138" s="0" t="s">
        <v>1534</v>
      </c>
      <c r="C138" s="0" t="s">
        <v>1535</v>
      </c>
      <c r="D138" s="0" t="s">
        <v>1536</v>
      </c>
      <c r="E138" s="0" t="s">
        <v>49</v>
      </c>
      <c r="F138" s="0" t="s">
        <v>2736</v>
      </c>
      <c r="G138" s="0" t="s">
        <v>2737</v>
      </c>
      <c r="H138" s="0" t="s">
        <v>2738</v>
      </c>
      <c r="I138" s="0" t="s">
        <v>49</v>
      </c>
      <c r="J138" s="0" t="s">
        <v>49</v>
      </c>
      <c r="K138" s="0" t="s">
        <v>49</v>
      </c>
      <c r="L138" s="0" t="s">
        <v>49</v>
      </c>
      <c r="M138" s="0" t="s">
        <v>49</v>
      </c>
      <c r="N138" s="0" t="s">
        <v>49</v>
      </c>
    </row>
    <row r="139" customFormat="false" ht="15" hidden="false" customHeight="false" outlineLevel="0" collapsed="false">
      <c r="A139" s="0" t="s">
        <v>2739</v>
      </c>
      <c r="B139" s="0" t="s">
        <v>1806</v>
      </c>
      <c r="C139" s="0" t="s">
        <v>1807</v>
      </c>
      <c r="D139" s="0" t="s">
        <v>1808</v>
      </c>
      <c r="E139" s="0" t="s">
        <v>49</v>
      </c>
      <c r="F139" s="0" t="s">
        <v>2740</v>
      </c>
      <c r="G139" s="0" t="s">
        <v>2741</v>
      </c>
      <c r="H139" s="0" t="s">
        <v>2608</v>
      </c>
      <c r="I139" s="0" t="s">
        <v>49</v>
      </c>
      <c r="J139" s="0" t="s">
        <v>49</v>
      </c>
      <c r="K139" s="0" t="s">
        <v>49</v>
      </c>
      <c r="L139" s="0" t="s">
        <v>49</v>
      </c>
      <c r="M139" s="0" t="s">
        <v>49</v>
      </c>
      <c r="N139" s="0" t="s">
        <v>49</v>
      </c>
    </row>
    <row r="140" customFormat="false" ht="15" hidden="false" customHeight="false" outlineLevel="0" collapsed="false">
      <c r="A140" s="0" t="s">
        <v>1838</v>
      </c>
      <c r="B140" s="0" t="s">
        <v>1837</v>
      </c>
      <c r="C140" s="0" t="s">
        <v>1838</v>
      </c>
      <c r="D140" s="0" t="s">
        <v>1839</v>
      </c>
      <c r="E140" s="0" t="s">
        <v>49</v>
      </c>
      <c r="F140" s="0" t="s">
        <v>2742</v>
      </c>
      <c r="G140" s="0" t="s">
        <v>2743</v>
      </c>
      <c r="H140" s="0" t="s">
        <v>2744</v>
      </c>
      <c r="I140" s="0" t="s">
        <v>49</v>
      </c>
      <c r="J140" s="0" t="s">
        <v>49</v>
      </c>
      <c r="K140" s="0" t="s">
        <v>49</v>
      </c>
      <c r="L140" s="0" t="s">
        <v>49</v>
      </c>
      <c r="M140" s="0" t="s">
        <v>49</v>
      </c>
      <c r="N140" s="0" t="s">
        <v>49</v>
      </c>
    </row>
    <row r="141" customFormat="false" ht="15" hidden="false" customHeight="false" outlineLevel="0" collapsed="false">
      <c r="A141" s="0" t="s">
        <v>1574</v>
      </c>
      <c r="B141" s="0" t="s">
        <v>1573</v>
      </c>
      <c r="C141" s="0" t="s">
        <v>1574</v>
      </c>
      <c r="D141" s="0" t="s">
        <v>49</v>
      </c>
      <c r="E141" s="0" t="s">
        <v>49</v>
      </c>
      <c r="F141" s="0" t="s">
        <v>49</v>
      </c>
      <c r="G141" s="0" t="s">
        <v>2745</v>
      </c>
      <c r="H141" s="0" t="s">
        <v>2746</v>
      </c>
      <c r="I141" s="0" t="s">
        <v>49</v>
      </c>
      <c r="J141" s="0" t="s">
        <v>49</v>
      </c>
      <c r="K141" s="0" t="s">
        <v>49</v>
      </c>
      <c r="L141" s="0" t="s">
        <v>49</v>
      </c>
      <c r="M141" s="0" t="s">
        <v>49</v>
      </c>
      <c r="N141" s="0" t="s">
        <v>49</v>
      </c>
    </row>
    <row r="142" customFormat="false" ht="15" hidden="false" customHeight="false" outlineLevel="0" collapsed="false">
      <c r="A142" s="0" t="s">
        <v>2747</v>
      </c>
      <c r="B142" s="0" t="s">
        <v>2748</v>
      </c>
      <c r="C142" s="0" t="s">
        <v>2749</v>
      </c>
      <c r="D142" s="0" t="s">
        <v>2750</v>
      </c>
      <c r="E142" s="0" t="s">
        <v>49</v>
      </c>
      <c r="F142" s="0" t="s">
        <v>49</v>
      </c>
      <c r="G142" s="0" t="s">
        <v>2751</v>
      </c>
      <c r="H142" s="0" t="s">
        <v>2752</v>
      </c>
      <c r="I142" s="0" t="s">
        <v>49</v>
      </c>
      <c r="J142" s="0" t="s">
        <v>49</v>
      </c>
      <c r="K142" s="0" t="s">
        <v>49</v>
      </c>
      <c r="L142" s="0" t="s">
        <v>49</v>
      </c>
      <c r="M142" s="0" t="s">
        <v>49</v>
      </c>
      <c r="N142" s="0" t="s">
        <v>49</v>
      </c>
    </row>
    <row r="143" customFormat="false" ht="15" hidden="false" customHeight="false" outlineLevel="0" collapsed="false">
      <c r="A143" s="0" t="s">
        <v>2753</v>
      </c>
      <c r="B143" s="0" t="s">
        <v>2754</v>
      </c>
      <c r="C143" s="0" t="s">
        <v>2755</v>
      </c>
      <c r="D143" s="0" t="s">
        <v>2756</v>
      </c>
      <c r="E143" s="0" t="s">
        <v>49</v>
      </c>
      <c r="F143" s="0" t="s">
        <v>49</v>
      </c>
      <c r="G143" s="0" t="s">
        <v>49</v>
      </c>
      <c r="H143" s="0" t="s">
        <v>49</v>
      </c>
      <c r="I143" s="0" t="s">
        <v>49</v>
      </c>
      <c r="J143" s="0" t="s">
        <v>49</v>
      </c>
      <c r="K143" s="0" t="s">
        <v>49</v>
      </c>
      <c r="L143" s="0" t="s">
        <v>49</v>
      </c>
      <c r="M143" s="0" t="s">
        <v>49</v>
      </c>
      <c r="N143" s="0" t="s">
        <v>49</v>
      </c>
    </row>
    <row r="144" customFormat="false" ht="15" hidden="false" customHeight="false" outlineLevel="0" collapsed="false">
      <c r="A144" s="0" t="s">
        <v>2757</v>
      </c>
      <c r="B144" s="0" t="s">
        <v>1475</v>
      </c>
      <c r="C144" s="0" t="s">
        <v>1476</v>
      </c>
      <c r="D144" s="0" t="s">
        <v>1477</v>
      </c>
      <c r="E144" s="0" t="s">
        <v>49</v>
      </c>
      <c r="F144" s="0" t="s">
        <v>49</v>
      </c>
      <c r="G144" s="0" t="s">
        <v>49</v>
      </c>
      <c r="H144" s="0" t="s">
        <v>49</v>
      </c>
      <c r="I144" s="0" t="s">
        <v>49</v>
      </c>
      <c r="J144" s="0" t="s">
        <v>49</v>
      </c>
      <c r="K144" s="0" t="s">
        <v>49</v>
      </c>
      <c r="L144" s="0" t="s">
        <v>49</v>
      </c>
      <c r="M144" s="0" t="s">
        <v>49</v>
      </c>
      <c r="N144" s="0" t="s">
        <v>49</v>
      </c>
    </row>
    <row r="145" customFormat="false" ht="15" hidden="false" customHeight="false" outlineLevel="0" collapsed="false">
      <c r="A145" s="0" t="s">
        <v>2758</v>
      </c>
      <c r="B145" s="0" t="s">
        <v>49</v>
      </c>
      <c r="C145" s="0" t="s">
        <v>2759</v>
      </c>
      <c r="D145" s="0" t="s">
        <v>2760</v>
      </c>
      <c r="E145" s="0" t="s">
        <v>49</v>
      </c>
      <c r="F145" s="0" t="s">
        <v>49</v>
      </c>
      <c r="G145" s="0" t="s">
        <v>2761</v>
      </c>
      <c r="H145" s="0" t="s">
        <v>2762</v>
      </c>
      <c r="I145" s="0" t="s">
        <v>49</v>
      </c>
      <c r="J145" s="0" t="s">
        <v>49</v>
      </c>
      <c r="K145" s="0" t="s">
        <v>49</v>
      </c>
      <c r="L145" s="0" t="s">
        <v>49</v>
      </c>
      <c r="M145" s="0" t="s">
        <v>49</v>
      </c>
      <c r="N145" s="0" t="s">
        <v>49</v>
      </c>
    </row>
    <row r="146" customFormat="false" ht="15" hidden="false" customHeight="false" outlineLevel="0" collapsed="false">
      <c r="A146" s="0" t="s">
        <v>2763</v>
      </c>
      <c r="B146" s="0" t="s">
        <v>1492</v>
      </c>
      <c r="C146" s="0" t="s">
        <v>1503</v>
      </c>
      <c r="D146" s="0" t="s">
        <v>1504</v>
      </c>
      <c r="E146" s="0" t="s">
        <v>49</v>
      </c>
      <c r="F146" s="0" t="s">
        <v>49</v>
      </c>
      <c r="G146" s="0" t="s">
        <v>2764</v>
      </c>
      <c r="H146" s="0" t="s">
        <v>2765</v>
      </c>
      <c r="I146" s="0" t="s">
        <v>49</v>
      </c>
      <c r="J146" s="0" t="s">
        <v>49</v>
      </c>
      <c r="K146" s="0" t="s">
        <v>49</v>
      </c>
      <c r="L146" s="0" t="s">
        <v>49</v>
      </c>
      <c r="M146" s="0" t="s">
        <v>49</v>
      </c>
      <c r="N146" s="0" t="s">
        <v>49</v>
      </c>
    </row>
    <row r="147" customFormat="false" ht="15" hidden="false" customHeight="false" outlineLevel="0" collapsed="false">
      <c r="A147" s="0" t="s">
        <v>2766</v>
      </c>
      <c r="B147" s="0" t="s">
        <v>1521</v>
      </c>
      <c r="C147" s="0" t="s">
        <v>2767</v>
      </c>
      <c r="D147" s="0" t="s">
        <v>2768</v>
      </c>
      <c r="E147" s="0" t="s">
        <v>49</v>
      </c>
      <c r="F147" s="0" t="s">
        <v>49</v>
      </c>
      <c r="G147" s="0" t="s">
        <v>2513</v>
      </c>
      <c r="H147" s="0" t="s">
        <v>49</v>
      </c>
      <c r="I147" s="0" t="s">
        <v>49</v>
      </c>
      <c r="J147" s="0" t="s">
        <v>49</v>
      </c>
      <c r="K147" s="0" t="s">
        <v>49</v>
      </c>
      <c r="L147" s="0" t="s">
        <v>49</v>
      </c>
      <c r="M147" s="0" t="s">
        <v>49</v>
      </c>
      <c r="N147" s="0" t="s">
        <v>49</v>
      </c>
    </row>
    <row r="148" customFormat="false" ht="15" hidden="false" customHeight="false" outlineLevel="0" collapsed="false">
      <c r="A148" s="0" t="s">
        <v>2769</v>
      </c>
      <c r="B148" s="0" t="s">
        <v>210</v>
      </c>
      <c r="C148" s="0" t="s">
        <v>211</v>
      </c>
      <c r="D148" s="0" t="s">
        <v>212</v>
      </c>
      <c r="E148" s="0" t="s">
        <v>49</v>
      </c>
      <c r="F148" s="0" t="s">
        <v>2770</v>
      </c>
      <c r="G148" s="0" t="s">
        <v>49</v>
      </c>
      <c r="H148" s="0" t="s">
        <v>49</v>
      </c>
      <c r="I148" s="0" t="s">
        <v>49</v>
      </c>
      <c r="J148" s="0" t="s">
        <v>49</v>
      </c>
      <c r="K148" s="0" t="s">
        <v>49</v>
      </c>
      <c r="L148" s="0" t="s">
        <v>49</v>
      </c>
      <c r="M148" s="0" t="s">
        <v>49</v>
      </c>
      <c r="N148" s="0" t="s">
        <v>49</v>
      </c>
    </row>
    <row r="149" customFormat="false" ht="15" hidden="false" customHeight="false" outlineLevel="0" collapsed="false">
      <c r="A149" s="0" t="s">
        <v>2771</v>
      </c>
      <c r="B149" s="0" t="s">
        <v>2068</v>
      </c>
      <c r="C149" s="0" t="s">
        <v>2069</v>
      </c>
      <c r="D149" s="0" t="s">
        <v>610</v>
      </c>
      <c r="E149" s="0" t="s">
        <v>2070</v>
      </c>
      <c r="F149" s="0" t="s">
        <v>2772</v>
      </c>
      <c r="G149" s="0" t="s">
        <v>2773</v>
      </c>
      <c r="H149" s="0" t="s">
        <v>2774</v>
      </c>
      <c r="I149" s="0" t="str">
        <f aca="false">HYPERLINK("https://omim.org/entry/607855", "607855")</f>
        <v>607855</v>
      </c>
      <c r="J149" s="0" t="s">
        <v>49</v>
      </c>
      <c r="K149" s="0" t="s">
        <v>49</v>
      </c>
      <c r="L149" s="0" t="s">
        <v>49</v>
      </c>
      <c r="M149" s="0" t="s">
        <v>49</v>
      </c>
      <c r="N149" s="0" t="s">
        <v>49</v>
      </c>
    </row>
    <row r="150" customFormat="false" ht="15" hidden="false" customHeight="false" outlineLevel="0" collapsed="false">
      <c r="A150" s="0" t="s">
        <v>2775</v>
      </c>
      <c r="B150" s="0" t="s">
        <v>608</v>
      </c>
      <c r="C150" s="0" t="s">
        <v>609</v>
      </c>
      <c r="D150" s="0" t="s">
        <v>610</v>
      </c>
      <c r="E150" s="0" t="s">
        <v>49</v>
      </c>
      <c r="F150" s="0" t="s">
        <v>2776</v>
      </c>
      <c r="G150" s="0" t="s">
        <v>2777</v>
      </c>
      <c r="H150" s="0" t="s">
        <v>2778</v>
      </c>
      <c r="I150" s="0" t="s">
        <v>49</v>
      </c>
      <c r="J150" s="0" t="s">
        <v>49</v>
      </c>
      <c r="K150" s="0" t="s">
        <v>49</v>
      </c>
      <c r="L150" s="0" t="s">
        <v>49</v>
      </c>
      <c r="M150" s="0" t="s">
        <v>49</v>
      </c>
      <c r="N150" s="0" t="s">
        <v>49</v>
      </c>
    </row>
    <row r="151" customFormat="false" ht="15" hidden="false" customHeight="false" outlineLevel="0" collapsed="false">
      <c r="A151" s="0" t="s">
        <v>2779</v>
      </c>
      <c r="B151" s="0" t="s">
        <v>49</v>
      </c>
      <c r="C151" s="0" t="s">
        <v>1867</v>
      </c>
      <c r="D151" s="0" t="s">
        <v>49</v>
      </c>
      <c r="E151" s="0" t="s">
        <v>49</v>
      </c>
      <c r="F151" s="0" t="s">
        <v>49</v>
      </c>
      <c r="G151" s="0" t="s">
        <v>49</v>
      </c>
      <c r="H151" s="0" t="s">
        <v>49</v>
      </c>
      <c r="I151" s="0" t="s">
        <v>49</v>
      </c>
      <c r="J151" s="0" t="s">
        <v>49</v>
      </c>
      <c r="K151" s="0" t="s">
        <v>49</v>
      </c>
      <c r="L151" s="0" t="s">
        <v>49</v>
      </c>
      <c r="M151" s="0" t="s">
        <v>49</v>
      </c>
      <c r="N151" s="0" t="s">
        <v>49</v>
      </c>
    </row>
    <row r="152" customFormat="false" ht="15" hidden="false" customHeight="false" outlineLevel="0" collapsed="false">
      <c r="A152" s="0" t="s">
        <v>2780</v>
      </c>
      <c r="B152" s="0" t="s">
        <v>1279</v>
      </c>
      <c r="C152" s="0" t="s">
        <v>1280</v>
      </c>
      <c r="D152" s="0" t="s">
        <v>1281</v>
      </c>
      <c r="E152" s="0" t="s">
        <v>1282</v>
      </c>
      <c r="F152" s="0" t="s">
        <v>2781</v>
      </c>
      <c r="G152" s="0" t="s">
        <v>2782</v>
      </c>
      <c r="H152" s="0" t="s">
        <v>2783</v>
      </c>
      <c r="I152" s="0" t="str">
        <f aca="false">HYPERLINK("https://omim.org/entry/609628", "609628")</f>
        <v>609628</v>
      </c>
      <c r="J152" s="0" t="s">
        <v>49</v>
      </c>
      <c r="K152" s="0" t="s">
        <v>49</v>
      </c>
      <c r="L152" s="0" t="s">
        <v>49</v>
      </c>
      <c r="M152" s="0" t="s">
        <v>49</v>
      </c>
      <c r="N152" s="0" t="s">
        <v>49</v>
      </c>
    </row>
    <row r="153" customFormat="false" ht="15" hidden="false" customHeight="false" outlineLevel="0" collapsed="false">
      <c r="A153" s="0" t="s">
        <v>2784</v>
      </c>
      <c r="B153" s="0" t="s">
        <v>1778</v>
      </c>
      <c r="C153" s="0" t="s">
        <v>1779</v>
      </c>
      <c r="D153" s="0" t="s">
        <v>49</v>
      </c>
      <c r="E153" s="0" t="s">
        <v>49</v>
      </c>
      <c r="F153" s="0" t="s">
        <v>49</v>
      </c>
      <c r="G153" s="0" t="s">
        <v>49</v>
      </c>
      <c r="H153" s="0" t="s">
        <v>49</v>
      </c>
      <c r="I153" s="0" t="s">
        <v>49</v>
      </c>
      <c r="J153" s="0" t="s">
        <v>49</v>
      </c>
      <c r="K153" s="0" t="s">
        <v>49</v>
      </c>
      <c r="L153" s="0" t="s">
        <v>49</v>
      </c>
      <c r="M153" s="0" t="s">
        <v>49</v>
      </c>
      <c r="N153" s="0" t="s">
        <v>49</v>
      </c>
    </row>
    <row r="154" customFormat="false" ht="15" hidden="false" customHeight="false" outlineLevel="0" collapsed="false">
      <c r="A154" s="0" t="s">
        <v>2785</v>
      </c>
      <c r="B154" s="0" t="s">
        <v>49</v>
      </c>
      <c r="C154" s="0" t="s">
        <v>1224</v>
      </c>
      <c r="D154" s="0" t="s">
        <v>49</v>
      </c>
      <c r="E154" s="0" t="s">
        <v>49</v>
      </c>
      <c r="F154" s="0" t="s">
        <v>49</v>
      </c>
      <c r="G154" s="0" t="s">
        <v>49</v>
      </c>
      <c r="H154" s="0" t="s">
        <v>49</v>
      </c>
      <c r="I154" s="0" t="s">
        <v>49</v>
      </c>
      <c r="J154" s="0" t="s">
        <v>49</v>
      </c>
      <c r="K154" s="0" t="s">
        <v>49</v>
      </c>
      <c r="L154" s="0" t="s">
        <v>49</v>
      </c>
      <c r="M154" s="0" t="s">
        <v>49</v>
      </c>
      <c r="N154" s="0" t="s">
        <v>49</v>
      </c>
    </row>
    <row r="155" customFormat="false" ht="15" hidden="false" customHeight="false" outlineLevel="0" collapsed="false">
      <c r="A155" s="0" t="s">
        <v>2786</v>
      </c>
      <c r="B155" s="0" t="s">
        <v>49</v>
      </c>
      <c r="C155" s="0" t="s">
        <v>2787</v>
      </c>
      <c r="D155" s="0" t="s">
        <v>49</v>
      </c>
      <c r="E155" s="0" t="s">
        <v>49</v>
      </c>
      <c r="F155" s="0" t="s">
        <v>49</v>
      </c>
      <c r="G155" s="0" t="s">
        <v>49</v>
      </c>
      <c r="H155" s="0" t="s">
        <v>49</v>
      </c>
      <c r="I155" s="0" t="s">
        <v>49</v>
      </c>
      <c r="J155" s="0" t="s">
        <v>49</v>
      </c>
      <c r="K155" s="0" t="s">
        <v>49</v>
      </c>
      <c r="L155" s="0" t="s">
        <v>49</v>
      </c>
      <c r="M155" s="0" t="s">
        <v>49</v>
      </c>
      <c r="N155" s="0" t="s">
        <v>49</v>
      </c>
    </row>
    <row r="156" customFormat="false" ht="15" hidden="false" customHeight="false" outlineLevel="0" collapsed="false">
      <c r="A156" s="0" t="s">
        <v>2788</v>
      </c>
      <c r="B156" s="0" t="s">
        <v>834</v>
      </c>
      <c r="C156" s="0" t="s">
        <v>835</v>
      </c>
      <c r="D156" s="0" t="s">
        <v>836</v>
      </c>
      <c r="E156" s="0" t="s">
        <v>49</v>
      </c>
      <c r="F156" s="0" t="s">
        <v>2789</v>
      </c>
      <c r="G156" s="0" t="s">
        <v>2790</v>
      </c>
      <c r="H156" s="0" t="s">
        <v>2791</v>
      </c>
      <c r="I156" s="0" t="s">
        <v>49</v>
      </c>
      <c r="J156" s="0" t="s">
        <v>49</v>
      </c>
      <c r="K156" s="0" t="s">
        <v>49</v>
      </c>
      <c r="L156" s="0" t="s">
        <v>49</v>
      </c>
      <c r="M156" s="0" t="s">
        <v>49</v>
      </c>
      <c r="N156" s="0" t="s">
        <v>49</v>
      </c>
    </row>
    <row r="157" customFormat="false" ht="15" hidden="false" customHeight="false" outlineLevel="0" collapsed="false">
      <c r="A157" s="0" t="s">
        <v>2792</v>
      </c>
      <c r="B157" s="0" t="s">
        <v>1322</v>
      </c>
      <c r="C157" s="0" t="s">
        <v>1323</v>
      </c>
      <c r="D157" s="0" t="s">
        <v>1324</v>
      </c>
      <c r="E157" s="0" t="s">
        <v>1325</v>
      </c>
      <c r="F157" s="0" t="s">
        <v>2793</v>
      </c>
      <c r="G157" s="0" t="s">
        <v>2794</v>
      </c>
      <c r="H157" s="0" t="s">
        <v>2795</v>
      </c>
      <c r="I157" s="0" t="s">
        <v>49</v>
      </c>
      <c r="J157" s="0" t="s">
        <v>49</v>
      </c>
      <c r="K157" s="0" t="s">
        <v>49</v>
      </c>
      <c r="L157" s="0" t="s">
        <v>49</v>
      </c>
      <c r="M157" s="0" t="s">
        <v>49</v>
      </c>
      <c r="N157" s="0" t="s">
        <v>49</v>
      </c>
    </row>
    <row r="158" customFormat="false" ht="15" hidden="false" customHeight="false" outlineLevel="0" collapsed="false">
      <c r="A158" s="0" t="s">
        <v>2796</v>
      </c>
      <c r="B158" s="0" t="s">
        <v>398</v>
      </c>
      <c r="C158" s="0" t="s">
        <v>399</v>
      </c>
      <c r="D158" s="0" t="s">
        <v>400</v>
      </c>
      <c r="E158" s="0" t="s">
        <v>49</v>
      </c>
      <c r="F158" s="0" t="s">
        <v>49</v>
      </c>
      <c r="G158" s="0" t="s">
        <v>2797</v>
      </c>
      <c r="H158" s="0" t="s">
        <v>2798</v>
      </c>
      <c r="I158" s="0" t="s">
        <v>49</v>
      </c>
      <c r="J158" s="0" t="s">
        <v>49</v>
      </c>
      <c r="K158" s="0" t="s">
        <v>49</v>
      </c>
      <c r="L158" s="0" t="s">
        <v>49</v>
      </c>
      <c r="M158" s="0" t="s">
        <v>49</v>
      </c>
      <c r="N158" s="0" t="s">
        <v>49</v>
      </c>
    </row>
    <row r="159" customFormat="false" ht="15" hidden="false" customHeight="false" outlineLevel="0" collapsed="false">
      <c r="A159" s="0" t="s">
        <v>2799</v>
      </c>
      <c r="B159" s="0" t="s">
        <v>1093</v>
      </c>
      <c r="C159" s="0" t="s">
        <v>1094</v>
      </c>
      <c r="D159" s="0" t="s">
        <v>1095</v>
      </c>
      <c r="E159" s="0" t="s">
        <v>49</v>
      </c>
      <c r="F159" s="0" t="s">
        <v>49</v>
      </c>
      <c r="G159" s="0" t="s">
        <v>2800</v>
      </c>
      <c r="H159" s="0" t="s">
        <v>2801</v>
      </c>
      <c r="I159" s="0" t="s">
        <v>49</v>
      </c>
      <c r="J159" s="0" t="s">
        <v>49</v>
      </c>
      <c r="K159" s="0" t="s">
        <v>49</v>
      </c>
      <c r="L159" s="0" t="s">
        <v>49</v>
      </c>
      <c r="M159" s="0" t="s">
        <v>49</v>
      </c>
      <c r="N159" s="0" t="s">
        <v>49</v>
      </c>
    </row>
    <row r="160" customFormat="false" ht="15" hidden="false" customHeight="false" outlineLevel="0" collapsed="false">
      <c r="A160" s="0" t="s">
        <v>2802</v>
      </c>
      <c r="B160" s="0" t="s">
        <v>1057</v>
      </c>
      <c r="C160" s="0" t="s">
        <v>1058</v>
      </c>
      <c r="D160" s="0" t="s">
        <v>1059</v>
      </c>
      <c r="E160" s="0" t="s">
        <v>49</v>
      </c>
      <c r="F160" s="0" t="s">
        <v>2432</v>
      </c>
      <c r="G160" s="0" t="s">
        <v>2803</v>
      </c>
      <c r="H160" s="0" t="s">
        <v>2804</v>
      </c>
      <c r="I160" s="0" t="s">
        <v>49</v>
      </c>
      <c r="J160" s="0" t="s">
        <v>49</v>
      </c>
      <c r="K160" s="0" t="s">
        <v>49</v>
      </c>
      <c r="L160" s="0" t="s">
        <v>49</v>
      </c>
      <c r="M160" s="0" t="s">
        <v>49</v>
      </c>
      <c r="N160" s="0" t="s">
        <v>49</v>
      </c>
    </row>
    <row r="161" customFormat="false" ht="15" hidden="false" customHeight="false" outlineLevel="0" collapsed="false">
      <c r="A161" s="0" t="s">
        <v>2805</v>
      </c>
      <c r="B161" s="0" t="s">
        <v>718</v>
      </c>
      <c r="C161" s="0" t="s">
        <v>719</v>
      </c>
      <c r="D161" s="0" t="s">
        <v>720</v>
      </c>
      <c r="E161" s="0" t="s">
        <v>721</v>
      </c>
      <c r="F161" s="0" t="s">
        <v>49</v>
      </c>
      <c r="G161" s="0" t="s">
        <v>2806</v>
      </c>
      <c r="H161" s="0" t="s">
        <v>2807</v>
      </c>
      <c r="I161" s="0" t="str">
        <f aca="false">HYPERLINK("https://omim.org/entry/188000", "188000")</f>
        <v>188000</v>
      </c>
      <c r="J161" s="0" t="s">
        <v>49</v>
      </c>
      <c r="K161" s="0" t="s">
        <v>49</v>
      </c>
      <c r="L161" s="0" t="s">
        <v>49</v>
      </c>
      <c r="M161" s="0" t="s">
        <v>49</v>
      </c>
      <c r="N161" s="0" t="s">
        <v>49</v>
      </c>
    </row>
    <row r="162" customFormat="false" ht="15" hidden="false" customHeight="false" outlineLevel="0" collapsed="false">
      <c r="A162" s="0" t="s">
        <v>2808</v>
      </c>
      <c r="B162" s="0" t="s">
        <v>2809</v>
      </c>
      <c r="C162" s="0" t="s">
        <v>2810</v>
      </c>
      <c r="D162" s="0" t="s">
        <v>2811</v>
      </c>
      <c r="E162" s="0" t="s">
        <v>49</v>
      </c>
      <c r="F162" s="0" t="s">
        <v>2812</v>
      </c>
      <c r="G162" s="0" t="s">
        <v>2813</v>
      </c>
      <c r="H162" s="0" t="s">
        <v>2814</v>
      </c>
      <c r="I162" s="0" t="s">
        <v>49</v>
      </c>
      <c r="J162" s="0" t="s">
        <v>49</v>
      </c>
      <c r="K162" s="0" t="s">
        <v>49</v>
      </c>
      <c r="L162" s="0" t="s">
        <v>49</v>
      </c>
      <c r="M162" s="0" t="s">
        <v>49</v>
      </c>
      <c r="N162" s="0" t="s">
        <v>49</v>
      </c>
    </row>
    <row r="163" customFormat="false" ht="15" hidden="false" customHeight="false" outlineLevel="0" collapsed="false">
      <c r="A163" s="0" t="s">
        <v>2815</v>
      </c>
      <c r="B163" s="0" t="s">
        <v>819</v>
      </c>
      <c r="C163" s="0" t="s">
        <v>820</v>
      </c>
      <c r="D163" s="0" t="s">
        <v>821</v>
      </c>
      <c r="E163" s="0" t="s">
        <v>49</v>
      </c>
      <c r="F163" s="0" t="s">
        <v>2816</v>
      </c>
      <c r="G163" s="0" t="s">
        <v>2817</v>
      </c>
      <c r="H163" s="0" t="s">
        <v>49</v>
      </c>
      <c r="I163" s="0" t="s">
        <v>49</v>
      </c>
      <c r="J163" s="0" t="s">
        <v>49</v>
      </c>
      <c r="K163" s="0" t="s">
        <v>49</v>
      </c>
      <c r="L163" s="0" t="s">
        <v>49</v>
      </c>
      <c r="M163" s="0" t="s">
        <v>49</v>
      </c>
      <c r="N163" s="0" t="s">
        <v>49</v>
      </c>
    </row>
    <row r="164" customFormat="false" ht="15" hidden="false" customHeight="false" outlineLevel="0" collapsed="false">
      <c r="A164" s="0" t="s">
        <v>2818</v>
      </c>
      <c r="B164" s="0" t="s">
        <v>2040</v>
      </c>
      <c r="C164" s="0" t="s">
        <v>2041</v>
      </c>
      <c r="D164" s="0" t="s">
        <v>49</v>
      </c>
      <c r="E164" s="0" t="s">
        <v>49</v>
      </c>
      <c r="F164" s="0" t="s">
        <v>2819</v>
      </c>
      <c r="G164" s="0" t="s">
        <v>49</v>
      </c>
      <c r="H164" s="0" t="s">
        <v>49</v>
      </c>
      <c r="I164" s="0" t="s">
        <v>49</v>
      </c>
      <c r="J164" s="0" t="s">
        <v>49</v>
      </c>
      <c r="K164" s="0" t="s">
        <v>49</v>
      </c>
      <c r="L164" s="0" t="s">
        <v>49</v>
      </c>
      <c r="M164" s="0" t="s">
        <v>49</v>
      </c>
      <c r="N164" s="0" t="s">
        <v>49</v>
      </c>
    </row>
    <row r="165" customFormat="false" ht="15" hidden="false" customHeight="false" outlineLevel="0" collapsed="false">
      <c r="A165" s="0" t="s">
        <v>2820</v>
      </c>
      <c r="B165" s="0" t="s">
        <v>589</v>
      </c>
      <c r="C165" s="0" t="s">
        <v>590</v>
      </c>
      <c r="D165" s="0" t="s">
        <v>591</v>
      </c>
      <c r="E165" s="0" t="s">
        <v>49</v>
      </c>
      <c r="F165" s="0" t="s">
        <v>49</v>
      </c>
      <c r="G165" s="0" t="s">
        <v>2821</v>
      </c>
      <c r="H165" s="0" t="s">
        <v>2822</v>
      </c>
      <c r="I165" s="0" t="s">
        <v>49</v>
      </c>
      <c r="J165" s="0" t="s">
        <v>49</v>
      </c>
      <c r="K165" s="0" t="s">
        <v>49</v>
      </c>
      <c r="L165" s="0" t="s">
        <v>49</v>
      </c>
      <c r="M165" s="0" t="s">
        <v>49</v>
      </c>
      <c r="N165" s="0" t="s">
        <v>49</v>
      </c>
    </row>
    <row r="166" customFormat="false" ht="15" hidden="false" customHeight="false" outlineLevel="0" collapsed="false">
      <c r="A166" s="0" t="s">
        <v>2823</v>
      </c>
      <c r="B166" s="0" t="s">
        <v>1086</v>
      </c>
      <c r="C166" s="0" t="s">
        <v>1087</v>
      </c>
      <c r="D166" s="0" t="s">
        <v>1088</v>
      </c>
      <c r="E166" s="0" t="s">
        <v>49</v>
      </c>
      <c r="F166" s="0" t="s">
        <v>2824</v>
      </c>
      <c r="G166" s="0" t="s">
        <v>2825</v>
      </c>
      <c r="H166" s="0" t="s">
        <v>2826</v>
      </c>
      <c r="I166" s="0" t="s">
        <v>49</v>
      </c>
      <c r="J166" s="0" t="s">
        <v>49</v>
      </c>
      <c r="K166" s="0" t="s">
        <v>49</v>
      </c>
      <c r="L166" s="0" t="s">
        <v>49</v>
      </c>
      <c r="M166" s="0" t="s">
        <v>49</v>
      </c>
      <c r="N166" s="0" t="s">
        <v>49</v>
      </c>
    </row>
    <row r="167" customFormat="false" ht="15" hidden="false" customHeight="false" outlineLevel="0" collapsed="false">
      <c r="A167" s="0" t="s">
        <v>2827</v>
      </c>
      <c r="B167" s="0" t="s">
        <v>2240</v>
      </c>
      <c r="C167" s="0" t="s">
        <v>2241</v>
      </c>
      <c r="D167" s="0" t="s">
        <v>2242</v>
      </c>
      <c r="E167" s="0" t="s">
        <v>2243</v>
      </c>
      <c r="F167" s="0" t="s">
        <v>2828</v>
      </c>
      <c r="G167" s="0" t="s">
        <v>2829</v>
      </c>
      <c r="H167" s="0" t="s">
        <v>2830</v>
      </c>
      <c r="I167" s="0" t="s">
        <v>49</v>
      </c>
      <c r="J167" s="0" t="s">
        <v>49</v>
      </c>
      <c r="K167" s="0" t="s">
        <v>49</v>
      </c>
      <c r="L167" s="0" t="s">
        <v>49</v>
      </c>
      <c r="M167" s="0" t="s">
        <v>49</v>
      </c>
      <c r="N167" s="0" t="s">
        <v>49</v>
      </c>
    </row>
    <row r="168" customFormat="false" ht="15" hidden="false" customHeight="false" outlineLevel="0" collapsed="false">
      <c r="A168" s="0" t="s">
        <v>2831</v>
      </c>
      <c r="B168" s="0" t="s">
        <v>1004</v>
      </c>
      <c r="C168" s="0" t="s">
        <v>1005</v>
      </c>
      <c r="D168" s="0" t="s">
        <v>1006</v>
      </c>
      <c r="E168" s="0" t="s">
        <v>1007</v>
      </c>
      <c r="F168" s="0" t="s">
        <v>49</v>
      </c>
      <c r="G168" s="0" t="s">
        <v>2832</v>
      </c>
      <c r="H168" s="0" t="s">
        <v>2833</v>
      </c>
      <c r="I168" s="0" t="str">
        <f aca="false">HYPERLINK("https://omim.org/entry/212066", "212066")</f>
        <v>212066</v>
      </c>
      <c r="J168" s="0" t="s">
        <v>49</v>
      </c>
      <c r="K168" s="0" t="s">
        <v>49</v>
      </c>
      <c r="L168" s="0" t="s">
        <v>49</v>
      </c>
      <c r="M168" s="0" t="s">
        <v>49</v>
      </c>
      <c r="N168" s="0" t="s">
        <v>49</v>
      </c>
    </row>
    <row r="169" customFormat="false" ht="15" hidden="false" customHeight="false" outlineLevel="0" collapsed="false">
      <c r="A169" s="0" t="s">
        <v>2834</v>
      </c>
      <c r="B169" s="0" t="s">
        <v>49</v>
      </c>
      <c r="C169" s="0" t="s">
        <v>1399</v>
      </c>
      <c r="D169" s="0" t="s">
        <v>49</v>
      </c>
      <c r="E169" s="0" t="s">
        <v>49</v>
      </c>
      <c r="F169" s="0" t="s">
        <v>49</v>
      </c>
      <c r="G169" s="0" t="s">
        <v>49</v>
      </c>
      <c r="H169" s="0" t="s">
        <v>49</v>
      </c>
      <c r="I169" s="0" t="s">
        <v>49</v>
      </c>
      <c r="J169" s="0" t="s">
        <v>49</v>
      </c>
      <c r="K169" s="0" t="s">
        <v>49</v>
      </c>
      <c r="L169" s="0" t="s">
        <v>49</v>
      </c>
      <c r="M169" s="0" t="s">
        <v>49</v>
      </c>
      <c r="N169" s="0" t="s">
        <v>49</v>
      </c>
    </row>
    <row r="170" customFormat="false" ht="15" hidden="false" customHeight="false" outlineLevel="0" collapsed="false">
      <c r="A170" s="0" t="s">
        <v>2835</v>
      </c>
      <c r="B170" s="0" t="s">
        <v>49</v>
      </c>
      <c r="C170" s="0" t="s">
        <v>2836</v>
      </c>
      <c r="D170" s="0" t="s">
        <v>49</v>
      </c>
      <c r="E170" s="0" t="s">
        <v>49</v>
      </c>
      <c r="F170" s="0" t="s">
        <v>49</v>
      </c>
      <c r="G170" s="0" t="s">
        <v>49</v>
      </c>
      <c r="H170" s="0" t="s">
        <v>49</v>
      </c>
      <c r="I170" s="0" t="s">
        <v>49</v>
      </c>
      <c r="J170" s="0" t="s">
        <v>49</v>
      </c>
      <c r="K170" s="0" t="s">
        <v>49</v>
      </c>
      <c r="L170" s="0" t="s">
        <v>49</v>
      </c>
      <c r="M170" s="0" t="s">
        <v>49</v>
      </c>
      <c r="N170" s="0" t="s">
        <v>49</v>
      </c>
    </row>
    <row r="171" customFormat="false" ht="15" hidden="false" customHeight="false" outlineLevel="0" collapsed="false">
      <c r="A171" s="0" t="s">
        <v>2837</v>
      </c>
      <c r="B171" s="0" t="s">
        <v>49</v>
      </c>
      <c r="C171" s="0" t="s">
        <v>2838</v>
      </c>
      <c r="D171" s="0" t="s">
        <v>49</v>
      </c>
      <c r="E171" s="0" t="s">
        <v>49</v>
      </c>
      <c r="F171" s="0" t="s">
        <v>49</v>
      </c>
      <c r="G171" s="0" t="s">
        <v>49</v>
      </c>
      <c r="H171" s="0" t="s">
        <v>49</v>
      </c>
      <c r="I171" s="0" t="s">
        <v>49</v>
      </c>
      <c r="J171" s="0" t="s">
        <v>49</v>
      </c>
      <c r="K171" s="0" t="s">
        <v>49</v>
      </c>
      <c r="L171" s="0" t="s">
        <v>49</v>
      </c>
      <c r="M171" s="0" t="s">
        <v>49</v>
      </c>
      <c r="N171" s="0" t="s">
        <v>49</v>
      </c>
    </row>
    <row r="172" customFormat="false" ht="15" hidden="false" customHeight="false" outlineLevel="0" collapsed="false">
      <c r="A172" s="0" t="s">
        <v>2839</v>
      </c>
      <c r="B172" s="0" t="s">
        <v>1753</v>
      </c>
      <c r="C172" s="0" t="s">
        <v>1754</v>
      </c>
      <c r="D172" s="0" t="s">
        <v>1755</v>
      </c>
      <c r="E172" s="0" t="s">
        <v>49</v>
      </c>
      <c r="F172" s="0" t="s">
        <v>2840</v>
      </c>
      <c r="G172" s="0" t="s">
        <v>49</v>
      </c>
      <c r="H172" s="0" t="s">
        <v>49</v>
      </c>
      <c r="I172" s="0" t="s">
        <v>49</v>
      </c>
      <c r="J172" s="0" t="s">
        <v>49</v>
      </c>
      <c r="K172" s="0" t="s">
        <v>49</v>
      </c>
      <c r="L172" s="0" t="s">
        <v>49</v>
      </c>
      <c r="M172" s="0" t="s">
        <v>49</v>
      </c>
      <c r="N172" s="0" t="s">
        <v>49</v>
      </c>
    </row>
    <row r="173" customFormat="false" ht="15" hidden="false" customHeight="false" outlineLevel="0" collapsed="false">
      <c r="A173" s="0" t="s">
        <v>2841</v>
      </c>
      <c r="B173" s="0" t="s">
        <v>960</v>
      </c>
      <c r="C173" s="0" t="s">
        <v>961</v>
      </c>
      <c r="D173" s="0" t="s">
        <v>962</v>
      </c>
      <c r="E173" s="0" t="s">
        <v>49</v>
      </c>
      <c r="F173" s="0" t="s">
        <v>2842</v>
      </c>
      <c r="G173" s="0" t="s">
        <v>2843</v>
      </c>
      <c r="H173" s="0" t="s">
        <v>2844</v>
      </c>
      <c r="I173" s="0" t="s">
        <v>49</v>
      </c>
      <c r="J173" s="0" t="s">
        <v>49</v>
      </c>
      <c r="K173" s="0" t="s">
        <v>49</v>
      </c>
      <c r="L173" s="0" t="s">
        <v>49</v>
      </c>
      <c r="M173" s="0" t="s">
        <v>49</v>
      </c>
      <c r="N173" s="0" t="s">
        <v>49</v>
      </c>
    </row>
    <row r="174" customFormat="false" ht="15" hidden="false" customHeight="false" outlineLevel="0" collapsed="false">
      <c r="A174" s="0" t="s">
        <v>2845</v>
      </c>
      <c r="B174" s="0" t="s">
        <v>350</v>
      </c>
      <c r="C174" s="0" t="s">
        <v>351</v>
      </c>
      <c r="D174" s="0" t="s">
        <v>49</v>
      </c>
      <c r="E174" s="0" t="s">
        <v>49</v>
      </c>
      <c r="F174" s="0" t="s">
        <v>49</v>
      </c>
      <c r="G174" s="0" t="s">
        <v>49</v>
      </c>
      <c r="H174" s="0" t="s">
        <v>49</v>
      </c>
      <c r="I174" s="0" t="s">
        <v>49</v>
      </c>
      <c r="J174" s="0" t="s">
        <v>49</v>
      </c>
      <c r="K174" s="0" t="s">
        <v>49</v>
      </c>
      <c r="L174" s="0" t="s">
        <v>49</v>
      </c>
      <c r="M174" s="0" t="s">
        <v>49</v>
      </c>
      <c r="N174" s="0" t="s">
        <v>49</v>
      </c>
    </row>
    <row r="175" customFormat="false" ht="15" hidden="false" customHeight="false" outlineLevel="0" collapsed="false">
      <c r="A175" s="0" t="s">
        <v>2846</v>
      </c>
      <c r="B175" s="0" t="s">
        <v>49</v>
      </c>
      <c r="C175" s="0" t="s">
        <v>1287</v>
      </c>
      <c r="D175" s="0" t="s">
        <v>1288</v>
      </c>
      <c r="E175" s="0" t="s">
        <v>49</v>
      </c>
      <c r="F175" s="0" t="s">
        <v>49</v>
      </c>
      <c r="G175" s="0" t="s">
        <v>49</v>
      </c>
      <c r="H175" s="0" t="s">
        <v>49</v>
      </c>
      <c r="I175" s="0" t="s">
        <v>49</v>
      </c>
      <c r="J175" s="0" t="s">
        <v>49</v>
      </c>
      <c r="K175" s="0" t="s">
        <v>49</v>
      </c>
      <c r="L175" s="0" t="s">
        <v>49</v>
      </c>
      <c r="M175" s="0" t="s">
        <v>49</v>
      </c>
      <c r="N175" s="0" t="s">
        <v>49</v>
      </c>
    </row>
    <row r="176" customFormat="false" ht="15" hidden="false" customHeight="false" outlineLevel="0" collapsed="false">
      <c r="A176" s="0" t="s">
        <v>2847</v>
      </c>
      <c r="B176" s="0" t="s">
        <v>2210</v>
      </c>
      <c r="C176" s="0" t="s">
        <v>2211</v>
      </c>
      <c r="D176" s="0" t="s">
        <v>2212</v>
      </c>
      <c r="E176" s="0" t="s">
        <v>49</v>
      </c>
      <c r="F176" s="0" t="s">
        <v>49</v>
      </c>
      <c r="G176" s="0" t="s">
        <v>2848</v>
      </c>
      <c r="H176" s="0" t="s">
        <v>2849</v>
      </c>
      <c r="I176" s="0" t="s">
        <v>49</v>
      </c>
      <c r="J176" s="0" t="s">
        <v>49</v>
      </c>
      <c r="K176" s="0" t="s">
        <v>49</v>
      </c>
      <c r="L176" s="0" t="s">
        <v>49</v>
      </c>
      <c r="M176" s="0" t="s">
        <v>49</v>
      </c>
      <c r="N176" s="0" t="s">
        <v>49</v>
      </c>
    </row>
    <row r="177" customFormat="false" ht="15" hidden="false" customHeight="false" outlineLevel="0" collapsed="false">
      <c r="A177" s="0" t="s">
        <v>2850</v>
      </c>
      <c r="B177" s="0" t="s">
        <v>1913</v>
      </c>
      <c r="C177" s="0" t="s">
        <v>1914</v>
      </c>
      <c r="D177" s="0" t="s">
        <v>1915</v>
      </c>
      <c r="E177" s="0" t="s">
        <v>1916</v>
      </c>
      <c r="F177" s="0" t="s">
        <v>2851</v>
      </c>
      <c r="G177" s="0" t="s">
        <v>2852</v>
      </c>
      <c r="H177" s="0" t="s">
        <v>2853</v>
      </c>
      <c r="I177" s="0" t="str">
        <f aca="false">HYPERLINK("https://omim.org/entry/200100", "200100")</f>
        <v>200100</v>
      </c>
      <c r="J177" s="0" t="s">
        <v>49</v>
      </c>
      <c r="K177" s="0" t="s">
        <v>49</v>
      </c>
      <c r="L177" s="0" t="s">
        <v>49</v>
      </c>
      <c r="M177" s="0" t="s">
        <v>49</v>
      </c>
      <c r="N177" s="0" t="s">
        <v>49</v>
      </c>
    </row>
    <row r="178" customFormat="false" ht="15" hidden="false" customHeight="false" outlineLevel="0" collapsed="false">
      <c r="A178" s="0" t="s">
        <v>2854</v>
      </c>
      <c r="B178" s="0" t="s">
        <v>49</v>
      </c>
      <c r="C178" s="0" t="s">
        <v>1349</v>
      </c>
      <c r="D178" s="0" t="s">
        <v>1350</v>
      </c>
      <c r="E178" s="0" t="s">
        <v>49</v>
      </c>
      <c r="F178" s="0" t="s">
        <v>2855</v>
      </c>
      <c r="G178" s="0" t="s">
        <v>49</v>
      </c>
      <c r="H178" s="0" t="s">
        <v>49</v>
      </c>
      <c r="I178" s="0" t="s">
        <v>49</v>
      </c>
      <c r="J178" s="0" t="s">
        <v>49</v>
      </c>
      <c r="K178" s="0" t="s">
        <v>49</v>
      </c>
      <c r="L178" s="0" t="s">
        <v>49</v>
      </c>
      <c r="M178" s="0" t="s">
        <v>49</v>
      </c>
      <c r="N178" s="0" t="s">
        <v>49</v>
      </c>
    </row>
    <row r="179" customFormat="false" ht="15" hidden="false" customHeight="false" outlineLevel="0" collapsed="false">
      <c r="A179" s="0" t="s">
        <v>2856</v>
      </c>
      <c r="B179" s="0" t="s">
        <v>49</v>
      </c>
      <c r="C179" s="0" t="s">
        <v>2119</v>
      </c>
      <c r="D179" s="0" t="s">
        <v>2120</v>
      </c>
      <c r="E179" s="0" t="s">
        <v>49</v>
      </c>
      <c r="F179" s="0" t="s">
        <v>2857</v>
      </c>
      <c r="G179" s="0" t="s">
        <v>2858</v>
      </c>
      <c r="H179" s="0" t="s">
        <v>2859</v>
      </c>
      <c r="I179" s="0" t="s">
        <v>49</v>
      </c>
      <c r="J179" s="0" t="s">
        <v>49</v>
      </c>
      <c r="K179" s="0" t="s">
        <v>49</v>
      </c>
      <c r="L179" s="0" t="s">
        <v>49</v>
      </c>
      <c r="M179" s="0" t="s">
        <v>49</v>
      </c>
      <c r="N179" s="0" t="s">
        <v>49</v>
      </c>
    </row>
    <row r="180" customFormat="false" ht="15" hidden="false" customHeight="false" outlineLevel="0" collapsed="false">
      <c r="A180" s="0" t="s">
        <v>2860</v>
      </c>
      <c r="B180" s="0" t="s">
        <v>49</v>
      </c>
      <c r="C180" s="0" t="s">
        <v>911</v>
      </c>
      <c r="D180" s="0" t="s">
        <v>912</v>
      </c>
      <c r="E180" s="0" t="s">
        <v>49</v>
      </c>
      <c r="F180" s="0" t="s">
        <v>2861</v>
      </c>
      <c r="G180" s="0" t="s">
        <v>49</v>
      </c>
      <c r="H180" s="0" t="s">
        <v>49</v>
      </c>
      <c r="I180" s="0" t="s">
        <v>49</v>
      </c>
      <c r="J180" s="0" t="s">
        <v>49</v>
      </c>
      <c r="K180" s="0" t="s">
        <v>49</v>
      </c>
      <c r="L180" s="0" t="s">
        <v>49</v>
      </c>
      <c r="M180" s="0" t="s">
        <v>49</v>
      </c>
      <c r="N180" s="0" t="s">
        <v>49</v>
      </c>
    </row>
    <row r="181" customFormat="false" ht="15" hidden="false" customHeight="false" outlineLevel="0" collapsed="false">
      <c r="A181" s="0" t="s">
        <v>2862</v>
      </c>
      <c r="B181" s="0" t="s">
        <v>774</v>
      </c>
      <c r="C181" s="0" t="s">
        <v>775</v>
      </c>
      <c r="D181" s="0" t="s">
        <v>776</v>
      </c>
      <c r="E181" s="0" t="s">
        <v>49</v>
      </c>
      <c r="F181" s="0" t="s">
        <v>2863</v>
      </c>
      <c r="G181" s="0" t="s">
        <v>2864</v>
      </c>
      <c r="H181" s="0" t="s">
        <v>2551</v>
      </c>
      <c r="I181" s="0" t="s">
        <v>49</v>
      </c>
      <c r="J181" s="0" t="s">
        <v>49</v>
      </c>
      <c r="K181" s="0" t="s">
        <v>49</v>
      </c>
      <c r="L181" s="0" t="s">
        <v>49</v>
      </c>
      <c r="M181" s="0" t="s">
        <v>49</v>
      </c>
      <c r="N181" s="0" t="s">
        <v>49</v>
      </c>
    </row>
    <row r="182" customFormat="false" ht="15" hidden="false" customHeight="false" outlineLevel="0" collapsed="false">
      <c r="A182" s="0" t="s">
        <v>2865</v>
      </c>
      <c r="B182" s="0" t="s">
        <v>2013</v>
      </c>
      <c r="C182" s="0" t="s">
        <v>2014</v>
      </c>
      <c r="D182" s="0" t="s">
        <v>49</v>
      </c>
      <c r="E182" s="0" t="s">
        <v>49</v>
      </c>
      <c r="F182" s="0" t="s">
        <v>2866</v>
      </c>
      <c r="G182" s="0" t="s">
        <v>49</v>
      </c>
      <c r="H182" s="0" t="s">
        <v>49</v>
      </c>
      <c r="I182" s="0" t="s">
        <v>49</v>
      </c>
      <c r="J182" s="0" t="s">
        <v>49</v>
      </c>
      <c r="K182" s="0" t="s">
        <v>49</v>
      </c>
      <c r="L182" s="0" t="s">
        <v>49</v>
      </c>
      <c r="M182" s="0" t="s">
        <v>49</v>
      </c>
      <c r="N182" s="0" t="s">
        <v>49</v>
      </c>
    </row>
    <row r="183" customFormat="false" ht="15" hidden="false" customHeight="false" outlineLevel="0" collapsed="false">
      <c r="A183" s="0" t="s">
        <v>2867</v>
      </c>
      <c r="B183" s="0" t="s">
        <v>943</v>
      </c>
      <c r="C183" s="0" t="s">
        <v>944</v>
      </c>
      <c r="D183" s="0" t="s">
        <v>187</v>
      </c>
      <c r="E183" s="0" t="s">
        <v>945</v>
      </c>
      <c r="F183" s="0" t="s">
        <v>49</v>
      </c>
      <c r="G183" s="0" t="s">
        <v>2868</v>
      </c>
      <c r="H183" s="0" t="s">
        <v>2869</v>
      </c>
      <c r="I183" s="0" t="str">
        <f aca="false">HYPERLINK("https://omim.org/entry/614335", "614335")</f>
        <v>614335</v>
      </c>
      <c r="J183" s="0" t="str">
        <f aca="false">HYPERLINK("https://omim.org/entry/614915", "614915")</f>
        <v>614915</v>
      </c>
      <c r="K183" s="0" t="s">
        <v>49</v>
      </c>
      <c r="L183" s="0" t="s">
        <v>49</v>
      </c>
      <c r="M183" s="0" t="s">
        <v>49</v>
      </c>
      <c r="N183" s="0" t="s">
        <v>49</v>
      </c>
    </row>
    <row r="184" customFormat="false" ht="15" hidden="false" customHeight="false" outlineLevel="0" collapsed="false">
      <c r="A184" s="0" t="s">
        <v>2870</v>
      </c>
      <c r="B184" s="0" t="s">
        <v>185</v>
      </c>
      <c r="C184" s="0" t="s">
        <v>186</v>
      </c>
      <c r="D184" s="0" t="s">
        <v>187</v>
      </c>
      <c r="E184" s="0" t="s">
        <v>188</v>
      </c>
      <c r="F184" s="0" t="s">
        <v>49</v>
      </c>
      <c r="G184" s="0" t="s">
        <v>2871</v>
      </c>
      <c r="H184" s="0" t="s">
        <v>2872</v>
      </c>
      <c r="I184" s="0" t="str">
        <f aca="false">HYPERLINK("https://omim.org/entry/115197", "115197")</f>
        <v>115197</v>
      </c>
      <c r="J184" s="0" t="str">
        <f aca="false">HYPERLINK("https://omim.org/entry/615396", "615396")</f>
        <v>615396</v>
      </c>
      <c r="K184" s="0" t="str">
        <f aca="false">HYPERLINK("https://omim.org/entry/615396", "615396")</f>
        <v>615396</v>
      </c>
      <c r="L184" s="0" t="s">
        <v>49</v>
      </c>
      <c r="M184" s="0" t="s">
        <v>49</v>
      </c>
      <c r="N184" s="0" t="s">
        <v>49</v>
      </c>
    </row>
    <row r="185" customFormat="false" ht="15" hidden="false" customHeight="false" outlineLevel="0" collapsed="false">
      <c r="A185" s="0" t="s">
        <v>2873</v>
      </c>
      <c r="B185" s="0" t="s">
        <v>54</v>
      </c>
      <c r="C185" s="0" t="s">
        <v>970</v>
      </c>
      <c r="D185" s="0" t="s">
        <v>971</v>
      </c>
      <c r="E185" s="0" t="s">
        <v>49</v>
      </c>
      <c r="F185" s="0" t="s">
        <v>2874</v>
      </c>
      <c r="G185" s="0" t="s">
        <v>2875</v>
      </c>
      <c r="H185" s="0" t="s">
        <v>2876</v>
      </c>
      <c r="I185" s="0" t="s">
        <v>49</v>
      </c>
      <c r="J185" s="0" t="s">
        <v>49</v>
      </c>
      <c r="K185" s="0" t="s">
        <v>49</v>
      </c>
      <c r="L185" s="0" t="s">
        <v>49</v>
      </c>
      <c r="M185" s="0" t="s">
        <v>49</v>
      </c>
      <c r="N185" s="0" t="s">
        <v>49</v>
      </c>
    </row>
    <row r="186" customFormat="false" ht="15" hidden="false" customHeight="false" outlineLevel="0" collapsed="false">
      <c r="A186" s="0" t="s">
        <v>2877</v>
      </c>
      <c r="B186" s="0" t="s">
        <v>1234</v>
      </c>
      <c r="C186" s="0" t="s">
        <v>1235</v>
      </c>
      <c r="D186" s="0" t="s">
        <v>1236</v>
      </c>
      <c r="E186" s="0" t="s">
        <v>49</v>
      </c>
      <c r="F186" s="0" t="s">
        <v>49</v>
      </c>
      <c r="G186" s="0" t="s">
        <v>2878</v>
      </c>
      <c r="H186" s="0" t="s">
        <v>2879</v>
      </c>
      <c r="I186" s="0" t="s">
        <v>49</v>
      </c>
      <c r="J186" s="0" t="s">
        <v>49</v>
      </c>
      <c r="K186" s="0" t="s">
        <v>49</v>
      </c>
      <c r="L186" s="0" t="s">
        <v>49</v>
      </c>
      <c r="M186" s="0" t="s">
        <v>49</v>
      </c>
      <c r="N186" s="0" t="s">
        <v>49</v>
      </c>
    </row>
    <row r="187" customFormat="false" ht="15" hidden="false" customHeight="false" outlineLevel="0" collapsed="false">
      <c r="A187" s="0" t="s">
        <v>2880</v>
      </c>
      <c r="B187" s="0" t="s">
        <v>1299</v>
      </c>
      <c r="C187" s="0" t="s">
        <v>1314</v>
      </c>
      <c r="D187" s="0" t="s">
        <v>1301</v>
      </c>
      <c r="E187" s="0" t="s">
        <v>1302</v>
      </c>
      <c r="F187" s="0" t="s">
        <v>49</v>
      </c>
      <c r="G187" s="0" t="s">
        <v>2881</v>
      </c>
      <c r="H187" s="0" t="s">
        <v>2882</v>
      </c>
      <c r="I187" s="0" t="str">
        <f aca="false">HYPERLINK("https://omim.org/entry/251850", "251850")</f>
        <v>251850</v>
      </c>
      <c r="J187" s="0" t="s">
        <v>49</v>
      </c>
      <c r="K187" s="0" t="s">
        <v>49</v>
      </c>
      <c r="L187" s="0" t="s">
        <v>49</v>
      </c>
      <c r="M187" s="0" t="s">
        <v>49</v>
      </c>
      <c r="N187" s="0" t="s">
        <v>49</v>
      </c>
    </row>
    <row r="188" customFormat="false" ht="15" hidden="false" customHeight="false" outlineLevel="0" collapsed="false">
      <c r="A188" s="0" t="s">
        <v>2883</v>
      </c>
      <c r="B188" s="0" t="s">
        <v>94</v>
      </c>
      <c r="C188" s="0" t="s">
        <v>95</v>
      </c>
      <c r="D188" s="0" t="s">
        <v>96</v>
      </c>
      <c r="E188" s="0" t="s">
        <v>97</v>
      </c>
      <c r="F188" s="0" t="s">
        <v>2884</v>
      </c>
      <c r="G188" s="0" t="s">
        <v>2885</v>
      </c>
      <c r="H188" s="0" t="s">
        <v>2886</v>
      </c>
      <c r="I188" s="0" t="str">
        <f aca="false">HYPERLINK("https://omim.org/entry/276900", "276900")</f>
        <v>276900</v>
      </c>
      <c r="J188" s="0" t="str">
        <f aca="false">HYPERLINK("https://omim.org/entry/600060", "600060")</f>
        <v>600060</v>
      </c>
      <c r="K188" s="0" t="str">
        <f aca="false">HYPERLINK("https://omim.org/entry/601317", "601317")</f>
        <v>601317</v>
      </c>
      <c r="L188" s="0" t="s">
        <v>49</v>
      </c>
      <c r="M188" s="0" t="s">
        <v>49</v>
      </c>
      <c r="N188" s="0" t="s">
        <v>49</v>
      </c>
    </row>
    <row r="189" customFormat="false" ht="15" hidden="false" customHeight="false" outlineLevel="0" collapsed="false">
      <c r="A189" s="0" t="s">
        <v>2887</v>
      </c>
      <c r="B189" s="0" t="s">
        <v>1968</v>
      </c>
      <c r="C189" s="0" t="s">
        <v>1969</v>
      </c>
      <c r="D189" s="0" t="s">
        <v>1970</v>
      </c>
      <c r="E189" s="0" t="s">
        <v>1971</v>
      </c>
      <c r="F189" s="0" t="s">
        <v>2888</v>
      </c>
      <c r="G189" s="0" t="s">
        <v>2889</v>
      </c>
      <c r="H189" s="0" t="s">
        <v>2890</v>
      </c>
      <c r="I189" s="0" t="str">
        <f aca="false">HYPERLINK("https://omim.org/entry/609200", "609200")</f>
        <v>609200</v>
      </c>
      <c r="J189" s="0" t="str">
        <f aca="false">HYPERLINK("https://omim.org/entry/182920", "182920")</f>
        <v>182920</v>
      </c>
      <c r="K189" s="0" t="s">
        <v>49</v>
      </c>
      <c r="L189" s="0" t="s">
        <v>49</v>
      </c>
      <c r="M189" s="0" t="s">
        <v>49</v>
      </c>
      <c r="N189" s="0" t="s">
        <v>49</v>
      </c>
    </row>
    <row r="190" customFormat="false" ht="15" hidden="false" customHeight="false" outlineLevel="0" collapsed="false">
      <c r="A190" s="0" t="s">
        <v>2891</v>
      </c>
      <c r="B190" s="0" t="s">
        <v>975</v>
      </c>
      <c r="C190" s="0" t="s">
        <v>976</v>
      </c>
      <c r="D190" s="0" t="s">
        <v>977</v>
      </c>
      <c r="E190" s="0" t="s">
        <v>978</v>
      </c>
      <c r="F190" s="0" t="s">
        <v>49</v>
      </c>
      <c r="G190" s="0" t="s">
        <v>2892</v>
      </c>
      <c r="H190" s="0" t="s">
        <v>2893</v>
      </c>
      <c r="I190" s="0" t="str">
        <f aca="false">HYPERLINK("https://omim.org/entry/615419", "615419")</f>
        <v>615419</v>
      </c>
      <c r="J190" s="0" t="str">
        <f aca="false">HYPERLINK("https://omim.org/entry/616266", "616266")</f>
        <v>616266</v>
      </c>
      <c r="K190" s="0" t="s">
        <v>49</v>
      </c>
      <c r="L190" s="0" t="s">
        <v>49</v>
      </c>
      <c r="M190" s="0" t="s">
        <v>49</v>
      </c>
      <c r="N190" s="0" t="s">
        <v>49</v>
      </c>
    </row>
    <row r="191" customFormat="false" ht="15" hidden="false" customHeight="false" outlineLevel="0" collapsed="false">
      <c r="A191" s="0" t="s">
        <v>2894</v>
      </c>
      <c r="B191" s="0" t="s">
        <v>492</v>
      </c>
      <c r="C191" s="0" t="s">
        <v>493</v>
      </c>
      <c r="D191" s="0" t="s">
        <v>494</v>
      </c>
      <c r="E191" s="0" t="s">
        <v>49</v>
      </c>
      <c r="F191" s="0" t="s">
        <v>2895</v>
      </c>
      <c r="G191" s="0" t="s">
        <v>2896</v>
      </c>
      <c r="H191" s="0" t="s">
        <v>2897</v>
      </c>
      <c r="I191" s="0" t="s">
        <v>49</v>
      </c>
      <c r="J191" s="0" t="s">
        <v>49</v>
      </c>
      <c r="K191" s="0" t="s">
        <v>49</v>
      </c>
      <c r="L191" s="0" t="s">
        <v>49</v>
      </c>
      <c r="M191" s="0" t="s">
        <v>49</v>
      </c>
      <c r="N191" s="0" t="s">
        <v>49</v>
      </c>
    </row>
    <row r="192" customFormat="false" ht="15" hidden="false" customHeight="false" outlineLevel="0" collapsed="false">
      <c r="A192" s="0" t="s">
        <v>2898</v>
      </c>
      <c r="B192" s="0" t="s">
        <v>1148</v>
      </c>
      <c r="C192" s="0" t="s">
        <v>1149</v>
      </c>
      <c r="D192" s="0" t="s">
        <v>1150</v>
      </c>
      <c r="E192" s="0" t="s">
        <v>1151</v>
      </c>
      <c r="F192" s="0" t="s">
        <v>2899</v>
      </c>
      <c r="G192" s="0" t="s">
        <v>2900</v>
      </c>
      <c r="H192" s="0" t="s">
        <v>2901</v>
      </c>
      <c r="I192" s="0" t="str">
        <f aca="false">HYPERLINK("https://omim.org/entry/614019", "614019")</f>
        <v>614019</v>
      </c>
      <c r="J192" s="0" t="str">
        <f aca="false">HYPERLINK("https://omim.org/entry/605013", "605013")</f>
        <v>605013</v>
      </c>
      <c r="K192" s="0" t="s">
        <v>49</v>
      </c>
      <c r="L192" s="0" t="s">
        <v>49</v>
      </c>
      <c r="M192" s="0" t="s">
        <v>49</v>
      </c>
      <c r="N192" s="0" t="s">
        <v>49</v>
      </c>
    </row>
    <row r="193" customFormat="false" ht="15" hidden="false" customHeight="false" outlineLevel="0" collapsed="false">
      <c r="A193" s="0" t="s">
        <v>2902</v>
      </c>
      <c r="B193" s="0" t="s">
        <v>849</v>
      </c>
      <c r="C193" s="0" t="s">
        <v>850</v>
      </c>
      <c r="D193" s="0" t="s">
        <v>851</v>
      </c>
      <c r="E193" s="0" t="s">
        <v>852</v>
      </c>
      <c r="F193" s="0" t="s">
        <v>49</v>
      </c>
      <c r="G193" s="0" t="s">
        <v>2903</v>
      </c>
      <c r="H193" s="0" t="s">
        <v>2904</v>
      </c>
      <c r="I193" s="0" t="str">
        <f aca="false">HYPERLINK("https://omim.org/entry/256000", "256000")</f>
        <v>256000</v>
      </c>
      <c r="J193" s="0" t="s">
        <v>49</v>
      </c>
      <c r="K193" s="0" t="s">
        <v>49</v>
      </c>
      <c r="L193" s="0" t="s">
        <v>49</v>
      </c>
      <c r="M193" s="0" t="s">
        <v>49</v>
      </c>
      <c r="N193" s="0" t="s">
        <v>49</v>
      </c>
    </row>
    <row r="194" customFormat="false" ht="15" hidden="false" customHeight="false" outlineLevel="0" collapsed="false">
      <c r="A194" s="0" t="s">
        <v>2905</v>
      </c>
      <c r="B194" s="0" t="s">
        <v>2228</v>
      </c>
      <c r="C194" s="0" t="s">
        <v>2229</v>
      </c>
      <c r="D194" s="0" t="s">
        <v>2230</v>
      </c>
      <c r="E194" s="0" t="s">
        <v>49</v>
      </c>
      <c r="F194" s="0" t="s">
        <v>49</v>
      </c>
      <c r="G194" s="0" t="s">
        <v>49</v>
      </c>
      <c r="H194" s="0" t="s">
        <v>49</v>
      </c>
      <c r="I194" s="0" t="s">
        <v>49</v>
      </c>
      <c r="J194" s="0" t="s">
        <v>49</v>
      </c>
      <c r="K194" s="0" t="s">
        <v>49</v>
      </c>
      <c r="L194" s="0" t="s">
        <v>49</v>
      </c>
      <c r="M194" s="0" t="s">
        <v>49</v>
      </c>
      <c r="N194" s="0" t="s">
        <v>49</v>
      </c>
    </row>
    <row r="195" customFormat="false" ht="15" hidden="false" customHeight="false" outlineLevel="0" collapsed="false">
      <c r="A195" s="0" t="s">
        <v>2906</v>
      </c>
      <c r="B195" s="0" t="s">
        <v>1394</v>
      </c>
      <c r="C195" s="0" t="s">
        <v>1395</v>
      </c>
      <c r="D195" s="0" t="s">
        <v>1396</v>
      </c>
      <c r="E195" s="0" t="s">
        <v>49</v>
      </c>
      <c r="F195" s="0" t="s">
        <v>2907</v>
      </c>
      <c r="G195" s="0" t="s">
        <v>2908</v>
      </c>
      <c r="H195" s="0" t="s">
        <v>2909</v>
      </c>
      <c r="I195" s="0" t="s">
        <v>49</v>
      </c>
      <c r="J195" s="0" t="s">
        <v>49</v>
      </c>
      <c r="K195" s="0" t="s">
        <v>49</v>
      </c>
      <c r="L195" s="0" t="s">
        <v>49</v>
      </c>
      <c r="M195" s="0" t="s">
        <v>49</v>
      </c>
      <c r="N195" s="0" t="s">
        <v>49</v>
      </c>
    </row>
    <row r="196" customFormat="false" ht="15" hidden="false" customHeight="false" outlineLevel="0" collapsed="false">
      <c r="A196" s="0" t="s">
        <v>2910</v>
      </c>
      <c r="B196" s="0" t="s">
        <v>163</v>
      </c>
      <c r="C196" s="0" t="s">
        <v>164</v>
      </c>
      <c r="D196" s="0" t="s">
        <v>165</v>
      </c>
      <c r="E196" s="0" t="s">
        <v>166</v>
      </c>
      <c r="F196" s="0" t="s">
        <v>2911</v>
      </c>
      <c r="G196" s="0" t="s">
        <v>2912</v>
      </c>
      <c r="H196" s="0" t="s">
        <v>2913</v>
      </c>
      <c r="I196" s="0" t="str">
        <f aca="false">HYPERLINK("https://omim.org/entry/187500", "187500")</f>
        <v>187500</v>
      </c>
      <c r="J196" s="0" t="str">
        <f aca="false">HYPERLINK("https://omim.org/entry/217095", "217095")</f>
        <v>217095</v>
      </c>
      <c r="K196" s="0" t="str">
        <f aca="false">HYPERLINK("https://omim.org/entry/225250", "225250")</f>
        <v>225250</v>
      </c>
      <c r="L196" s="0" t="str">
        <f aca="false">HYPERLINK("https://omim.org/entry/614432", "614432")</f>
        <v>614432</v>
      </c>
      <c r="M196" s="0" t="str">
        <f aca="false">HYPERLINK("https://omim.org/entry/614435", "614435")</f>
        <v>614435</v>
      </c>
      <c r="N196" s="0" t="s">
        <v>49</v>
      </c>
    </row>
    <row r="197" customFormat="false" ht="15" hidden="false" customHeight="false" outlineLevel="0" collapsed="false">
      <c r="A197" s="0" t="s">
        <v>2914</v>
      </c>
      <c r="B197" s="0" t="s">
        <v>2915</v>
      </c>
      <c r="C197" s="0" t="s">
        <v>2916</v>
      </c>
      <c r="D197" s="0" t="s">
        <v>2917</v>
      </c>
      <c r="E197" s="0" t="s">
        <v>49</v>
      </c>
      <c r="F197" s="0" t="s">
        <v>49</v>
      </c>
      <c r="G197" s="0" t="s">
        <v>49</v>
      </c>
      <c r="H197" s="0" t="s">
        <v>49</v>
      </c>
      <c r="I197" s="0" t="s">
        <v>49</v>
      </c>
      <c r="J197" s="0" t="s">
        <v>49</v>
      </c>
      <c r="K197" s="0" t="s">
        <v>49</v>
      </c>
      <c r="L197" s="0" t="s">
        <v>49</v>
      </c>
      <c r="M197" s="0" t="s">
        <v>49</v>
      </c>
      <c r="N197" s="0" t="s">
        <v>49</v>
      </c>
    </row>
    <row r="198" customFormat="false" ht="15" hidden="false" customHeight="false" outlineLevel="0" collapsed="false">
      <c r="A198" s="0" t="s">
        <v>2918</v>
      </c>
      <c r="B198" s="0" t="s">
        <v>1957</v>
      </c>
      <c r="C198" s="0" t="s">
        <v>1958</v>
      </c>
      <c r="D198" s="0" t="s">
        <v>1959</v>
      </c>
      <c r="E198" s="0" t="s">
        <v>49</v>
      </c>
      <c r="F198" s="0" t="s">
        <v>49</v>
      </c>
      <c r="G198" s="0" t="s">
        <v>2919</v>
      </c>
      <c r="H198" s="0" t="s">
        <v>2667</v>
      </c>
      <c r="I198" s="0" t="s">
        <v>49</v>
      </c>
      <c r="J198" s="0" t="s">
        <v>49</v>
      </c>
      <c r="K198" s="0" t="s">
        <v>49</v>
      </c>
      <c r="L198" s="0" t="s">
        <v>49</v>
      </c>
      <c r="M198" s="0" t="s">
        <v>49</v>
      </c>
      <c r="N198" s="0" t="s">
        <v>49</v>
      </c>
    </row>
    <row r="199" customFormat="false" ht="15" hidden="false" customHeight="false" outlineLevel="0" collapsed="false">
      <c r="A199" s="0" t="s">
        <v>2920</v>
      </c>
      <c r="B199" s="0" t="s">
        <v>668</v>
      </c>
      <c r="C199" s="0" t="s">
        <v>669</v>
      </c>
      <c r="D199" s="0" t="s">
        <v>670</v>
      </c>
      <c r="E199" s="0" t="s">
        <v>671</v>
      </c>
      <c r="F199" s="0" t="s">
        <v>2921</v>
      </c>
      <c r="G199" s="0" t="s">
        <v>2922</v>
      </c>
      <c r="H199" s="0" t="s">
        <v>2923</v>
      </c>
      <c r="I199" s="0" t="str">
        <f aca="false">HYPERLINK("https://omim.org/entry/120100", "120100")</f>
        <v>120100</v>
      </c>
      <c r="J199" s="0" t="str">
        <f aca="false">HYPERLINK("https://omim.org/entry/191900", "191900")</f>
        <v>191900</v>
      </c>
      <c r="K199" s="0" t="str">
        <f aca="false">HYPERLINK("https://omim.org/entry/607115", "607115")</f>
        <v>607115</v>
      </c>
      <c r="L199" s="0" t="s">
        <v>49</v>
      </c>
      <c r="M199" s="0" t="s">
        <v>49</v>
      </c>
      <c r="N199" s="0" t="s">
        <v>49</v>
      </c>
    </row>
    <row r="200" customFormat="false" ht="15" hidden="false" customHeight="false" outlineLevel="0" collapsed="false">
      <c r="A200" s="0" t="s">
        <v>2924</v>
      </c>
      <c r="B200" s="0" t="s">
        <v>1870</v>
      </c>
      <c r="C200" s="0" t="s">
        <v>1871</v>
      </c>
      <c r="D200" s="0" t="s">
        <v>1872</v>
      </c>
      <c r="E200" s="0" t="s">
        <v>49</v>
      </c>
      <c r="F200" s="0" t="s">
        <v>49</v>
      </c>
      <c r="G200" s="0" t="s">
        <v>2925</v>
      </c>
      <c r="H200" s="0" t="s">
        <v>2926</v>
      </c>
      <c r="I200" s="0" t="s">
        <v>49</v>
      </c>
      <c r="J200" s="0" t="s">
        <v>49</v>
      </c>
      <c r="K200" s="0" t="s">
        <v>49</v>
      </c>
      <c r="L200" s="0" t="s">
        <v>49</v>
      </c>
      <c r="M200" s="0" t="s">
        <v>49</v>
      </c>
      <c r="N200" s="0" t="s">
        <v>49</v>
      </c>
    </row>
    <row r="201" customFormat="false" ht="15" hidden="false" customHeight="false" outlineLevel="0" collapsed="false">
      <c r="A201" s="0" t="s">
        <v>2927</v>
      </c>
      <c r="B201" s="0" t="s">
        <v>2234</v>
      </c>
      <c r="C201" s="0" t="s">
        <v>2235</v>
      </c>
      <c r="D201" s="0" t="s">
        <v>49</v>
      </c>
      <c r="E201" s="0" t="s">
        <v>49</v>
      </c>
      <c r="F201" s="0" t="s">
        <v>49</v>
      </c>
      <c r="G201" s="0" t="s">
        <v>2928</v>
      </c>
      <c r="H201" s="0" t="s">
        <v>49</v>
      </c>
      <c r="I201" s="0" t="s">
        <v>49</v>
      </c>
      <c r="J201" s="0" t="s">
        <v>49</v>
      </c>
      <c r="K201" s="0" t="s">
        <v>49</v>
      </c>
      <c r="L201" s="0" t="s">
        <v>49</v>
      </c>
      <c r="M201" s="0" t="s">
        <v>49</v>
      </c>
      <c r="N201" s="0" t="s">
        <v>49</v>
      </c>
    </row>
    <row r="202" customFormat="false" ht="15" hidden="false" customHeight="false" outlineLevel="0" collapsed="false">
      <c r="A202" s="0" t="s">
        <v>2929</v>
      </c>
      <c r="B202" s="0" t="s">
        <v>826</v>
      </c>
      <c r="C202" s="0" t="s">
        <v>827</v>
      </c>
      <c r="D202" s="0" t="s">
        <v>828</v>
      </c>
      <c r="E202" s="0" t="s">
        <v>49</v>
      </c>
      <c r="F202" s="0" t="s">
        <v>2930</v>
      </c>
      <c r="G202" s="0" t="s">
        <v>49</v>
      </c>
      <c r="H202" s="0" t="s">
        <v>49</v>
      </c>
      <c r="I202" s="0" t="s">
        <v>49</v>
      </c>
      <c r="J202" s="0" t="s">
        <v>49</v>
      </c>
      <c r="K202" s="0" t="s">
        <v>49</v>
      </c>
      <c r="L202" s="0" t="s">
        <v>49</v>
      </c>
      <c r="M202" s="0" t="s">
        <v>49</v>
      </c>
      <c r="N202" s="0" t="s">
        <v>49</v>
      </c>
    </row>
    <row r="203" customFormat="false" ht="15" hidden="false" customHeight="false" outlineLevel="0" collapsed="false">
      <c r="A203" s="0" t="s">
        <v>2931</v>
      </c>
      <c r="B203" s="0" t="s">
        <v>140</v>
      </c>
      <c r="C203" s="0" t="s">
        <v>141</v>
      </c>
      <c r="D203" s="0" t="s">
        <v>142</v>
      </c>
      <c r="E203" s="0" t="s">
        <v>49</v>
      </c>
      <c r="F203" s="0" t="s">
        <v>49</v>
      </c>
      <c r="G203" s="0" t="s">
        <v>2932</v>
      </c>
      <c r="H203" s="0" t="s">
        <v>2933</v>
      </c>
      <c r="I203" s="0" t="s">
        <v>49</v>
      </c>
      <c r="J203" s="0" t="s">
        <v>49</v>
      </c>
      <c r="K203" s="0" t="s">
        <v>49</v>
      </c>
      <c r="L203" s="0" t="s">
        <v>49</v>
      </c>
      <c r="M203" s="0" t="s">
        <v>49</v>
      </c>
      <c r="N203" s="0" t="s">
        <v>49</v>
      </c>
    </row>
    <row r="204" customFormat="false" ht="15" hidden="false" customHeight="false" outlineLevel="0" collapsed="false">
      <c r="A204" s="0" t="s">
        <v>2934</v>
      </c>
      <c r="B204" s="0" t="s">
        <v>1975</v>
      </c>
      <c r="C204" s="0" t="s">
        <v>1976</v>
      </c>
      <c r="D204" s="0" t="s">
        <v>1977</v>
      </c>
      <c r="E204" s="0" t="s">
        <v>49</v>
      </c>
      <c r="F204" s="0" t="s">
        <v>2935</v>
      </c>
      <c r="G204" s="0" t="s">
        <v>2936</v>
      </c>
      <c r="H204" s="0" t="s">
        <v>2937</v>
      </c>
      <c r="I204" s="0" t="s">
        <v>49</v>
      </c>
      <c r="J204" s="0" t="s">
        <v>49</v>
      </c>
      <c r="K204" s="0" t="s">
        <v>49</v>
      </c>
      <c r="L204" s="0" t="s">
        <v>49</v>
      </c>
      <c r="M204" s="0" t="s">
        <v>49</v>
      </c>
      <c r="N204" s="0" t="s">
        <v>49</v>
      </c>
    </row>
    <row r="205" customFormat="false" ht="15" hidden="false" customHeight="false" outlineLevel="0" collapsed="false">
      <c r="A205" s="0" t="s">
        <v>2938</v>
      </c>
      <c r="B205" s="0" t="s">
        <v>746</v>
      </c>
      <c r="C205" s="0" t="s">
        <v>747</v>
      </c>
      <c r="D205" s="0" t="s">
        <v>748</v>
      </c>
      <c r="E205" s="0" t="s">
        <v>49</v>
      </c>
      <c r="F205" s="0" t="s">
        <v>2939</v>
      </c>
      <c r="G205" s="0" t="s">
        <v>49</v>
      </c>
      <c r="H205" s="0" t="s">
        <v>49</v>
      </c>
      <c r="I205" s="0" t="s">
        <v>49</v>
      </c>
      <c r="J205" s="0" t="s">
        <v>49</v>
      </c>
      <c r="K205" s="0" t="s">
        <v>49</v>
      </c>
      <c r="L205" s="0" t="s">
        <v>49</v>
      </c>
      <c r="M205" s="0" t="s">
        <v>49</v>
      </c>
      <c r="N205" s="0" t="s">
        <v>49</v>
      </c>
    </row>
    <row r="206" customFormat="false" ht="15" hidden="false" customHeight="false" outlineLevel="0" collapsed="false">
      <c r="A206" s="0" t="s">
        <v>2940</v>
      </c>
      <c r="B206" s="0" t="s">
        <v>1994</v>
      </c>
      <c r="C206" s="0" t="s">
        <v>1995</v>
      </c>
      <c r="D206" s="0" t="s">
        <v>1996</v>
      </c>
      <c r="E206" s="0" t="s">
        <v>49</v>
      </c>
      <c r="F206" s="0" t="s">
        <v>49</v>
      </c>
      <c r="G206" s="0" t="s">
        <v>2941</v>
      </c>
      <c r="H206" s="0" t="s">
        <v>49</v>
      </c>
      <c r="I206" s="0" t="s">
        <v>49</v>
      </c>
      <c r="J206" s="0" t="s">
        <v>49</v>
      </c>
      <c r="K206" s="0" t="s">
        <v>49</v>
      </c>
      <c r="L206" s="0" t="s">
        <v>49</v>
      </c>
      <c r="M206" s="0" t="s">
        <v>49</v>
      </c>
      <c r="N206" s="0" t="s">
        <v>49</v>
      </c>
    </row>
    <row r="207" customFormat="false" ht="15" hidden="false" customHeight="false" outlineLevel="0" collapsed="false">
      <c r="A207" s="0" t="s">
        <v>2942</v>
      </c>
      <c r="B207" s="0" t="s">
        <v>1794</v>
      </c>
      <c r="C207" s="0" t="s">
        <v>1795</v>
      </c>
      <c r="D207" s="0" t="s">
        <v>1796</v>
      </c>
      <c r="E207" s="0" t="s">
        <v>49</v>
      </c>
      <c r="F207" s="0" t="s">
        <v>2943</v>
      </c>
      <c r="G207" s="0" t="s">
        <v>2944</v>
      </c>
      <c r="H207" s="0" t="s">
        <v>2945</v>
      </c>
      <c r="I207" s="0" t="s">
        <v>49</v>
      </c>
      <c r="J207" s="0" t="s">
        <v>49</v>
      </c>
      <c r="K207" s="0" t="s">
        <v>49</v>
      </c>
      <c r="L207" s="0" t="s">
        <v>49</v>
      </c>
      <c r="M207" s="0" t="s">
        <v>49</v>
      </c>
      <c r="N207" s="0" t="s">
        <v>49</v>
      </c>
    </row>
    <row r="208" customFormat="false" ht="15" hidden="false" customHeight="false" outlineLevel="0" collapsed="false">
      <c r="A208" s="0" t="s">
        <v>2946</v>
      </c>
      <c r="B208" s="0" t="s">
        <v>152</v>
      </c>
      <c r="C208" s="0" t="s">
        <v>153</v>
      </c>
      <c r="D208" s="0" t="s">
        <v>154</v>
      </c>
      <c r="E208" s="0" t="s">
        <v>49</v>
      </c>
      <c r="F208" s="0" t="s">
        <v>49</v>
      </c>
      <c r="G208" s="0" t="s">
        <v>2947</v>
      </c>
      <c r="H208" s="0" t="s">
        <v>2336</v>
      </c>
      <c r="I208" s="0" t="s">
        <v>49</v>
      </c>
      <c r="J208" s="0" t="s">
        <v>49</v>
      </c>
      <c r="K208" s="0" t="s">
        <v>49</v>
      </c>
      <c r="L208" s="0" t="s">
        <v>49</v>
      </c>
      <c r="M208" s="0" t="s">
        <v>49</v>
      </c>
      <c r="N208" s="0" t="s">
        <v>49</v>
      </c>
    </row>
    <row r="209" customFormat="false" ht="15" hidden="false" customHeight="false" outlineLevel="0" collapsed="false">
      <c r="A209" s="0" t="s">
        <v>2948</v>
      </c>
      <c r="B209" s="0" t="s">
        <v>1268</v>
      </c>
      <c r="C209" s="0" t="s">
        <v>1269</v>
      </c>
      <c r="D209" s="0" t="s">
        <v>49</v>
      </c>
      <c r="E209" s="0" t="s">
        <v>49</v>
      </c>
      <c r="F209" s="0" t="s">
        <v>49</v>
      </c>
      <c r="G209" s="0" t="s">
        <v>49</v>
      </c>
      <c r="H209" s="0" t="s">
        <v>49</v>
      </c>
      <c r="I209" s="0" t="s">
        <v>49</v>
      </c>
      <c r="J209" s="0" t="s">
        <v>49</v>
      </c>
      <c r="K209" s="0" t="s">
        <v>49</v>
      </c>
      <c r="L209" s="0" t="s">
        <v>49</v>
      </c>
      <c r="M209" s="0" t="s">
        <v>49</v>
      </c>
      <c r="N209" s="0" t="s">
        <v>49</v>
      </c>
    </row>
    <row r="210" customFormat="false" ht="15" hidden="false" customHeight="false" outlineLevel="0" collapsed="false">
      <c r="A210" s="0" t="s">
        <v>2949</v>
      </c>
      <c r="B210" s="0" t="s">
        <v>2258</v>
      </c>
      <c r="C210" s="0" t="s">
        <v>2259</v>
      </c>
      <c r="D210" s="0" t="s">
        <v>2260</v>
      </c>
      <c r="E210" s="0" t="s">
        <v>49</v>
      </c>
      <c r="F210" s="0" t="s">
        <v>49</v>
      </c>
      <c r="G210" s="0" t="s">
        <v>2950</v>
      </c>
      <c r="H210" s="0" t="s">
        <v>2951</v>
      </c>
      <c r="I210" s="0" t="s">
        <v>49</v>
      </c>
      <c r="J210" s="0" t="s">
        <v>49</v>
      </c>
      <c r="K210" s="0" t="s">
        <v>49</v>
      </c>
      <c r="L210" s="0" t="s">
        <v>49</v>
      </c>
      <c r="M210" s="0" t="s">
        <v>49</v>
      </c>
      <c r="N210" s="0" t="s">
        <v>49</v>
      </c>
    </row>
    <row r="211" customFormat="false" ht="15" hidden="false" customHeight="false" outlineLevel="0" collapsed="false">
      <c r="A211" s="0" t="s">
        <v>2952</v>
      </c>
      <c r="B211" s="0" t="s">
        <v>2953</v>
      </c>
      <c r="C211" s="0" t="s">
        <v>2954</v>
      </c>
      <c r="D211" s="0" t="s">
        <v>2955</v>
      </c>
      <c r="E211" s="0" t="s">
        <v>49</v>
      </c>
      <c r="F211" s="0" t="s">
        <v>49</v>
      </c>
      <c r="G211" s="0" t="s">
        <v>49</v>
      </c>
      <c r="H211" s="0" t="s">
        <v>49</v>
      </c>
      <c r="I211" s="0" t="s">
        <v>49</v>
      </c>
      <c r="J211" s="0" t="s">
        <v>49</v>
      </c>
      <c r="K211" s="0" t="s">
        <v>49</v>
      </c>
      <c r="L211" s="0" t="s">
        <v>49</v>
      </c>
      <c r="M211" s="0" t="s">
        <v>49</v>
      </c>
      <c r="N211" s="0" t="s">
        <v>49</v>
      </c>
    </row>
    <row r="212" customFormat="false" ht="15" hidden="false" customHeight="false" outlineLevel="0" collapsed="false">
      <c r="A212" s="0" t="s">
        <v>2956</v>
      </c>
      <c r="B212" s="0" t="s">
        <v>2957</v>
      </c>
      <c r="C212" s="0" t="s">
        <v>2958</v>
      </c>
      <c r="D212" s="0" t="s">
        <v>2955</v>
      </c>
      <c r="E212" s="0" t="s">
        <v>49</v>
      </c>
      <c r="F212" s="0" t="s">
        <v>49</v>
      </c>
      <c r="G212" s="0" t="s">
        <v>49</v>
      </c>
      <c r="H212" s="0" t="s">
        <v>49</v>
      </c>
      <c r="I212" s="0" t="s">
        <v>49</v>
      </c>
      <c r="J212" s="0" t="s">
        <v>49</v>
      </c>
      <c r="K212" s="0" t="s">
        <v>49</v>
      </c>
      <c r="L212" s="0" t="s">
        <v>49</v>
      </c>
      <c r="M212" s="0" t="s">
        <v>49</v>
      </c>
      <c r="N212" s="0" t="s">
        <v>49</v>
      </c>
    </row>
    <row r="213" customFormat="false" ht="15" hidden="false" customHeight="false" outlineLevel="0" collapsed="false">
      <c r="A213" s="0" t="s">
        <v>2959</v>
      </c>
      <c r="B213" s="0" t="s">
        <v>1160</v>
      </c>
      <c r="C213" s="0" t="s">
        <v>1161</v>
      </c>
      <c r="D213" s="0" t="s">
        <v>1162</v>
      </c>
      <c r="E213" s="0" t="s">
        <v>1163</v>
      </c>
      <c r="F213" s="0" t="s">
        <v>49</v>
      </c>
      <c r="G213" s="0" t="s">
        <v>2960</v>
      </c>
      <c r="H213" s="0" t="s">
        <v>2961</v>
      </c>
      <c r="I213" s="0" t="str">
        <f aca="false">HYPERLINK("https://omim.org/entry/114480", "114480")</f>
        <v>114480</v>
      </c>
      <c r="J213" s="0" t="str">
        <f aca="false">HYPERLINK("https://omim.org/entry/610832", "610832")</f>
        <v>610832</v>
      </c>
      <c r="K213" s="0" t="str">
        <f aca="false">HYPERLINK("https://omim.org/entry/613348", "613348")</f>
        <v>613348</v>
      </c>
      <c r="L213" s="0" t="s">
        <v>49</v>
      </c>
      <c r="M213" s="0" t="s">
        <v>49</v>
      </c>
      <c r="N213" s="0" t="s">
        <v>49</v>
      </c>
    </row>
    <row r="214" customFormat="false" ht="15" hidden="false" customHeight="false" outlineLevel="0" collapsed="false">
      <c r="A214" s="0" t="s">
        <v>2962</v>
      </c>
      <c r="B214" s="0" t="s">
        <v>511</v>
      </c>
      <c r="C214" s="0" t="s">
        <v>512</v>
      </c>
      <c r="D214" s="0" t="s">
        <v>513</v>
      </c>
      <c r="E214" s="0" t="s">
        <v>49</v>
      </c>
      <c r="F214" s="0" t="s">
        <v>2963</v>
      </c>
      <c r="G214" s="0" t="s">
        <v>49</v>
      </c>
      <c r="H214" s="0" t="s">
        <v>49</v>
      </c>
      <c r="I214" s="0" t="s">
        <v>49</v>
      </c>
      <c r="J214" s="0" t="s">
        <v>49</v>
      </c>
      <c r="K214" s="0" t="s">
        <v>49</v>
      </c>
      <c r="L214" s="0" t="s">
        <v>49</v>
      </c>
      <c r="M214" s="0" t="s">
        <v>49</v>
      </c>
      <c r="N214" s="0" t="s">
        <v>49</v>
      </c>
    </row>
    <row r="215" customFormat="false" ht="15" hidden="false" customHeight="false" outlineLevel="0" collapsed="false">
      <c r="A215" s="0" t="s">
        <v>2964</v>
      </c>
      <c r="B215" s="0" t="s">
        <v>198</v>
      </c>
      <c r="C215" s="0" t="s">
        <v>199</v>
      </c>
      <c r="D215" s="0" t="s">
        <v>200</v>
      </c>
      <c r="E215" s="0" t="s">
        <v>49</v>
      </c>
      <c r="F215" s="0" t="s">
        <v>2965</v>
      </c>
      <c r="G215" s="0" t="s">
        <v>2966</v>
      </c>
      <c r="H215" s="0" t="s">
        <v>2967</v>
      </c>
      <c r="I215" s="0" t="s">
        <v>49</v>
      </c>
      <c r="J215" s="0" t="s">
        <v>49</v>
      </c>
      <c r="K215" s="0" t="s">
        <v>49</v>
      </c>
      <c r="L215" s="0" t="s">
        <v>49</v>
      </c>
      <c r="M215" s="0" t="s">
        <v>49</v>
      </c>
      <c r="N215" s="0" t="s">
        <v>49</v>
      </c>
    </row>
    <row r="216" customFormat="false" ht="15" hidden="false" customHeight="false" outlineLevel="0" collapsed="false">
      <c r="A216" s="0" t="s">
        <v>2968</v>
      </c>
      <c r="B216" s="0" t="s">
        <v>965</v>
      </c>
      <c r="C216" s="0" t="s">
        <v>966</v>
      </c>
      <c r="D216" s="0" t="s">
        <v>49</v>
      </c>
      <c r="E216" s="0" t="s">
        <v>49</v>
      </c>
      <c r="F216" s="0" t="s">
        <v>2969</v>
      </c>
      <c r="G216" s="0" t="s">
        <v>49</v>
      </c>
      <c r="H216" s="0" t="s">
        <v>49</v>
      </c>
      <c r="I216" s="0" t="s">
        <v>49</v>
      </c>
      <c r="J216" s="0" t="s">
        <v>49</v>
      </c>
      <c r="K216" s="0" t="s">
        <v>49</v>
      </c>
      <c r="L216" s="0" t="s">
        <v>49</v>
      </c>
      <c r="M216" s="0" t="s">
        <v>49</v>
      </c>
      <c r="N216" s="0" t="s">
        <v>49</v>
      </c>
    </row>
    <row r="217" customFormat="false" ht="15" hidden="false" customHeight="false" outlineLevel="0" collapsed="false">
      <c r="A217" s="0" t="s">
        <v>2970</v>
      </c>
      <c r="B217" s="0" t="s">
        <v>49</v>
      </c>
      <c r="C217" s="0" t="s">
        <v>544</v>
      </c>
      <c r="D217" s="0" t="s">
        <v>545</v>
      </c>
      <c r="E217" s="0" t="s">
        <v>49</v>
      </c>
      <c r="F217" s="0" t="s">
        <v>2971</v>
      </c>
      <c r="G217" s="0" t="s">
        <v>49</v>
      </c>
      <c r="H217" s="0" t="s">
        <v>49</v>
      </c>
      <c r="I217" s="0" t="s">
        <v>49</v>
      </c>
      <c r="J217" s="0" t="s">
        <v>49</v>
      </c>
      <c r="K217" s="0" t="s">
        <v>49</v>
      </c>
      <c r="L217" s="0" t="s">
        <v>49</v>
      </c>
      <c r="M217" s="0" t="s">
        <v>49</v>
      </c>
      <c r="N217" s="0" t="s">
        <v>49</v>
      </c>
    </row>
    <row r="218" customFormat="false" ht="15" hidden="false" customHeight="false" outlineLevel="0" collapsed="false">
      <c r="A218" s="0" t="s">
        <v>2972</v>
      </c>
      <c r="B218" s="0" t="s">
        <v>81</v>
      </c>
      <c r="C218" s="0" t="s">
        <v>82</v>
      </c>
      <c r="D218" s="0" t="s">
        <v>83</v>
      </c>
      <c r="E218" s="0" t="s">
        <v>84</v>
      </c>
      <c r="F218" s="0" t="s">
        <v>49</v>
      </c>
      <c r="G218" s="0" t="s">
        <v>2973</v>
      </c>
      <c r="H218" s="0" t="s">
        <v>2974</v>
      </c>
      <c r="I218" s="0" t="str">
        <f aca="false">HYPERLINK("https://omim.org/entry/261650", "261650")</f>
        <v>261650</v>
      </c>
      <c r="J218" s="0" t="s">
        <v>49</v>
      </c>
      <c r="K218" s="0" t="s">
        <v>49</v>
      </c>
      <c r="L218" s="0" t="s">
        <v>49</v>
      </c>
      <c r="M218" s="0" t="s">
        <v>49</v>
      </c>
      <c r="N218" s="0" t="s">
        <v>49</v>
      </c>
    </row>
    <row r="219" customFormat="false" ht="15" hidden="false" customHeight="false" outlineLevel="0" collapsed="false">
      <c r="A219" s="0" t="s">
        <v>2975</v>
      </c>
      <c r="B219" s="0" t="s">
        <v>1963</v>
      </c>
      <c r="C219" s="0" t="s">
        <v>1964</v>
      </c>
      <c r="D219" s="0" t="s">
        <v>1965</v>
      </c>
      <c r="E219" s="0" t="s">
        <v>1966</v>
      </c>
      <c r="F219" s="0" t="s">
        <v>49</v>
      </c>
      <c r="G219" s="0" t="s">
        <v>2976</v>
      </c>
      <c r="H219" s="0" t="s">
        <v>2977</v>
      </c>
      <c r="I219" s="0" t="str">
        <f aca="false">HYPERLINK("https://omim.org/entry/600955", "600955")</f>
        <v>600955</v>
      </c>
      <c r="J219" s="0" t="s">
        <v>49</v>
      </c>
      <c r="K219" s="0" t="s">
        <v>49</v>
      </c>
      <c r="L219" s="0" t="s">
        <v>49</v>
      </c>
      <c r="M219" s="0" t="s">
        <v>49</v>
      </c>
      <c r="N219" s="0" t="s">
        <v>49</v>
      </c>
    </row>
    <row r="220" customFormat="false" ht="15" hidden="false" customHeight="false" outlineLevel="0" collapsed="false">
      <c r="A220" s="0" t="s">
        <v>2978</v>
      </c>
      <c r="B220" s="0" t="s">
        <v>175</v>
      </c>
      <c r="C220" s="0" t="s">
        <v>176</v>
      </c>
      <c r="D220" s="0" t="s">
        <v>177</v>
      </c>
      <c r="E220" s="0" t="s">
        <v>178</v>
      </c>
      <c r="F220" s="0" t="s">
        <v>2979</v>
      </c>
      <c r="G220" s="0" t="s">
        <v>2980</v>
      </c>
      <c r="H220" s="0" t="s">
        <v>49</v>
      </c>
      <c r="I220" s="0" t="str">
        <f aca="false">HYPERLINK("https://omim.org/entry/603776", "603776")</f>
        <v>603776</v>
      </c>
      <c r="J220" s="0" t="s">
        <v>49</v>
      </c>
      <c r="K220" s="0" t="s">
        <v>49</v>
      </c>
      <c r="L220" s="0" t="s">
        <v>49</v>
      </c>
      <c r="M220" s="0" t="s">
        <v>49</v>
      </c>
      <c r="N220" s="0" t="s">
        <v>49</v>
      </c>
    </row>
    <row r="221" customFormat="false" ht="15" hidden="false" customHeight="false" outlineLevel="0" collapsed="false">
      <c r="A221" s="0" t="s">
        <v>2981</v>
      </c>
      <c r="B221" s="0" t="s">
        <v>1981</v>
      </c>
      <c r="C221" s="0" t="s">
        <v>1982</v>
      </c>
      <c r="D221" s="0" t="s">
        <v>1983</v>
      </c>
      <c r="E221" s="0" t="s">
        <v>1984</v>
      </c>
      <c r="F221" s="0" t="s">
        <v>49</v>
      </c>
      <c r="G221" s="0" t="s">
        <v>2982</v>
      </c>
      <c r="H221" s="0" t="s">
        <v>2983</v>
      </c>
      <c r="I221" s="0" t="str">
        <f aca="false">HYPERLINK("https://omim.org/entry/613810", "613810")</f>
        <v>613810</v>
      </c>
      <c r="J221" s="0" t="s">
        <v>49</v>
      </c>
      <c r="K221" s="0" t="s">
        <v>49</v>
      </c>
      <c r="L221" s="0" t="s">
        <v>49</v>
      </c>
      <c r="M221" s="0" t="s">
        <v>49</v>
      </c>
      <c r="N221" s="0" t="s">
        <v>49</v>
      </c>
    </row>
    <row r="222" customFormat="false" ht="15" hidden="false" customHeight="false" outlineLevel="0" collapsed="false">
      <c r="A222" s="0" t="s">
        <v>2984</v>
      </c>
      <c r="B222" s="0" t="s">
        <v>2112</v>
      </c>
      <c r="C222" s="0" t="s">
        <v>2113</v>
      </c>
      <c r="D222" s="0" t="s">
        <v>2114</v>
      </c>
      <c r="E222" s="0" t="s">
        <v>49</v>
      </c>
      <c r="F222" s="0" t="s">
        <v>2985</v>
      </c>
      <c r="G222" s="0" t="s">
        <v>2986</v>
      </c>
      <c r="H222" s="0" t="s">
        <v>2987</v>
      </c>
      <c r="I222" s="0" t="s">
        <v>49</v>
      </c>
      <c r="J222" s="0" t="s">
        <v>49</v>
      </c>
      <c r="K222" s="0" t="s">
        <v>49</v>
      </c>
      <c r="L222" s="0" t="s">
        <v>49</v>
      </c>
      <c r="M222" s="0" t="s">
        <v>49</v>
      </c>
      <c r="N222" s="0" t="s">
        <v>49</v>
      </c>
    </row>
    <row r="223" customFormat="false" ht="15" hidden="false" customHeight="false" outlineLevel="0" collapsed="false">
      <c r="A223" s="0" t="s">
        <v>2988</v>
      </c>
      <c r="B223" s="0" t="s">
        <v>440</v>
      </c>
      <c r="C223" s="0" t="s">
        <v>441</v>
      </c>
      <c r="D223" s="0" t="s">
        <v>442</v>
      </c>
      <c r="E223" s="0" t="s">
        <v>49</v>
      </c>
      <c r="F223" s="0" t="s">
        <v>2989</v>
      </c>
      <c r="G223" s="0" t="s">
        <v>2990</v>
      </c>
      <c r="H223" s="0" t="s">
        <v>49</v>
      </c>
      <c r="I223" s="0" t="s">
        <v>49</v>
      </c>
      <c r="J223" s="0" t="s">
        <v>49</v>
      </c>
      <c r="K223" s="0" t="s">
        <v>49</v>
      </c>
      <c r="L223" s="0" t="s">
        <v>49</v>
      </c>
      <c r="M223" s="0" t="s">
        <v>49</v>
      </c>
      <c r="N223" s="0" t="s">
        <v>49</v>
      </c>
    </row>
    <row r="224" customFormat="false" ht="15" hidden="false" customHeight="false" outlineLevel="0" collapsed="false">
      <c r="A224" s="0" t="s">
        <v>2991</v>
      </c>
      <c r="B224" s="0" t="s">
        <v>675</v>
      </c>
      <c r="C224" s="0" t="s">
        <v>676</v>
      </c>
      <c r="D224" s="0" t="s">
        <v>677</v>
      </c>
      <c r="E224" s="0" t="s">
        <v>49</v>
      </c>
      <c r="F224" s="0" t="s">
        <v>49</v>
      </c>
      <c r="G224" s="0" t="s">
        <v>49</v>
      </c>
      <c r="H224" s="0" t="s">
        <v>49</v>
      </c>
      <c r="I224" s="0" t="s">
        <v>49</v>
      </c>
      <c r="J224" s="0" t="s">
        <v>49</v>
      </c>
      <c r="K224" s="0" t="s">
        <v>49</v>
      </c>
      <c r="L224" s="0" t="s">
        <v>49</v>
      </c>
      <c r="M224" s="0" t="s">
        <v>49</v>
      </c>
      <c r="N224" s="0" t="s">
        <v>49</v>
      </c>
    </row>
    <row r="225" customFormat="false" ht="15" hidden="false" customHeight="false" outlineLevel="0" collapsed="false">
      <c r="A225" s="0" t="s">
        <v>2992</v>
      </c>
      <c r="B225" s="0" t="s">
        <v>856</v>
      </c>
      <c r="C225" s="0" t="s">
        <v>857</v>
      </c>
      <c r="D225" s="0" t="s">
        <v>858</v>
      </c>
      <c r="E225" s="0" t="s">
        <v>49</v>
      </c>
      <c r="F225" s="0" t="s">
        <v>49</v>
      </c>
      <c r="G225" s="0" t="s">
        <v>2993</v>
      </c>
      <c r="H225" s="0" t="s">
        <v>2994</v>
      </c>
      <c r="I225" s="0" t="s">
        <v>49</v>
      </c>
      <c r="J225" s="0" t="s">
        <v>49</v>
      </c>
      <c r="K225" s="0" t="s">
        <v>49</v>
      </c>
      <c r="L225" s="0" t="s">
        <v>49</v>
      </c>
      <c r="M225" s="0" t="s">
        <v>49</v>
      </c>
      <c r="N225" s="0" t="s">
        <v>49</v>
      </c>
    </row>
    <row r="226" customFormat="false" ht="15" hidden="false" customHeight="false" outlineLevel="0" collapsed="false">
      <c r="A226" s="0" t="s">
        <v>2995</v>
      </c>
      <c r="B226" s="0" t="s">
        <v>1191</v>
      </c>
      <c r="C226" s="0" t="s">
        <v>1192</v>
      </c>
      <c r="D226" s="0" t="s">
        <v>1193</v>
      </c>
      <c r="E226" s="0" t="s">
        <v>1194</v>
      </c>
      <c r="F226" s="0" t="s">
        <v>2996</v>
      </c>
      <c r="G226" s="0" t="s">
        <v>2997</v>
      </c>
      <c r="H226" s="0" t="s">
        <v>2998</v>
      </c>
      <c r="I226" s="0" t="str">
        <f aca="false">HYPERLINK("https://omim.org/entry/194380", "194380")</f>
        <v>194380</v>
      </c>
      <c r="J226" s="0" t="s">
        <v>49</v>
      </c>
      <c r="K226" s="0" t="s">
        <v>49</v>
      </c>
      <c r="L226" s="0" t="s">
        <v>49</v>
      </c>
      <c r="M226" s="0" t="s">
        <v>49</v>
      </c>
      <c r="N226" s="0" t="s">
        <v>49</v>
      </c>
    </row>
    <row r="227" customFormat="false" ht="15" hidden="false" customHeight="false" outlineLevel="0" collapsed="false">
      <c r="A227" s="0" t="s">
        <v>2999</v>
      </c>
      <c r="B227" s="0" t="s">
        <v>1291</v>
      </c>
      <c r="C227" s="0" t="s">
        <v>1292</v>
      </c>
      <c r="D227" s="0" t="s">
        <v>1293</v>
      </c>
      <c r="E227" s="0" t="s">
        <v>1294</v>
      </c>
      <c r="F227" s="0" t="s">
        <v>49</v>
      </c>
      <c r="G227" s="0" t="s">
        <v>3000</v>
      </c>
      <c r="H227" s="0" t="s">
        <v>3001</v>
      </c>
      <c r="I227" s="0" t="str">
        <f aca="false">HYPERLINK("https://omim.org/entry/108145", "108145")</f>
        <v>108145</v>
      </c>
      <c r="J227" s="0" t="str">
        <f aca="false">HYPERLINK("https://omim.org/entry/114300", "114300")</f>
        <v>114300</v>
      </c>
      <c r="K227" s="0" t="str">
        <f aca="false">HYPERLINK("https://omim.org/entry/248700", "248700")</f>
        <v>248700</v>
      </c>
      <c r="L227" s="0" t="s">
        <v>49</v>
      </c>
      <c r="M227" s="0" t="s">
        <v>49</v>
      </c>
      <c r="N227" s="0" t="s">
        <v>49</v>
      </c>
    </row>
    <row r="228" customFormat="false" ht="15" hidden="false" customHeight="false" outlineLevel="0" collapsed="false">
      <c r="A228" s="0" t="s">
        <v>3002</v>
      </c>
      <c r="B228" s="0" t="s">
        <v>128</v>
      </c>
      <c r="C228" s="0" t="s">
        <v>129</v>
      </c>
      <c r="D228" s="0" t="s">
        <v>130</v>
      </c>
      <c r="E228" s="0" t="s">
        <v>131</v>
      </c>
      <c r="F228" s="0" t="s">
        <v>49</v>
      </c>
      <c r="G228" s="0" t="s">
        <v>3003</v>
      </c>
      <c r="H228" s="0" t="s">
        <v>3004</v>
      </c>
      <c r="I228" s="0" t="str">
        <f aca="false">HYPERLINK("https://omim.org/entry/173900", "173900")</f>
        <v>173900</v>
      </c>
      <c r="J228" s="0" t="s">
        <v>49</v>
      </c>
      <c r="K228" s="0" t="s">
        <v>49</v>
      </c>
      <c r="L228" s="0" t="s">
        <v>49</v>
      </c>
      <c r="M228" s="0" t="s">
        <v>49</v>
      </c>
      <c r="N228" s="0" t="s">
        <v>49</v>
      </c>
    </row>
    <row r="229" customFormat="false" ht="15" hidden="false" customHeight="false" outlineLevel="0" collapsed="false">
      <c r="A229" s="0" t="s">
        <v>3005</v>
      </c>
      <c r="B229" s="0" t="s">
        <v>2033</v>
      </c>
      <c r="C229" s="0" t="s">
        <v>2034</v>
      </c>
      <c r="D229" s="0" t="s">
        <v>2035</v>
      </c>
      <c r="E229" s="0" t="s">
        <v>49</v>
      </c>
      <c r="F229" s="0" t="s">
        <v>3006</v>
      </c>
      <c r="G229" s="0" t="s">
        <v>3007</v>
      </c>
      <c r="H229" s="0" t="s">
        <v>2417</v>
      </c>
      <c r="I229" s="0" t="s">
        <v>49</v>
      </c>
      <c r="J229" s="0" t="s">
        <v>49</v>
      </c>
      <c r="K229" s="0" t="s">
        <v>49</v>
      </c>
      <c r="L229" s="0" t="s">
        <v>49</v>
      </c>
      <c r="M229" s="0" t="s">
        <v>49</v>
      </c>
      <c r="N229" s="0" t="s">
        <v>49</v>
      </c>
    </row>
    <row r="230" customFormat="false" ht="15" hidden="false" customHeight="false" outlineLevel="0" collapsed="false">
      <c r="A230" s="0" t="s">
        <v>3008</v>
      </c>
      <c r="B230" s="0" t="s">
        <v>1545</v>
      </c>
      <c r="C230" s="0" t="s">
        <v>1546</v>
      </c>
      <c r="D230" s="0" t="s">
        <v>1547</v>
      </c>
      <c r="E230" s="0" t="s">
        <v>49</v>
      </c>
      <c r="F230" s="0" t="s">
        <v>3009</v>
      </c>
      <c r="G230" s="0" t="s">
        <v>3010</v>
      </c>
      <c r="H230" s="0" t="s">
        <v>2359</v>
      </c>
      <c r="I230" s="0" t="s">
        <v>49</v>
      </c>
      <c r="J230" s="0" t="s">
        <v>49</v>
      </c>
      <c r="K230" s="0" t="s">
        <v>49</v>
      </c>
      <c r="L230" s="0" t="s">
        <v>49</v>
      </c>
      <c r="M230" s="0" t="s">
        <v>49</v>
      </c>
      <c r="N230" s="0" t="s">
        <v>49</v>
      </c>
    </row>
    <row r="231" customFormat="false" ht="15" hidden="false" customHeight="false" outlineLevel="0" collapsed="false">
      <c r="A231" s="0" t="s">
        <v>3011</v>
      </c>
      <c r="B231" s="0" t="s">
        <v>49</v>
      </c>
      <c r="C231" s="0" t="s">
        <v>758</v>
      </c>
      <c r="D231" s="0" t="s">
        <v>49</v>
      </c>
      <c r="E231" s="0" t="s">
        <v>49</v>
      </c>
      <c r="F231" s="0" t="s">
        <v>49</v>
      </c>
      <c r="G231" s="0" t="s">
        <v>49</v>
      </c>
      <c r="H231" s="0" t="s">
        <v>49</v>
      </c>
      <c r="I231" s="0" t="s">
        <v>49</v>
      </c>
      <c r="J231" s="0" t="s">
        <v>49</v>
      </c>
      <c r="K231" s="0" t="s">
        <v>49</v>
      </c>
      <c r="L231" s="0" t="s">
        <v>49</v>
      </c>
      <c r="M231" s="0" t="s">
        <v>49</v>
      </c>
      <c r="N231" s="0" t="s">
        <v>49</v>
      </c>
    </row>
    <row r="232" customFormat="false" ht="15" hidden="false" customHeight="false" outlineLevel="0" collapsed="false">
      <c r="A232" s="0" t="s">
        <v>3012</v>
      </c>
      <c r="B232" s="0" t="s">
        <v>1801</v>
      </c>
      <c r="C232" s="0" t="s">
        <v>1802</v>
      </c>
      <c r="D232" s="0" t="s">
        <v>1803</v>
      </c>
      <c r="E232" s="0" t="s">
        <v>49</v>
      </c>
      <c r="F232" s="0" t="s">
        <v>49</v>
      </c>
      <c r="G232" s="0" t="s">
        <v>3013</v>
      </c>
      <c r="H232" s="0" t="s">
        <v>3014</v>
      </c>
      <c r="I232" s="0" t="s">
        <v>49</v>
      </c>
      <c r="J232" s="0" t="s">
        <v>49</v>
      </c>
      <c r="K232" s="0" t="s">
        <v>49</v>
      </c>
      <c r="L232" s="0" t="s">
        <v>49</v>
      </c>
      <c r="M232" s="0" t="s">
        <v>49</v>
      </c>
      <c r="N232" s="0" t="s">
        <v>49</v>
      </c>
    </row>
    <row r="233" customFormat="false" ht="15" hidden="false" customHeight="false" outlineLevel="0" collapsed="false">
      <c r="A233" s="0" t="s">
        <v>3015</v>
      </c>
      <c r="B233" s="0" t="s">
        <v>1562</v>
      </c>
      <c r="C233" s="0" t="s">
        <v>1563</v>
      </c>
      <c r="D233" s="0" t="s">
        <v>1564</v>
      </c>
      <c r="E233" s="0" t="s">
        <v>49</v>
      </c>
      <c r="F233" s="0" t="s">
        <v>3016</v>
      </c>
      <c r="G233" s="0" t="s">
        <v>3017</v>
      </c>
      <c r="H233" s="0" t="s">
        <v>3018</v>
      </c>
      <c r="I233" s="0" t="s">
        <v>49</v>
      </c>
      <c r="J233" s="0" t="s">
        <v>49</v>
      </c>
      <c r="K233" s="0" t="s">
        <v>49</v>
      </c>
      <c r="L233" s="0" t="s">
        <v>49</v>
      </c>
      <c r="M233" s="0" t="s">
        <v>49</v>
      </c>
      <c r="N233" s="0" t="s">
        <v>49</v>
      </c>
    </row>
    <row r="234" customFormat="false" ht="15" hidden="false" customHeight="false" outlineLevel="0" collapsed="false">
      <c r="A234" s="0" t="s">
        <v>3019</v>
      </c>
      <c r="B234" s="0" t="s">
        <v>1427</v>
      </c>
      <c r="C234" s="0" t="s">
        <v>1428</v>
      </c>
      <c r="D234" s="0" t="s">
        <v>1429</v>
      </c>
      <c r="E234" s="0" t="s">
        <v>1430</v>
      </c>
      <c r="F234" s="0" t="s">
        <v>3020</v>
      </c>
      <c r="G234" s="0" t="s">
        <v>3021</v>
      </c>
      <c r="H234" s="0" t="s">
        <v>2872</v>
      </c>
      <c r="I234" s="0" t="str">
        <f aca="false">HYPERLINK("https://omim.org/entry/613402", "613402")</f>
        <v>613402</v>
      </c>
      <c r="J234" s="0" t="str">
        <f aca="false">HYPERLINK("https://omim.org/entry/616267", "616267")</f>
        <v>616267</v>
      </c>
      <c r="K234" s="0" t="s">
        <v>49</v>
      </c>
      <c r="L234" s="0" t="s">
        <v>49</v>
      </c>
      <c r="M234" s="0" t="s">
        <v>49</v>
      </c>
      <c r="N234" s="0" t="s">
        <v>49</v>
      </c>
    </row>
    <row r="235" customFormat="false" ht="15" hidden="false" customHeight="false" outlineLevel="0" collapsed="false">
      <c r="A235" s="0" t="s">
        <v>3022</v>
      </c>
      <c r="B235" s="0" t="s">
        <v>518</v>
      </c>
      <c r="C235" s="0" t="s">
        <v>519</v>
      </c>
      <c r="D235" s="0" t="s">
        <v>49</v>
      </c>
      <c r="E235" s="0" t="s">
        <v>49</v>
      </c>
      <c r="F235" s="0" t="s">
        <v>49</v>
      </c>
      <c r="G235" s="0" t="s">
        <v>2542</v>
      </c>
      <c r="H235" s="0" t="s">
        <v>49</v>
      </c>
      <c r="I235" s="0" t="s">
        <v>49</v>
      </c>
      <c r="J235" s="0" t="s">
        <v>49</v>
      </c>
      <c r="K235" s="0" t="s">
        <v>49</v>
      </c>
      <c r="L235" s="0" t="s">
        <v>49</v>
      </c>
      <c r="M235" s="0" t="s">
        <v>49</v>
      </c>
      <c r="N235" s="0" t="s">
        <v>49</v>
      </c>
    </row>
    <row r="236" customFormat="false" ht="15" hidden="false" customHeight="false" outlineLevel="0" collapsed="false">
      <c r="A236" s="0" t="s">
        <v>3023</v>
      </c>
      <c r="B236" s="0" t="s">
        <v>524</v>
      </c>
      <c r="C236" s="0" t="s">
        <v>525</v>
      </c>
      <c r="D236" s="0" t="s">
        <v>49</v>
      </c>
      <c r="E236" s="0" t="s">
        <v>49</v>
      </c>
      <c r="F236" s="0" t="s">
        <v>49</v>
      </c>
      <c r="G236" s="0" t="s">
        <v>2513</v>
      </c>
      <c r="H236" s="0" t="s">
        <v>49</v>
      </c>
      <c r="I236" s="0" t="s">
        <v>49</v>
      </c>
      <c r="J236" s="0" t="s">
        <v>49</v>
      </c>
      <c r="K236" s="0" t="s">
        <v>49</v>
      </c>
      <c r="L236" s="0" t="s">
        <v>49</v>
      </c>
      <c r="M236" s="0" t="s">
        <v>49</v>
      </c>
      <c r="N236" s="0" t="s">
        <v>49</v>
      </c>
    </row>
    <row r="237" customFormat="false" ht="15" hidden="false" customHeight="false" outlineLevel="0" collapsed="false">
      <c r="A237" s="0" t="s">
        <v>3024</v>
      </c>
      <c r="B237" s="0" t="s">
        <v>326</v>
      </c>
      <c r="C237" s="0" t="s">
        <v>327</v>
      </c>
      <c r="D237" s="0" t="s">
        <v>49</v>
      </c>
      <c r="E237" s="0" t="s">
        <v>49</v>
      </c>
      <c r="F237" s="0" t="s">
        <v>49</v>
      </c>
      <c r="G237" s="0" t="s">
        <v>2542</v>
      </c>
      <c r="H237" s="0" t="s">
        <v>49</v>
      </c>
      <c r="I237" s="0" t="s">
        <v>49</v>
      </c>
      <c r="J237" s="0" t="s">
        <v>49</v>
      </c>
      <c r="K237" s="0" t="s">
        <v>49</v>
      </c>
      <c r="L237" s="0" t="s">
        <v>49</v>
      </c>
      <c r="M237" s="0" t="s">
        <v>49</v>
      </c>
      <c r="N237" s="0" t="s">
        <v>49</v>
      </c>
    </row>
    <row r="238" customFormat="false" ht="15" hidden="false" customHeight="false" outlineLevel="0" collapsed="false">
      <c r="A238" s="0" t="s">
        <v>3025</v>
      </c>
      <c r="B238" s="0" t="s">
        <v>739</v>
      </c>
      <c r="C238" s="0" t="s">
        <v>740</v>
      </c>
      <c r="D238" s="0" t="s">
        <v>741</v>
      </c>
      <c r="E238" s="0" t="s">
        <v>742</v>
      </c>
      <c r="F238" s="0" t="s">
        <v>3026</v>
      </c>
      <c r="G238" s="0" t="s">
        <v>3027</v>
      </c>
      <c r="H238" s="0" t="s">
        <v>3028</v>
      </c>
      <c r="I238" s="0" t="str">
        <f aca="false">HYPERLINK("https://omim.org/entry/615436", "615436")</f>
        <v>615436</v>
      </c>
      <c r="J238" s="0" t="s">
        <v>49</v>
      </c>
      <c r="K238" s="0" t="s">
        <v>49</v>
      </c>
      <c r="L238" s="0" t="s">
        <v>49</v>
      </c>
      <c r="M238" s="0" t="s">
        <v>49</v>
      </c>
      <c r="N238" s="0" t="s">
        <v>49</v>
      </c>
    </row>
    <row r="239" customFormat="false" ht="15" hidden="false" customHeight="false" outlineLevel="0" collapsed="false">
      <c r="A239" s="0" t="s">
        <v>3029</v>
      </c>
      <c r="B239" s="0" t="s">
        <v>1203</v>
      </c>
      <c r="C239" s="0" t="s">
        <v>1204</v>
      </c>
      <c r="D239" s="0" t="s">
        <v>1205</v>
      </c>
      <c r="E239" s="0" t="s">
        <v>49</v>
      </c>
      <c r="F239" s="0" t="s">
        <v>2432</v>
      </c>
      <c r="G239" s="0" t="s">
        <v>3030</v>
      </c>
      <c r="H239" s="0" t="s">
        <v>3031</v>
      </c>
      <c r="I239" s="0" t="s">
        <v>49</v>
      </c>
      <c r="J239" s="0" t="s">
        <v>49</v>
      </c>
      <c r="K239" s="0" t="s">
        <v>49</v>
      </c>
      <c r="L239" s="0" t="s">
        <v>49</v>
      </c>
      <c r="M239" s="0" t="s">
        <v>49</v>
      </c>
      <c r="N239" s="0" t="s">
        <v>49</v>
      </c>
    </row>
    <row r="240" customFormat="false" ht="15" hidden="false" customHeight="false" outlineLevel="0" collapsed="false">
      <c r="A240" s="0" t="s">
        <v>3032</v>
      </c>
      <c r="B240" s="0" t="s">
        <v>2140</v>
      </c>
      <c r="C240" s="0" t="s">
        <v>2141</v>
      </c>
      <c r="D240" s="0" t="s">
        <v>2142</v>
      </c>
      <c r="E240" s="0" t="s">
        <v>2143</v>
      </c>
      <c r="F240" s="0" t="s">
        <v>49</v>
      </c>
      <c r="G240" s="0" t="s">
        <v>3033</v>
      </c>
      <c r="H240" s="0" t="s">
        <v>3034</v>
      </c>
      <c r="I240" s="0" t="str">
        <f aca="false">HYPERLINK("https://omim.org/entry/167800", "167800")</f>
        <v>167800</v>
      </c>
      <c r="J240" s="0" t="s">
        <v>49</v>
      </c>
      <c r="K240" s="0" t="s">
        <v>49</v>
      </c>
      <c r="L240" s="0" t="s">
        <v>49</v>
      </c>
      <c r="M240" s="0" t="s">
        <v>49</v>
      </c>
      <c r="N240" s="0" t="s">
        <v>49</v>
      </c>
    </row>
    <row r="241" customFormat="false" ht="15" hidden="false" customHeight="false" outlineLevel="0" collapsed="false">
      <c r="A241" s="0" t="s">
        <v>3035</v>
      </c>
      <c r="B241" s="0" t="s">
        <v>938</v>
      </c>
      <c r="C241" s="0" t="s">
        <v>939</v>
      </c>
      <c r="D241" s="0" t="s">
        <v>940</v>
      </c>
      <c r="E241" s="0" t="s">
        <v>49</v>
      </c>
      <c r="F241" s="0" t="s">
        <v>49</v>
      </c>
      <c r="G241" s="0" t="s">
        <v>3036</v>
      </c>
      <c r="H241" s="0" t="s">
        <v>3037</v>
      </c>
      <c r="I241" s="0" t="s">
        <v>49</v>
      </c>
      <c r="J241" s="0" t="s">
        <v>49</v>
      </c>
      <c r="K241" s="0" t="s">
        <v>49</v>
      </c>
      <c r="L241" s="0" t="s">
        <v>49</v>
      </c>
      <c r="M241" s="0" t="s">
        <v>49</v>
      </c>
      <c r="N241" s="0" t="s">
        <v>49</v>
      </c>
    </row>
    <row r="242" customFormat="false" ht="15" hidden="false" customHeight="false" outlineLevel="0" collapsed="false">
      <c r="A242" s="0" t="s">
        <v>3038</v>
      </c>
      <c r="B242" s="0" t="s">
        <v>2063</v>
      </c>
      <c r="C242" s="0" t="s">
        <v>2064</v>
      </c>
      <c r="D242" s="0" t="s">
        <v>2065</v>
      </c>
      <c r="E242" s="0" t="s">
        <v>49</v>
      </c>
      <c r="F242" s="0" t="s">
        <v>3039</v>
      </c>
      <c r="G242" s="0" t="s">
        <v>49</v>
      </c>
      <c r="H242" s="0" t="s">
        <v>49</v>
      </c>
      <c r="I242" s="0" t="s">
        <v>49</v>
      </c>
      <c r="J242" s="0" t="s">
        <v>49</v>
      </c>
      <c r="K242" s="0" t="s">
        <v>49</v>
      </c>
      <c r="L242" s="0" t="s">
        <v>49</v>
      </c>
      <c r="M242" s="0" t="s">
        <v>49</v>
      </c>
      <c r="N242" s="0" t="s">
        <v>49</v>
      </c>
    </row>
    <row r="243" customFormat="false" ht="15" hidden="false" customHeight="false" outlineLevel="0" collapsed="false">
      <c r="A243" s="0" t="s">
        <v>3040</v>
      </c>
      <c r="B243" s="0" t="s">
        <v>1104</v>
      </c>
      <c r="C243" s="0" t="s">
        <v>1105</v>
      </c>
      <c r="D243" s="0" t="s">
        <v>1106</v>
      </c>
      <c r="E243" s="0" t="s">
        <v>49</v>
      </c>
      <c r="F243" s="0" t="s">
        <v>49</v>
      </c>
      <c r="G243" s="0" t="s">
        <v>3041</v>
      </c>
      <c r="H243" s="0" t="s">
        <v>3042</v>
      </c>
      <c r="I243" s="0" t="s">
        <v>49</v>
      </c>
      <c r="J243" s="0" t="s">
        <v>49</v>
      </c>
      <c r="K243" s="0" t="s">
        <v>49</v>
      </c>
      <c r="L243" s="0" t="s">
        <v>49</v>
      </c>
      <c r="M243" s="0" t="s">
        <v>49</v>
      </c>
      <c r="N243" s="0" t="s">
        <v>49</v>
      </c>
    </row>
    <row r="244" customFormat="false" ht="15" hidden="false" customHeight="false" outlineLevel="0" collapsed="false">
      <c r="A244" s="0" t="s">
        <v>3043</v>
      </c>
      <c r="B244" s="0" t="s">
        <v>309</v>
      </c>
      <c r="C244" s="0" t="s">
        <v>310</v>
      </c>
      <c r="D244" s="0" t="s">
        <v>311</v>
      </c>
      <c r="E244" s="0" t="s">
        <v>49</v>
      </c>
      <c r="F244" s="0" t="s">
        <v>3044</v>
      </c>
      <c r="G244" s="0" t="s">
        <v>3045</v>
      </c>
      <c r="H244" s="0" t="s">
        <v>3046</v>
      </c>
      <c r="I244" s="0" t="s">
        <v>49</v>
      </c>
      <c r="J244" s="0" t="s">
        <v>49</v>
      </c>
      <c r="K244" s="0" t="s">
        <v>49</v>
      </c>
      <c r="L244" s="0" t="s">
        <v>49</v>
      </c>
      <c r="M244" s="0" t="s">
        <v>49</v>
      </c>
      <c r="N244" s="0" t="s">
        <v>49</v>
      </c>
    </row>
    <row r="245" customFormat="false" ht="15" hidden="false" customHeight="false" outlineLevel="0" collapsed="false">
      <c r="A245" s="0" t="s">
        <v>3047</v>
      </c>
      <c r="B245" s="0" t="s">
        <v>1556</v>
      </c>
      <c r="C245" s="0" t="s">
        <v>1557</v>
      </c>
      <c r="D245" s="0" t="s">
        <v>1558</v>
      </c>
      <c r="E245" s="0" t="s">
        <v>49</v>
      </c>
      <c r="F245" s="0" t="s">
        <v>49</v>
      </c>
      <c r="G245" s="0" t="s">
        <v>3048</v>
      </c>
      <c r="H245" s="0" t="s">
        <v>3049</v>
      </c>
      <c r="I245" s="0" t="s">
        <v>49</v>
      </c>
      <c r="J245" s="0" t="s">
        <v>49</v>
      </c>
      <c r="K245" s="0" t="s">
        <v>49</v>
      </c>
      <c r="L245" s="0" t="s">
        <v>49</v>
      </c>
      <c r="M245" s="0" t="s">
        <v>49</v>
      </c>
      <c r="N245" s="0" t="s">
        <v>49</v>
      </c>
    </row>
    <row r="246" customFormat="false" ht="15" hidden="false" customHeight="false" outlineLevel="0" collapsed="false">
      <c r="A246" s="0" t="s">
        <v>3050</v>
      </c>
      <c r="B246" s="0" t="s">
        <v>485</v>
      </c>
      <c r="C246" s="0" t="s">
        <v>486</v>
      </c>
      <c r="D246" s="0" t="s">
        <v>487</v>
      </c>
      <c r="E246" s="0" t="s">
        <v>49</v>
      </c>
      <c r="F246" s="0" t="s">
        <v>3051</v>
      </c>
      <c r="G246" s="0" t="s">
        <v>3052</v>
      </c>
      <c r="H246" s="0" t="s">
        <v>3053</v>
      </c>
      <c r="I246" s="0" t="s">
        <v>49</v>
      </c>
      <c r="J246" s="0" t="s">
        <v>49</v>
      </c>
      <c r="K246" s="0" t="s">
        <v>49</v>
      </c>
      <c r="L246" s="0" t="s">
        <v>49</v>
      </c>
      <c r="M246" s="0" t="s">
        <v>49</v>
      </c>
      <c r="N246" s="0" t="s">
        <v>49</v>
      </c>
    </row>
    <row r="247" customFormat="false" ht="15" hidden="false" customHeight="false" outlineLevel="0" collapsed="false">
      <c r="A247" s="0" t="s">
        <v>3054</v>
      </c>
      <c r="B247" s="0" t="s">
        <v>997</v>
      </c>
      <c r="C247" s="0" t="s">
        <v>998</v>
      </c>
      <c r="D247" s="0" t="s">
        <v>999</v>
      </c>
      <c r="E247" s="0" t="s">
        <v>49</v>
      </c>
      <c r="F247" s="0" t="s">
        <v>3055</v>
      </c>
      <c r="G247" s="0" t="s">
        <v>3056</v>
      </c>
      <c r="H247" s="0" t="s">
        <v>3057</v>
      </c>
      <c r="I247" s="0" t="s">
        <v>49</v>
      </c>
      <c r="J247" s="0" t="s">
        <v>49</v>
      </c>
      <c r="K247" s="0" t="s">
        <v>49</v>
      </c>
      <c r="L247" s="0" t="s">
        <v>49</v>
      </c>
      <c r="M247" s="0" t="s">
        <v>49</v>
      </c>
      <c r="N247" s="0" t="s">
        <v>49</v>
      </c>
    </row>
    <row r="248" customFormat="false" ht="15" hidden="false" customHeight="false" outlineLevel="0" collapsed="false">
      <c r="A248" s="0" t="s">
        <v>3058</v>
      </c>
      <c r="B248" s="0" t="s">
        <v>981</v>
      </c>
      <c r="C248" s="0" t="s">
        <v>982</v>
      </c>
      <c r="D248" s="0" t="s">
        <v>983</v>
      </c>
      <c r="E248" s="0" t="s">
        <v>49</v>
      </c>
      <c r="F248" s="0" t="s">
        <v>49</v>
      </c>
      <c r="G248" s="0" t="s">
        <v>3059</v>
      </c>
      <c r="H248" s="0" t="s">
        <v>3060</v>
      </c>
      <c r="I248" s="0" t="s">
        <v>49</v>
      </c>
      <c r="J248" s="0" t="s">
        <v>49</v>
      </c>
      <c r="K248" s="0" t="s">
        <v>49</v>
      </c>
      <c r="L248" s="0" t="s">
        <v>49</v>
      </c>
      <c r="M248" s="0" t="s">
        <v>49</v>
      </c>
      <c r="N248" s="0" t="s">
        <v>49</v>
      </c>
    </row>
    <row r="249" customFormat="false" ht="15" hidden="false" customHeight="false" outlineLevel="0" collapsed="false">
      <c r="A249" s="0" t="s">
        <v>3061</v>
      </c>
      <c r="B249" s="0" t="s">
        <v>1362</v>
      </c>
      <c r="C249" s="0" t="s">
        <v>1363</v>
      </c>
      <c r="D249" s="0" t="s">
        <v>1364</v>
      </c>
      <c r="E249" s="0" t="s">
        <v>49</v>
      </c>
      <c r="F249" s="0" t="s">
        <v>49</v>
      </c>
      <c r="G249" s="0" t="s">
        <v>3062</v>
      </c>
      <c r="H249" s="0" t="s">
        <v>2636</v>
      </c>
      <c r="I249" s="0" t="s">
        <v>49</v>
      </c>
      <c r="J249" s="0" t="s">
        <v>49</v>
      </c>
      <c r="K249" s="0" t="s">
        <v>49</v>
      </c>
      <c r="L249" s="0" t="s">
        <v>49</v>
      </c>
      <c r="M249" s="0" t="s">
        <v>49</v>
      </c>
      <c r="N249" s="0" t="s">
        <v>49</v>
      </c>
    </row>
    <row r="250" customFormat="false" ht="15" hidden="false" customHeight="false" outlineLevel="0" collapsed="false">
      <c r="A250" s="0" t="s">
        <v>3063</v>
      </c>
      <c r="B250" s="0" t="s">
        <v>2271</v>
      </c>
      <c r="C250" s="0" t="s">
        <v>2272</v>
      </c>
      <c r="D250" s="0" t="s">
        <v>2273</v>
      </c>
      <c r="E250" s="0" t="s">
        <v>2274</v>
      </c>
      <c r="F250" s="0" t="s">
        <v>49</v>
      </c>
      <c r="G250" s="0" t="s">
        <v>3064</v>
      </c>
      <c r="H250" s="0" t="s">
        <v>3065</v>
      </c>
      <c r="I250" s="0" t="str">
        <f aca="false">HYPERLINK("https://omim.org/entry/311900", "311900")</f>
        <v>311900</v>
      </c>
      <c r="J250" s="0" t="s">
        <v>49</v>
      </c>
      <c r="K250" s="0" t="s">
        <v>49</v>
      </c>
      <c r="L250" s="0" t="s">
        <v>49</v>
      </c>
      <c r="M250" s="0" t="s">
        <v>49</v>
      </c>
      <c r="N250" s="0" t="s">
        <v>49</v>
      </c>
    </row>
    <row r="251" customFormat="false" ht="15" hidden="false" customHeight="false" outlineLevel="0" collapsed="false">
      <c r="A251" s="0" t="s">
        <v>3066</v>
      </c>
      <c r="B251" s="0" t="s">
        <v>1823</v>
      </c>
      <c r="C251" s="0" t="s">
        <v>1824</v>
      </c>
      <c r="D251" s="0" t="s">
        <v>1825</v>
      </c>
      <c r="E251" s="0" t="s">
        <v>49</v>
      </c>
      <c r="F251" s="0" t="s">
        <v>3067</v>
      </c>
      <c r="G251" s="0" t="s">
        <v>3068</v>
      </c>
      <c r="H251" s="0" t="s">
        <v>3069</v>
      </c>
      <c r="I251" s="0" t="s">
        <v>49</v>
      </c>
      <c r="J251" s="0" t="s">
        <v>49</v>
      </c>
      <c r="K251" s="0" t="s">
        <v>49</v>
      </c>
      <c r="L251" s="0" t="s">
        <v>49</v>
      </c>
      <c r="M251" s="0" t="s">
        <v>49</v>
      </c>
      <c r="N251" s="0" t="s">
        <v>49</v>
      </c>
    </row>
    <row r="252" customFormat="false" ht="15" hidden="false" customHeight="false" outlineLevel="0" collapsed="false">
      <c r="A252" s="0" t="s">
        <v>3070</v>
      </c>
      <c r="B252" s="0" t="s">
        <v>2124</v>
      </c>
      <c r="C252" s="0" t="s">
        <v>2125</v>
      </c>
      <c r="D252" s="0" t="s">
        <v>2126</v>
      </c>
      <c r="E252" s="0" t="s">
        <v>2127</v>
      </c>
      <c r="F252" s="0" t="s">
        <v>3071</v>
      </c>
      <c r="G252" s="0" t="s">
        <v>3072</v>
      </c>
      <c r="H252" s="0" t="s">
        <v>3073</v>
      </c>
      <c r="I252" s="0" t="str">
        <f aca="false">HYPERLINK("https://omim.org/entry/257320", "257320")</f>
        <v>257320</v>
      </c>
      <c r="J252" s="0" t="str">
        <f aca="false">HYPERLINK("https://omim.org/entry/616436", "616436")</f>
        <v>616436</v>
      </c>
      <c r="K252" s="0" t="s">
        <v>49</v>
      </c>
      <c r="L252" s="0" t="s">
        <v>49</v>
      </c>
      <c r="M252" s="0" t="s">
        <v>49</v>
      </c>
      <c r="N252" s="0" t="s">
        <v>49</v>
      </c>
    </row>
    <row r="253" customFormat="false" ht="15" hidden="false" customHeight="false" outlineLevel="0" collapsed="false">
      <c r="A253" s="0" t="s">
        <v>3074</v>
      </c>
      <c r="B253" s="0" t="s">
        <v>1245</v>
      </c>
      <c r="C253" s="0" t="s">
        <v>1246</v>
      </c>
      <c r="D253" s="0" t="s">
        <v>1247</v>
      </c>
      <c r="E253" s="0" t="s">
        <v>1248</v>
      </c>
      <c r="F253" s="0" t="s">
        <v>3075</v>
      </c>
      <c r="G253" s="0" t="s">
        <v>3076</v>
      </c>
      <c r="H253" s="0" t="s">
        <v>3077</v>
      </c>
      <c r="I253" s="0" t="str">
        <f aca="false">HYPERLINK("https://omim.org/entry/608415", "608415")</f>
        <v>608415</v>
      </c>
      <c r="J253" s="0" t="s">
        <v>49</v>
      </c>
      <c r="K253" s="0" t="s">
        <v>49</v>
      </c>
      <c r="L253" s="0" t="s">
        <v>49</v>
      </c>
      <c r="M253" s="0" t="s">
        <v>49</v>
      </c>
      <c r="N253" s="0" t="s">
        <v>49</v>
      </c>
    </row>
    <row r="254" customFormat="false" ht="15" hidden="false" customHeight="false" outlineLevel="0" collapsed="false">
      <c r="A254" s="0" t="s">
        <v>3078</v>
      </c>
      <c r="B254" s="0" t="s">
        <v>1211</v>
      </c>
      <c r="C254" s="0" t="s">
        <v>1212</v>
      </c>
      <c r="D254" s="0" t="s">
        <v>1213</v>
      </c>
      <c r="E254" s="0" t="s">
        <v>49</v>
      </c>
      <c r="F254" s="0" t="s">
        <v>49</v>
      </c>
      <c r="G254" s="0" t="s">
        <v>3079</v>
      </c>
      <c r="H254" s="0" t="s">
        <v>49</v>
      </c>
      <c r="I254" s="0" t="s">
        <v>49</v>
      </c>
      <c r="J254" s="0" t="s">
        <v>49</v>
      </c>
      <c r="K254" s="0" t="s">
        <v>49</v>
      </c>
      <c r="L254" s="0" t="s">
        <v>49</v>
      </c>
      <c r="M254" s="0" t="s">
        <v>49</v>
      </c>
      <c r="N254" s="0" t="s">
        <v>49</v>
      </c>
    </row>
    <row r="255" customFormat="false" ht="15" hidden="false" customHeight="false" outlineLevel="0" collapsed="false">
      <c r="A255" s="0" t="s">
        <v>3080</v>
      </c>
      <c r="B255" s="0" t="s">
        <v>2044</v>
      </c>
      <c r="C255" s="0" t="s">
        <v>2045</v>
      </c>
      <c r="D255" s="0" t="s">
        <v>2046</v>
      </c>
      <c r="E255" s="0" t="s">
        <v>49</v>
      </c>
      <c r="F255" s="0" t="s">
        <v>3081</v>
      </c>
      <c r="G255" s="0" t="s">
        <v>49</v>
      </c>
      <c r="H255" s="0" t="s">
        <v>49</v>
      </c>
      <c r="I255" s="0" t="s">
        <v>49</v>
      </c>
      <c r="J255" s="0" t="s">
        <v>49</v>
      </c>
      <c r="K255" s="0" t="s">
        <v>49</v>
      </c>
      <c r="L255" s="0" t="s">
        <v>49</v>
      </c>
      <c r="M255" s="0" t="s">
        <v>49</v>
      </c>
      <c r="N255" s="0" t="s">
        <v>49</v>
      </c>
    </row>
    <row r="256" customFormat="false" ht="15" hidden="false" customHeight="false" outlineLevel="0" collapsed="false">
      <c r="A256" s="0" t="s">
        <v>3082</v>
      </c>
      <c r="B256" s="0" t="s">
        <v>1843</v>
      </c>
      <c r="C256" s="0" t="s">
        <v>1844</v>
      </c>
      <c r="D256" s="0" t="s">
        <v>1845</v>
      </c>
      <c r="E256" s="0" t="s">
        <v>49</v>
      </c>
      <c r="F256" s="0" t="s">
        <v>3083</v>
      </c>
      <c r="G256" s="0" t="s">
        <v>3084</v>
      </c>
      <c r="H256" s="0" t="s">
        <v>3085</v>
      </c>
      <c r="I256" s="0" t="s">
        <v>49</v>
      </c>
      <c r="J256" s="0" t="s">
        <v>49</v>
      </c>
      <c r="K256" s="0" t="s">
        <v>49</v>
      </c>
      <c r="L256" s="0" t="s">
        <v>49</v>
      </c>
      <c r="M256" s="0" t="s">
        <v>49</v>
      </c>
      <c r="N256" s="0" t="s">
        <v>49</v>
      </c>
    </row>
    <row r="257" customFormat="false" ht="15" hidden="false" customHeight="false" outlineLevel="0" collapsed="false">
      <c r="A257" s="0" t="s">
        <v>3086</v>
      </c>
      <c r="B257" s="0" t="s">
        <v>1648</v>
      </c>
      <c r="C257" s="0" t="s">
        <v>1649</v>
      </c>
      <c r="D257" s="0" t="s">
        <v>1650</v>
      </c>
      <c r="E257" s="0" t="s">
        <v>1651</v>
      </c>
      <c r="F257" s="0" t="s">
        <v>49</v>
      </c>
      <c r="G257" s="0" t="s">
        <v>3087</v>
      </c>
      <c r="H257" s="0" t="s">
        <v>3088</v>
      </c>
      <c r="I257" s="0" t="str">
        <f aca="false">HYPERLINK("https://omim.org/entry/604403", "604403")</f>
        <v>604403</v>
      </c>
      <c r="J257" s="0" t="str">
        <f aca="false">HYPERLINK("https://omim.org/entry/607208", "607208")</f>
        <v>607208</v>
      </c>
      <c r="K257" s="0" t="str">
        <f aca="false">HYPERLINK("https://omim.org/entry/607208", "607208")</f>
        <v>607208</v>
      </c>
      <c r="L257" s="0" t="str">
        <f aca="false">HYPERLINK("https://omim.org/entry/609634", "609634")</f>
        <v>609634</v>
      </c>
      <c r="M257" s="0" t="str">
        <f aca="false">HYPERLINK("https://omim.org/entry/604403", "604403")</f>
        <v>604403</v>
      </c>
      <c r="N257" s="0" t="s">
        <v>49</v>
      </c>
    </row>
    <row r="258" customFormat="false" ht="15" hidden="false" customHeight="false" outlineLevel="0" collapsed="false">
      <c r="A258" s="0" t="s">
        <v>3089</v>
      </c>
      <c r="B258" s="0" t="s">
        <v>1154</v>
      </c>
      <c r="C258" s="0" t="s">
        <v>1155</v>
      </c>
      <c r="D258" s="0" t="s">
        <v>1156</v>
      </c>
      <c r="E258" s="0" t="s">
        <v>1157</v>
      </c>
      <c r="F258" s="0" t="s">
        <v>3090</v>
      </c>
      <c r="G258" s="0" t="s">
        <v>3091</v>
      </c>
      <c r="H258" s="0" t="s">
        <v>49</v>
      </c>
      <c r="I258" s="0" t="str">
        <f aca="false">HYPERLINK("https://omim.org/entry/177200", "177200")</f>
        <v>177200</v>
      </c>
      <c r="J258" s="0" t="str">
        <f aca="false">HYPERLINK("https://omim.org/entry/613071", "613071")</f>
        <v>613071</v>
      </c>
      <c r="K258" s="0" t="s">
        <v>49</v>
      </c>
      <c r="L258" s="0" t="s">
        <v>49</v>
      </c>
      <c r="M258" s="0" t="s">
        <v>49</v>
      </c>
      <c r="N258" s="0" t="s">
        <v>49</v>
      </c>
    </row>
    <row r="259" customFormat="false" ht="15" hidden="false" customHeight="false" outlineLevel="0" collapsed="false">
      <c r="A259" s="0" t="s">
        <v>3092</v>
      </c>
      <c r="B259" s="0" t="s">
        <v>1898</v>
      </c>
      <c r="C259" s="0" t="s">
        <v>1899</v>
      </c>
      <c r="D259" s="0" t="s">
        <v>49</v>
      </c>
      <c r="E259" s="0" t="s">
        <v>49</v>
      </c>
      <c r="F259" s="0" t="s">
        <v>49</v>
      </c>
      <c r="G259" s="0" t="s">
        <v>3093</v>
      </c>
      <c r="H259" s="0" t="s">
        <v>49</v>
      </c>
      <c r="I259" s="0" t="s">
        <v>49</v>
      </c>
      <c r="J259" s="0" t="s">
        <v>49</v>
      </c>
      <c r="K259" s="0" t="s">
        <v>49</v>
      </c>
      <c r="L259" s="0" t="s">
        <v>49</v>
      </c>
      <c r="M259" s="0" t="s">
        <v>49</v>
      </c>
      <c r="N259" s="0" t="s">
        <v>49</v>
      </c>
    </row>
    <row r="260" customFormat="false" ht="15" hidden="false" customHeight="false" outlineLevel="0" collapsed="false">
      <c r="A260" s="0" t="s">
        <v>3094</v>
      </c>
      <c r="B260" s="0" t="s">
        <v>1119</v>
      </c>
      <c r="C260" s="0" t="s">
        <v>1120</v>
      </c>
      <c r="D260" s="0" t="s">
        <v>1121</v>
      </c>
      <c r="E260" s="0" t="s">
        <v>49</v>
      </c>
      <c r="F260" s="0" t="s">
        <v>49</v>
      </c>
      <c r="G260" s="0" t="s">
        <v>3095</v>
      </c>
      <c r="H260" s="0" t="s">
        <v>49</v>
      </c>
      <c r="I260" s="0" t="s">
        <v>49</v>
      </c>
      <c r="J260" s="0" t="s">
        <v>49</v>
      </c>
      <c r="K260" s="0" t="s">
        <v>49</v>
      </c>
      <c r="L260" s="0" t="s">
        <v>49</v>
      </c>
      <c r="M260" s="0" t="s">
        <v>49</v>
      </c>
      <c r="N260" s="0" t="s">
        <v>49</v>
      </c>
    </row>
    <row r="261" customFormat="false" ht="15" hidden="false" customHeight="false" outlineLevel="0" collapsed="false">
      <c r="A261" s="0" t="s">
        <v>3096</v>
      </c>
      <c r="B261" s="0" t="s">
        <v>1748</v>
      </c>
      <c r="C261" s="0" t="s">
        <v>1749</v>
      </c>
      <c r="D261" s="0" t="s">
        <v>49</v>
      </c>
      <c r="E261" s="0" t="s">
        <v>49</v>
      </c>
      <c r="F261" s="0" t="s">
        <v>49</v>
      </c>
      <c r="G261" s="0" t="s">
        <v>3097</v>
      </c>
      <c r="H261" s="0" t="s">
        <v>3098</v>
      </c>
      <c r="I261" s="0" t="s">
        <v>49</v>
      </c>
      <c r="J261" s="0" t="s">
        <v>49</v>
      </c>
      <c r="K261" s="0" t="s">
        <v>49</v>
      </c>
      <c r="L261" s="0" t="s">
        <v>49</v>
      </c>
      <c r="M261" s="0" t="s">
        <v>49</v>
      </c>
      <c r="N261" s="0" t="s">
        <v>49</v>
      </c>
    </row>
    <row r="262" customFormat="false" ht="15" hidden="false" customHeight="false" outlineLevel="0" collapsed="false">
      <c r="A262" s="0" t="s">
        <v>3099</v>
      </c>
      <c r="B262" s="0" t="s">
        <v>1782</v>
      </c>
      <c r="C262" s="0" t="s">
        <v>1783</v>
      </c>
      <c r="D262" s="0" t="s">
        <v>1784</v>
      </c>
      <c r="E262" s="0" t="s">
        <v>49</v>
      </c>
      <c r="F262" s="0" t="s">
        <v>49</v>
      </c>
      <c r="G262" s="0" t="s">
        <v>3100</v>
      </c>
      <c r="H262" s="0" t="s">
        <v>49</v>
      </c>
      <c r="I262" s="0" t="s">
        <v>49</v>
      </c>
      <c r="J262" s="0" t="s">
        <v>49</v>
      </c>
      <c r="K262" s="0" t="s">
        <v>49</v>
      </c>
      <c r="L262" s="0" t="s">
        <v>49</v>
      </c>
      <c r="M262" s="0" t="s">
        <v>49</v>
      </c>
      <c r="N262" s="0" t="s">
        <v>49</v>
      </c>
    </row>
    <row r="263" customFormat="false" ht="15" hidden="false" customHeight="false" outlineLevel="0" collapsed="false">
      <c r="A263" s="0" t="s">
        <v>3101</v>
      </c>
      <c r="B263" s="0" t="s">
        <v>69</v>
      </c>
      <c r="C263" s="0" t="s">
        <v>70</v>
      </c>
      <c r="D263" s="0" t="s">
        <v>49</v>
      </c>
      <c r="E263" s="0" t="s">
        <v>49</v>
      </c>
      <c r="F263" s="0" t="s">
        <v>3102</v>
      </c>
      <c r="G263" s="0" t="s">
        <v>3103</v>
      </c>
      <c r="H263" s="0" t="s">
        <v>3104</v>
      </c>
      <c r="I263" s="0" t="s">
        <v>49</v>
      </c>
      <c r="J263" s="0" t="s">
        <v>49</v>
      </c>
      <c r="K263" s="0" t="s">
        <v>49</v>
      </c>
      <c r="L263" s="0" t="s">
        <v>49</v>
      </c>
      <c r="M263" s="0" t="s">
        <v>49</v>
      </c>
      <c r="N263" s="0" t="s">
        <v>49</v>
      </c>
    </row>
    <row r="264" customFormat="false" ht="15" hidden="false" customHeight="false" outlineLevel="0" collapsed="false">
      <c r="A264" s="0" t="s">
        <v>3105</v>
      </c>
      <c r="B264" s="0" t="s">
        <v>49</v>
      </c>
      <c r="C264" s="0" t="s">
        <v>891</v>
      </c>
      <c r="D264" s="0" t="s">
        <v>892</v>
      </c>
      <c r="E264" s="0" t="s">
        <v>49</v>
      </c>
      <c r="F264" s="0" t="s">
        <v>49</v>
      </c>
      <c r="G264" s="0" t="s">
        <v>49</v>
      </c>
      <c r="H264" s="0" t="s">
        <v>49</v>
      </c>
      <c r="I264" s="0" t="s">
        <v>49</v>
      </c>
      <c r="J264" s="0" t="s">
        <v>49</v>
      </c>
      <c r="K264" s="0" t="s">
        <v>49</v>
      </c>
      <c r="L264" s="0" t="s">
        <v>49</v>
      </c>
      <c r="M264" s="0" t="s">
        <v>49</v>
      </c>
      <c r="N264" s="0" t="s">
        <v>49</v>
      </c>
    </row>
    <row r="265" customFormat="false" ht="15" hidden="false" customHeight="false" outlineLevel="0" collapsed="false">
      <c r="A265" s="0" t="s">
        <v>3106</v>
      </c>
      <c r="B265" s="0" t="s">
        <v>2079</v>
      </c>
      <c r="C265" s="0" t="s">
        <v>2080</v>
      </c>
      <c r="D265" s="0" t="s">
        <v>2081</v>
      </c>
      <c r="E265" s="0" t="s">
        <v>49</v>
      </c>
      <c r="F265" s="0" t="s">
        <v>49</v>
      </c>
      <c r="G265" s="0" t="s">
        <v>49</v>
      </c>
      <c r="H265" s="0" t="s">
        <v>49</v>
      </c>
      <c r="I265" s="0" t="s">
        <v>49</v>
      </c>
      <c r="J265" s="0" t="s">
        <v>49</v>
      </c>
      <c r="K265" s="0" t="s">
        <v>49</v>
      </c>
      <c r="L265" s="0" t="s">
        <v>49</v>
      </c>
      <c r="M265" s="0" t="s">
        <v>49</v>
      </c>
      <c r="N265" s="0" t="s">
        <v>49</v>
      </c>
    </row>
    <row r="266" customFormat="false" ht="15" hidden="false" customHeight="false" outlineLevel="0" collapsed="false">
      <c r="A266" s="0" t="s">
        <v>3107</v>
      </c>
      <c r="B266" s="0" t="s">
        <v>2130</v>
      </c>
      <c r="C266" s="0" t="s">
        <v>2131</v>
      </c>
      <c r="D266" s="0" t="s">
        <v>49</v>
      </c>
      <c r="E266" s="0" t="s">
        <v>49</v>
      </c>
      <c r="F266" s="0" t="s">
        <v>49</v>
      </c>
      <c r="G266" s="0" t="s">
        <v>3108</v>
      </c>
      <c r="H266" s="0" t="s">
        <v>2422</v>
      </c>
      <c r="I266" s="0" t="s">
        <v>49</v>
      </c>
      <c r="J266" s="0" t="s">
        <v>49</v>
      </c>
      <c r="K266" s="0" t="s">
        <v>49</v>
      </c>
      <c r="L266" s="0" t="s">
        <v>49</v>
      </c>
      <c r="M266" s="0" t="s">
        <v>49</v>
      </c>
      <c r="N266" s="0" t="s">
        <v>49</v>
      </c>
    </row>
    <row r="267" customFormat="false" ht="15" hidden="false" customHeight="false" outlineLevel="0" collapsed="false">
      <c r="A267" s="0" t="s">
        <v>3109</v>
      </c>
      <c r="B267" s="0" t="s">
        <v>842</v>
      </c>
      <c r="C267" s="0" t="s">
        <v>843</v>
      </c>
      <c r="D267" s="0" t="s">
        <v>844</v>
      </c>
      <c r="E267" s="0" t="s">
        <v>845</v>
      </c>
      <c r="F267" s="0" t="s">
        <v>49</v>
      </c>
      <c r="G267" s="0" t="s">
        <v>3110</v>
      </c>
      <c r="H267" s="0" t="s">
        <v>3111</v>
      </c>
      <c r="I267" s="0" t="str">
        <f aca="false">HYPERLINK("https://omim.org/entry/612350", "612350")</f>
        <v>612350</v>
      </c>
      <c r="J267" s="0" t="s">
        <v>49</v>
      </c>
      <c r="K267" s="0" t="s">
        <v>49</v>
      </c>
      <c r="L267" s="0" t="s">
        <v>49</v>
      </c>
      <c r="M267" s="0" t="s">
        <v>49</v>
      </c>
      <c r="N267" s="0" t="s">
        <v>49</v>
      </c>
    </row>
    <row r="268" customFormat="false" ht="15" hidden="false" customHeight="false" outlineLevel="0" collapsed="false">
      <c r="A268" s="0" t="s">
        <v>3112</v>
      </c>
      <c r="B268" s="0" t="s">
        <v>1717</v>
      </c>
      <c r="C268" s="0" t="s">
        <v>1718</v>
      </c>
      <c r="D268" s="0" t="s">
        <v>1719</v>
      </c>
      <c r="E268" s="0" t="s">
        <v>49</v>
      </c>
      <c r="F268" s="0" t="s">
        <v>3113</v>
      </c>
      <c r="G268" s="0" t="s">
        <v>3114</v>
      </c>
      <c r="H268" s="0" t="s">
        <v>3115</v>
      </c>
      <c r="I268" s="0" t="s">
        <v>49</v>
      </c>
      <c r="J268" s="0" t="s">
        <v>49</v>
      </c>
      <c r="K268" s="0" t="s">
        <v>49</v>
      </c>
      <c r="L268" s="0" t="s">
        <v>49</v>
      </c>
      <c r="M268" s="0" t="s">
        <v>49</v>
      </c>
      <c r="N268" s="0" t="s">
        <v>49</v>
      </c>
    </row>
    <row r="269" customFormat="false" ht="15" hidden="false" customHeight="false" outlineLevel="0" collapsed="false">
      <c r="A269" s="0" t="s">
        <v>3116</v>
      </c>
      <c r="B269" s="0" t="s">
        <v>411</v>
      </c>
      <c r="C269" s="0" t="s">
        <v>412</v>
      </c>
      <c r="D269" s="0" t="s">
        <v>49</v>
      </c>
      <c r="E269" s="0" t="s">
        <v>49</v>
      </c>
      <c r="F269" s="0" t="s">
        <v>3117</v>
      </c>
      <c r="G269" s="0" t="s">
        <v>3118</v>
      </c>
      <c r="H269" s="0" t="s">
        <v>3119</v>
      </c>
      <c r="I269" s="0" t="s">
        <v>49</v>
      </c>
      <c r="J269" s="0" t="s">
        <v>49</v>
      </c>
      <c r="K269" s="0" t="s">
        <v>49</v>
      </c>
      <c r="L269" s="0" t="s">
        <v>49</v>
      </c>
      <c r="M269" s="0" t="s">
        <v>49</v>
      </c>
      <c r="N269" s="0" t="s">
        <v>49</v>
      </c>
    </row>
    <row r="270" customFormat="false" ht="15" hidden="false" customHeight="false" outlineLevel="0" collapsed="false">
      <c r="A270" s="0" t="s">
        <v>3120</v>
      </c>
      <c r="B270" s="0" t="s">
        <v>2180</v>
      </c>
      <c r="C270" s="0" t="s">
        <v>2181</v>
      </c>
      <c r="D270" s="0" t="s">
        <v>2182</v>
      </c>
      <c r="E270" s="0" t="s">
        <v>49</v>
      </c>
      <c r="F270" s="0" t="s">
        <v>3121</v>
      </c>
      <c r="G270" s="0" t="s">
        <v>3122</v>
      </c>
      <c r="H270" s="0" t="s">
        <v>3123</v>
      </c>
      <c r="I270" s="0" t="s">
        <v>49</v>
      </c>
      <c r="J270" s="0" t="s">
        <v>49</v>
      </c>
      <c r="K270" s="0" t="s">
        <v>49</v>
      </c>
      <c r="L270" s="0" t="s">
        <v>49</v>
      </c>
      <c r="M270" s="0" t="s">
        <v>49</v>
      </c>
      <c r="N270" s="0" t="s">
        <v>49</v>
      </c>
    </row>
    <row r="271" customFormat="false" ht="15" hidden="false" customHeight="false" outlineLevel="0" collapsed="false">
      <c r="A271" s="0" t="s">
        <v>3124</v>
      </c>
      <c r="B271" s="0" t="s">
        <v>1272</v>
      </c>
      <c r="C271" s="0" t="s">
        <v>1273</v>
      </c>
      <c r="D271" s="0" t="s">
        <v>1274</v>
      </c>
      <c r="E271" s="0" t="s">
        <v>1275</v>
      </c>
      <c r="F271" s="0" t="s">
        <v>49</v>
      </c>
      <c r="G271" s="0" t="s">
        <v>3125</v>
      </c>
      <c r="H271" s="0" t="s">
        <v>3126</v>
      </c>
      <c r="I271" s="0" t="str">
        <f aca="false">HYPERLINK("https://omim.org/entry/158901", "158901")</f>
        <v>158901</v>
      </c>
      <c r="J271" s="0" t="s">
        <v>49</v>
      </c>
      <c r="K271" s="0" t="s">
        <v>49</v>
      </c>
      <c r="L271" s="0" t="s">
        <v>49</v>
      </c>
      <c r="M271" s="0" t="s">
        <v>49</v>
      </c>
      <c r="N271" s="0" t="s">
        <v>49</v>
      </c>
    </row>
    <row r="272" customFormat="false" ht="15" hidden="false" customHeight="false" outlineLevel="0" collapsed="false">
      <c r="A272" s="0" t="s">
        <v>3127</v>
      </c>
      <c r="B272" s="0" t="s">
        <v>1694</v>
      </c>
      <c r="C272" s="0" t="s">
        <v>1695</v>
      </c>
      <c r="D272" s="0" t="s">
        <v>1696</v>
      </c>
      <c r="E272" s="0" t="s">
        <v>1697</v>
      </c>
      <c r="F272" s="0" t="s">
        <v>3128</v>
      </c>
      <c r="G272" s="0" t="s">
        <v>3129</v>
      </c>
      <c r="H272" s="0" t="s">
        <v>3130</v>
      </c>
      <c r="I272" s="0" t="str">
        <f aca="false">HYPERLINK("https://omim.org/entry/616330", "616330")</f>
        <v>616330</v>
      </c>
      <c r="J272" s="0" t="s">
        <v>49</v>
      </c>
      <c r="K272" s="0" t="s">
        <v>49</v>
      </c>
      <c r="L272" s="0" t="s">
        <v>49</v>
      </c>
      <c r="M272" s="0" t="s">
        <v>49</v>
      </c>
      <c r="N272" s="0" t="s">
        <v>49</v>
      </c>
    </row>
    <row r="273" customFormat="false" ht="15" hidden="false" customHeight="false" outlineLevel="0" collapsed="false">
      <c r="A273" s="0" t="s">
        <v>3131</v>
      </c>
      <c r="B273" s="0" t="s">
        <v>49</v>
      </c>
      <c r="C273" s="0" t="s">
        <v>3132</v>
      </c>
      <c r="D273" s="0" t="s">
        <v>49</v>
      </c>
      <c r="E273" s="0" t="s">
        <v>49</v>
      </c>
      <c r="F273" s="0" t="s">
        <v>49</v>
      </c>
      <c r="G273" s="0" t="s">
        <v>49</v>
      </c>
      <c r="H273" s="0" t="s">
        <v>49</v>
      </c>
      <c r="I273" s="0" t="s">
        <v>49</v>
      </c>
      <c r="J273" s="0" t="s">
        <v>49</v>
      </c>
      <c r="K273" s="0" t="s">
        <v>49</v>
      </c>
      <c r="L273" s="0" t="s">
        <v>49</v>
      </c>
      <c r="M273" s="0" t="s">
        <v>49</v>
      </c>
      <c r="N273" s="0" t="s">
        <v>49</v>
      </c>
    </row>
    <row r="274" customFormat="false" ht="15" hidden="false" customHeight="false" outlineLevel="0" collapsed="false">
      <c r="A274" s="0" t="s">
        <v>3133</v>
      </c>
      <c r="B274" s="0" t="s">
        <v>49</v>
      </c>
      <c r="C274" s="0" t="s">
        <v>3134</v>
      </c>
      <c r="D274" s="0" t="s">
        <v>49</v>
      </c>
      <c r="E274" s="0" t="s">
        <v>49</v>
      </c>
      <c r="F274" s="0" t="s">
        <v>49</v>
      </c>
      <c r="G274" s="0" t="s">
        <v>49</v>
      </c>
      <c r="H274" s="0" t="s">
        <v>49</v>
      </c>
      <c r="I274" s="0" t="s">
        <v>49</v>
      </c>
      <c r="J274" s="0" t="s">
        <v>49</v>
      </c>
      <c r="K274" s="0" t="s">
        <v>49</v>
      </c>
      <c r="L274" s="0" t="s">
        <v>49</v>
      </c>
      <c r="M274" s="0" t="s">
        <v>49</v>
      </c>
      <c r="N274" s="0" t="s">
        <v>49</v>
      </c>
    </row>
    <row r="275" customFormat="false" ht="15" hidden="false" customHeight="false" outlineLevel="0" collapsed="false">
      <c r="A275" s="0" t="s">
        <v>3135</v>
      </c>
      <c r="B275" s="0" t="s">
        <v>1677</v>
      </c>
      <c r="C275" s="0" t="s">
        <v>1678</v>
      </c>
      <c r="D275" s="0" t="s">
        <v>1679</v>
      </c>
      <c r="E275" s="0" t="s">
        <v>1680</v>
      </c>
      <c r="F275" s="0" t="s">
        <v>3136</v>
      </c>
      <c r="G275" s="0" t="s">
        <v>3137</v>
      </c>
      <c r="H275" s="0" t="s">
        <v>3138</v>
      </c>
      <c r="I275" s="0" t="str">
        <f aca="false">HYPERLINK("https://omim.org/entry/235550", "235550")</f>
        <v>235550</v>
      </c>
      <c r="J275" s="0" t="s">
        <v>49</v>
      </c>
      <c r="K275" s="0" t="s">
        <v>49</v>
      </c>
      <c r="L275" s="0" t="s">
        <v>49</v>
      </c>
      <c r="M275" s="0" t="s">
        <v>49</v>
      </c>
      <c r="N275" s="0" t="s">
        <v>49</v>
      </c>
    </row>
    <row r="276" customFormat="false" ht="15" hidden="false" customHeight="false" outlineLevel="0" collapsed="false">
      <c r="A276" s="0" t="s">
        <v>3139</v>
      </c>
      <c r="B276" s="0" t="s">
        <v>418</v>
      </c>
      <c r="C276" s="0" t="s">
        <v>419</v>
      </c>
      <c r="D276" s="0" t="s">
        <v>420</v>
      </c>
      <c r="E276" s="0" t="s">
        <v>49</v>
      </c>
      <c r="F276" s="0" t="s">
        <v>49</v>
      </c>
      <c r="G276" s="0" t="s">
        <v>49</v>
      </c>
      <c r="H276" s="0" t="s">
        <v>49</v>
      </c>
      <c r="I276" s="0" t="s">
        <v>49</v>
      </c>
      <c r="J276" s="0" t="s">
        <v>49</v>
      </c>
      <c r="K276" s="0" t="s">
        <v>49</v>
      </c>
      <c r="L276" s="0" t="s">
        <v>49</v>
      </c>
      <c r="M276" s="0" t="s">
        <v>49</v>
      </c>
      <c r="N276" s="0" t="s">
        <v>49</v>
      </c>
    </row>
    <row r="277" customFormat="false" ht="15" hidden="false" customHeight="false" outlineLevel="0" collapsed="false">
      <c r="A277" s="0" t="s">
        <v>3140</v>
      </c>
      <c r="B277" s="0" t="s">
        <v>1173</v>
      </c>
      <c r="C277" s="0" t="s">
        <v>1174</v>
      </c>
      <c r="D277" s="0" t="s">
        <v>1175</v>
      </c>
      <c r="E277" s="0" t="s">
        <v>49</v>
      </c>
      <c r="F277" s="0" t="s">
        <v>49</v>
      </c>
      <c r="G277" s="0" t="s">
        <v>3141</v>
      </c>
      <c r="H277" s="0" t="s">
        <v>2608</v>
      </c>
      <c r="I277" s="0" t="s">
        <v>49</v>
      </c>
      <c r="J277" s="0" t="s">
        <v>49</v>
      </c>
      <c r="K277" s="0" t="s">
        <v>49</v>
      </c>
      <c r="L277" s="0" t="s">
        <v>49</v>
      </c>
      <c r="M277" s="0" t="s">
        <v>49</v>
      </c>
      <c r="N277" s="0" t="s">
        <v>49</v>
      </c>
    </row>
    <row r="278" customFormat="false" ht="15" hidden="false" customHeight="false" outlineLevel="0" collapsed="false">
      <c r="A278" s="0" t="s">
        <v>3142</v>
      </c>
      <c r="B278" s="0" t="s">
        <v>1227</v>
      </c>
      <c r="C278" s="0" t="s">
        <v>1228</v>
      </c>
      <c r="D278" s="0" t="s">
        <v>1229</v>
      </c>
      <c r="E278" s="0" t="s">
        <v>1230</v>
      </c>
      <c r="F278" s="0" t="s">
        <v>3143</v>
      </c>
      <c r="G278" s="0" t="s">
        <v>3144</v>
      </c>
      <c r="H278" s="0" t="s">
        <v>3145</v>
      </c>
      <c r="I278" s="0" t="str">
        <f aca="false">HYPERLINK("https://omim.org/entry/147060", "147060")</f>
        <v>147060</v>
      </c>
      <c r="J278" s="0" t="str">
        <f aca="false">HYPERLINK("https://omim.org/entry/615952", "615952")</f>
        <v>615952</v>
      </c>
      <c r="K278" s="0" t="s">
        <v>49</v>
      </c>
      <c r="L278" s="0" t="s">
        <v>49</v>
      </c>
      <c r="M278" s="0" t="s">
        <v>49</v>
      </c>
      <c r="N278" s="0" t="s">
        <v>49</v>
      </c>
    </row>
    <row r="279" customFormat="false" ht="15" hidden="false" customHeight="false" outlineLevel="0" collapsed="false">
      <c r="A279" s="0" t="s">
        <v>3146</v>
      </c>
      <c r="B279" s="0" t="s">
        <v>1629</v>
      </c>
      <c r="C279" s="0" t="s">
        <v>3147</v>
      </c>
      <c r="D279" s="0" t="s">
        <v>1631</v>
      </c>
      <c r="E279" s="0" t="s">
        <v>1632</v>
      </c>
      <c r="F279" s="0" t="s">
        <v>3148</v>
      </c>
      <c r="G279" s="0" t="s">
        <v>3149</v>
      </c>
      <c r="H279" s="0" t="s">
        <v>3150</v>
      </c>
      <c r="I279" s="0" t="str">
        <f aca="false">HYPERLINK("https://omim.org/entry/615234", "615234")</f>
        <v>615234</v>
      </c>
      <c r="J279" s="0" t="s">
        <v>49</v>
      </c>
      <c r="K279" s="0" t="s">
        <v>49</v>
      </c>
      <c r="L279" s="0" t="s">
        <v>49</v>
      </c>
      <c r="M279" s="0" t="s">
        <v>49</v>
      </c>
      <c r="N279" s="0" t="s">
        <v>49</v>
      </c>
    </row>
    <row r="280" customFormat="false" ht="15" hidden="false" customHeight="false" outlineLevel="0" collapsed="false">
      <c r="A280" s="0" t="s">
        <v>3151</v>
      </c>
      <c r="B280" s="0" t="s">
        <v>49</v>
      </c>
      <c r="C280" s="0" t="s">
        <v>3152</v>
      </c>
      <c r="D280" s="0" t="s">
        <v>49</v>
      </c>
      <c r="E280" s="0" t="s">
        <v>49</v>
      </c>
      <c r="F280" s="0" t="s">
        <v>49</v>
      </c>
      <c r="G280" s="0" t="s">
        <v>49</v>
      </c>
      <c r="H280" s="0" t="s">
        <v>49</v>
      </c>
      <c r="I280" s="0" t="s">
        <v>49</v>
      </c>
      <c r="J280" s="0" t="s">
        <v>49</v>
      </c>
      <c r="K280" s="0" t="s">
        <v>49</v>
      </c>
      <c r="L280" s="0" t="s">
        <v>49</v>
      </c>
      <c r="M280" s="0" t="s">
        <v>49</v>
      </c>
      <c r="N280" s="0" t="s">
        <v>49</v>
      </c>
    </row>
    <row r="281" customFormat="false" ht="15" hidden="false" customHeight="false" outlineLevel="0" collapsed="false">
      <c r="A281" s="0" t="s">
        <v>3153</v>
      </c>
      <c r="B281" s="0" t="s">
        <v>2215</v>
      </c>
      <c r="C281" s="0" t="s">
        <v>2216</v>
      </c>
      <c r="D281" s="0" t="s">
        <v>2217</v>
      </c>
      <c r="E281" s="0" t="s">
        <v>49</v>
      </c>
      <c r="F281" s="0" t="s">
        <v>3154</v>
      </c>
      <c r="G281" s="0" t="s">
        <v>3155</v>
      </c>
      <c r="H281" s="0" t="s">
        <v>3156</v>
      </c>
      <c r="I281" s="0" t="s">
        <v>49</v>
      </c>
      <c r="J281" s="0" t="s">
        <v>49</v>
      </c>
      <c r="K281" s="0" t="s">
        <v>49</v>
      </c>
      <c r="L281" s="0" t="s">
        <v>49</v>
      </c>
      <c r="M281" s="0" t="s">
        <v>49</v>
      </c>
      <c r="N281" s="0" t="s">
        <v>49</v>
      </c>
    </row>
    <row r="282" customFormat="false" ht="15" hidden="false" customHeight="false" outlineLevel="0" collapsed="false">
      <c r="A282" s="0" t="s">
        <v>3157</v>
      </c>
      <c r="B282" s="0" t="s">
        <v>1167</v>
      </c>
      <c r="C282" s="0" t="s">
        <v>1168</v>
      </c>
      <c r="D282" s="0" t="s">
        <v>1169</v>
      </c>
      <c r="E282" s="0" t="s">
        <v>49</v>
      </c>
      <c r="F282" s="0" t="s">
        <v>3158</v>
      </c>
      <c r="G282" s="0" t="s">
        <v>3159</v>
      </c>
      <c r="H282" s="0" t="s">
        <v>49</v>
      </c>
      <c r="I282" s="0" t="s">
        <v>49</v>
      </c>
      <c r="J282" s="0" t="s">
        <v>49</v>
      </c>
      <c r="K282" s="0" t="s">
        <v>49</v>
      </c>
      <c r="L282" s="0" t="s">
        <v>49</v>
      </c>
      <c r="M282" s="0" t="s">
        <v>49</v>
      </c>
      <c r="N282" s="0" t="s">
        <v>49</v>
      </c>
    </row>
    <row r="283" customFormat="false" ht="15" hidden="false" customHeight="false" outlineLevel="0" collapsed="false">
      <c r="A283" s="0" t="s">
        <v>3160</v>
      </c>
      <c r="B283" s="0" t="s">
        <v>559</v>
      </c>
      <c r="C283" s="0" t="s">
        <v>560</v>
      </c>
      <c r="D283" s="0" t="s">
        <v>561</v>
      </c>
      <c r="E283" s="0" t="s">
        <v>49</v>
      </c>
      <c r="F283" s="0" t="s">
        <v>3161</v>
      </c>
      <c r="G283" s="0" t="s">
        <v>49</v>
      </c>
      <c r="H283" s="0" t="s">
        <v>49</v>
      </c>
      <c r="I283" s="0" t="s">
        <v>49</v>
      </c>
      <c r="J283" s="0" t="s">
        <v>49</v>
      </c>
      <c r="K283" s="0" t="s">
        <v>49</v>
      </c>
      <c r="L283" s="0" t="s">
        <v>49</v>
      </c>
      <c r="M283" s="0" t="s">
        <v>49</v>
      </c>
      <c r="N283" s="0" t="s">
        <v>49</v>
      </c>
    </row>
    <row r="284" customFormat="false" ht="15" hidden="false" customHeight="false" outlineLevel="0" collapsed="false">
      <c r="A284" s="0" t="s">
        <v>3162</v>
      </c>
      <c r="B284" s="0" t="s">
        <v>284</v>
      </c>
      <c r="C284" s="0" t="s">
        <v>3163</v>
      </c>
      <c r="D284" s="0" t="s">
        <v>286</v>
      </c>
      <c r="E284" s="0" t="s">
        <v>287</v>
      </c>
      <c r="F284" s="0" t="s">
        <v>3164</v>
      </c>
      <c r="G284" s="0" t="s">
        <v>3165</v>
      </c>
      <c r="H284" s="0" t="s">
        <v>3166</v>
      </c>
      <c r="I284" s="0" t="str">
        <f aca="false">HYPERLINK("https://omim.org/entry/610743", "610743")</f>
        <v>610743</v>
      </c>
      <c r="J284" s="0" t="str">
        <f aca="false">HYPERLINK("https://omim.org/entry/612998", "612998")</f>
        <v>612998</v>
      </c>
      <c r="K284" s="0" t="s">
        <v>49</v>
      </c>
      <c r="L284" s="0" t="s">
        <v>49</v>
      </c>
      <c r="M284" s="0" t="s">
        <v>49</v>
      </c>
      <c r="N284" s="0" t="s">
        <v>49</v>
      </c>
    </row>
    <row r="285" customFormat="false" ht="15" hidden="false" customHeight="false" outlineLevel="0" collapsed="false">
      <c r="A285" s="0" t="s">
        <v>3167</v>
      </c>
      <c r="B285" s="0" t="s">
        <v>342</v>
      </c>
      <c r="C285" s="0" t="s">
        <v>343</v>
      </c>
      <c r="D285" s="0" t="s">
        <v>344</v>
      </c>
      <c r="E285" s="0" t="s">
        <v>49</v>
      </c>
      <c r="F285" s="0" t="s">
        <v>49</v>
      </c>
      <c r="G285" s="0" t="s">
        <v>3168</v>
      </c>
      <c r="H285" s="0" t="s">
        <v>3169</v>
      </c>
      <c r="I285" s="0" t="s">
        <v>49</v>
      </c>
      <c r="J285" s="0" t="s">
        <v>49</v>
      </c>
      <c r="K285" s="0" t="s">
        <v>49</v>
      </c>
      <c r="L285" s="0" t="s">
        <v>49</v>
      </c>
      <c r="M285" s="0" t="s">
        <v>49</v>
      </c>
      <c r="N285" s="0" t="s">
        <v>49</v>
      </c>
    </row>
    <row r="286" customFormat="false" ht="15" hidden="false" customHeight="false" outlineLevel="0" collapsed="false">
      <c r="A286" s="0" t="s">
        <v>3170</v>
      </c>
      <c r="B286" s="0" t="s">
        <v>430</v>
      </c>
      <c r="C286" s="0" t="s">
        <v>431</v>
      </c>
      <c r="D286" s="0" t="s">
        <v>49</v>
      </c>
      <c r="E286" s="0" t="s">
        <v>49</v>
      </c>
      <c r="F286" s="0" t="s">
        <v>49</v>
      </c>
      <c r="G286" s="0" t="s">
        <v>49</v>
      </c>
      <c r="H286" s="0" t="s">
        <v>49</v>
      </c>
      <c r="I286" s="0" t="s">
        <v>49</v>
      </c>
      <c r="J286" s="0" t="s">
        <v>49</v>
      </c>
      <c r="K286" s="0" t="s">
        <v>49</v>
      </c>
      <c r="L286" s="0" t="s">
        <v>49</v>
      </c>
      <c r="M286" s="0" t="s">
        <v>49</v>
      </c>
      <c r="N286" s="0" t="s">
        <v>49</v>
      </c>
    </row>
    <row r="287" customFormat="false" ht="15" hidden="false" customHeight="false" outlineLevel="0" collapsed="false">
      <c r="A287" s="0" t="s">
        <v>3171</v>
      </c>
      <c r="B287" s="0" t="s">
        <v>423</v>
      </c>
      <c r="C287" s="0" t="s">
        <v>424</v>
      </c>
      <c r="D287" s="0" t="s">
        <v>49</v>
      </c>
      <c r="E287" s="0" t="s">
        <v>49</v>
      </c>
      <c r="F287" s="0" t="s">
        <v>49</v>
      </c>
      <c r="G287" s="0" t="s">
        <v>3172</v>
      </c>
      <c r="H287" s="0" t="s">
        <v>3173</v>
      </c>
      <c r="I287" s="0" t="s">
        <v>49</v>
      </c>
      <c r="J287" s="0" t="s">
        <v>49</v>
      </c>
      <c r="K287" s="0" t="s">
        <v>49</v>
      </c>
      <c r="L287" s="0" t="s">
        <v>49</v>
      </c>
      <c r="M287" s="0" t="s">
        <v>49</v>
      </c>
      <c r="N287" s="0" t="s">
        <v>49</v>
      </c>
    </row>
    <row r="288" customFormat="false" ht="15" hidden="false" customHeight="false" outlineLevel="0" collapsed="false">
      <c r="A288" s="0" t="s">
        <v>3174</v>
      </c>
      <c r="B288" s="0" t="s">
        <v>632</v>
      </c>
      <c r="C288" s="0" t="s">
        <v>3175</v>
      </c>
      <c r="D288" s="0" t="s">
        <v>634</v>
      </c>
      <c r="E288" s="0" t="s">
        <v>635</v>
      </c>
      <c r="F288" s="0" t="s">
        <v>49</v>
      </c>
      <c r="G288" s="0" t="s">
        <v>49</v>
      </c>
      <c r="H288" s="0" t="s">
        <v>49</v>
      </c>
      <c r="I288" s="0" t="str">
        <f aca="false">HYPERLINK("https://omim.org/entry/614816", "614816")</f>
        <v>614816</v>
      </c>
      <c r="J288" s="0" t="s">
        <v>49</v>
      </c>
      <c r="K288" s="0" t="s">
        <v>49</v>
      </c>
      <c r="L288" s="0" t="s">
        <v>49</v>
      </c>
      <c r="M288" s="0" t="s">
        <v>49</v>
      </c>
      <c r="N288" s="0" t="s">
        <v>49</v>
      </c>
    </row>
    <row r="289" customFormat="false" ht="15" hidden="false" customHeight="false" outlineLevel="0" collapsed="false">
      <c r="A289" s="0" t="s">
        <v>3176</v>
      </c>
      <c r="B289" s="0" t="s">
        <v>49</v>
      </c>
      <c r="C289" s="0" t="s">
        <v>268</v>
      </c>
      <c r="D289" s="0" t="s">
        <v>269</v>
      </c>
      <c r="E289" s="0" t="s">
        <v>270</v>
      </c>
      <c r="F289" s="0" t="s">
        <v>3177</v>
      </c>
      <c r="G289" s="0" t="s">
        <v>49</v>
      </c>
      <c r="H289" s="0" t="s">
        <v>49</v>
      </c>
      <c r="I289" s="0" t="str">
        <f aca="false">HYPERLINK("https://omim.org/entry/614486", "614486")</f>
        <v>614486</v>
      </c>
      <c r="J289" s="0" t="str">
        <f aca="false">HYPERLINK("https://omim.org/entry/612926", "612926")</f>
        <v>612926</v>
      </c>
      <c r="K289" s="0" t="s">
        <v>49</v>
      </c>
      <c r="L289" s="0" t="s">
        <v>49</v>
      </c>
      <c r="M289" s="0" t="s">
        <v>49</v>
      </c>
      <c r="N289" s="0" t="s">
        <v>49</v>
      </c>
    </row>
    <row r="290" customFormat="false" ht="15" hidden="false" customHeight="false" outlineLevel="0" collapsed="false">
      <c r="A290" s="0" t="s">
        <v>3178</v>
      </c>
      <c r="B290" s="0" t="s">
        <v>1383</v>
      </c>
      <c r="C290" s="0" t="s">
        <v>1384</v>
      </c>
      <c r="D290" s="0" t="s">
        <v>49</v>
      </c>
      <c r="E290" s="0" t="s">
        <v>49</v>
      </c>
      <c r="F290" s="0" t="s">
        <v>49</v>
      </c>
      <c r="G290" s="0" t="s">
        <v>3179</v>
      </c>
      <c r="H290" s="0" t="s">
        <v>3180</v>
      </c>
      <c r="I290" s="0" t="s">
        <v>49</v>
      </c>
      <c r="J290" s="0" t="s">
        <v>49</v>
      </c>
      <c r="K290" s="0" t="s">
        <v>49</v>
      </c>
      <c r="L290" s="0" t="s">
        <v>49</v>
      </c>
      <c r="M290" s="0" t="s">
        <v>49</v>
      </c>
      <c r="N290" s="0" t="s">
        <v>49</v>
      </c>
    </row>
    <row r="291" customFormat="false" ht="15" hidden="false" customHeight="false" outlineLevel="0" collapsed="false">
      <c r="A291" s="0" t="s">
        <v>3181</v>
      </c>
      <c r="B291" s="0" t="s">
        <v>2104</v>
      </c>
      <c r="C291" s="0" t="s">
        <v>2105</v>
      </c>
      <c r="D291" s="0" t="s">
        <v>49</v>
      </c>
      <c r="E291" s="0" t="s">
        <v>49</v>
      </c>
      <c r="F291" s="0" t="s">
        <v>49</v>
      </c>
      <c r="G291" s="0" t="s">
        <v>49</v>
      </c>
      <c r="H291" s="0" t="s">
        <v>49</v>
      </c>
      <c r="I291" s="0" t="s">
        <v>49</v>
      </c>
      <c r="J291" s="0" t="s">
        <v>49</v>
      </c>
      <c r="K291" s="0" t="s">
        <v>49</v>
      </c>
      <c r="L291" s="0" t="s">
        <v>49</v>
      </c>
      <c r="M291" s="0" t="s">
        <v>49</v>
      </c>
      <c r="N291" s="0" t="s">
        <v>49</v>
      </c>
    </row>
    <row r="292" customFormat="false" ht="15" hidden="false" customHeight="false" outlineLevel="0" collapsed="false">
      <c r="A292" s="0" t="s">
        <v>3182</v>
      </c>
      <c r="B292" s="0" t="s">
        <v>2246</v>
      </c>
      <c r="C292" s="0" t="s">
        <v>2247</v>
      </c>
      <c r="D292" s="0" t="s">
        <v>2248</v>
      </c>
      <c r="E292" s="0" t="s">
        <v>2249</v>
      </c>
      <c r="F292" s="0" t="s">
        <v>49</v>
      </c>
      <c r="G292" s="0" t="s">
        <v>49</v>
      </c>
      <c r="H292" s="0" t="s">
        <v>49</v>
      </c>
      <c r="I292" s="0" t="str">
        <f aca="false">HYPERLINK("https://omim.org/entry/615066", "615066")</f>
        <v>615066</v>
      </c>
      <c r="J292" s="0" t="s">
        <v>49</v>
      </c>
      <c r="K292" s="0" t="s">
        <v>49</v>
      </c>
      <c r="L292" s="0" t="s">
        <v>49</v>
      </c>
      <c r="M292" s="0" t="s">
        <v>49</v>
      </c>
      <c r="N292" s="0" t="s">
        <v>49</v>
      </c>
    </row>
    <row r="293" customFormat="false" ht="15" hidden="false" customHeight="false" outlineLevel="0" collapsed="false">
      <c r="A293" s="0" t="s">
        <v>3183</v>
      </c>
      <c r="B293" s="0" t="s">
        <v>3184</v>
      </c>
      <c r="C293" s="0" t="s">
        <v>3185</v>
      </c>
      <c r="D293" s="0" t="s">
        <v>2657</v>
      </c>
      <c r="E293" s="0" t="s">
        <v>2658</v>
      </c>
      <c r="F293" s="0" t="s">
        <v>2659</v>
      </c>
      <c r="G293" s="0" t="s">
        <v>49</v>
      </c>
      <c r="H293" s="0" t="s">
        <v>49</v>
      </c>
      <c r="I293" s="0" t="str">
        <f aca="false">HYPERLINK("https://omim.org/entry/616117", "616117")</f>
        <v>616117</v>
      </c>
      <c r="J293" s="0" t="s">
        <v>49</v>
      </c>
      <c r="K293" s="0" t="s">
        <v>49</v>
      </c>
      <c r="L293" s="0" t="s">
        <v>49</v>
      </c>
      <c r="M293" s="0" t="s">
        <v>49</v>
      </c>
      <c r="N293" s="0" t="s">
        <v>49</v>
      </c>
    </row>
    <row r="294" customFormat="false" ht="15" hidden="false" customHeight="false" outlineLevel="0" collapsed="false">
      <c r="A294" s="0" t="s">
        <v>3186</v>
      </c>
      <c r="B294" s="0" t="s">
        <v>2098</v>
      </c>
      <c r="C294" s="0" t="s">
        <v>2099</v>
      </c>
      <c r="D294" s="0" t="s">
        <v>49</v>
      </c>
      <c r="E294" s="0" t="s">
        <v>49</v>
      </c>
      <c r="F294" s="0" t="s">
        <v>49</v>
      </c>
      <c r="G294" s="0" t="s">
        <v>3187</v>
      </c>
      <c r="H294" s="0" t="s">
        <v>3188</v>
      </c>
      <c r="I294" s="0" t="s">
        <v>49</v>
      </c>
      <c r="J294" s="0" t="s">
        <v>49</v>
      </c>
      <c r="K294" s="0" t="s">
        <v>49</v>
      </c>
      <c r="L294" s="0" t="s">
        <v>49</v>
      </c>
      <c r="M294" s="0" t="s">
        <v>49</v>
      </c>
      <c r="N294" s="0" t="s">
        <v>49</v>
      </c>
    </row>
    <row r="295" customFormat="false" ht="15" hidden="false" customHeight="false" outlineLevel="0" collapsed="false">
      <c r="A295" s="0" t="s">
        <v>3189</v>
      </c>
      <c r="B295" s="0" t="s">
        <v>2050</v>
      </c>
      <c r="C295" s="0" t="s">
        <v>3190</v>
      </c>
      <c r="D295" s="0" t="s">
        <v>2052</v>
      </c>
      <c r="E295" s="0" t="s">
        <v>2053</v>
      </c>
      <c r="F295" s="0" t="s">
        <v>2334</v>
      </c>
      <c r="G295" s="0" t="s">
        <v>3191</v>
      </c>
      <c r="H295" s="0" t="s">
        <v>3192</v>
      </c>
      <c r="I295" s="0" t="str">
        <f aca="false">HYPERLINK("https://omim.org/entry/615527", "615527")</f>
        <v>615527</v>
      </c>
      <c r="J295" s="0" t="s">
        <v>49</v>
      </c>
      <c r="K295" s="0" t="s">
        <v>49</v>
      </c>
      <c r="L295" s="0" t="s">
        <v>49</v>
      </c>
      <c r="M295" s="0" t="s">
        <v>49</v>
      </c>
      <c r="N295" s="0" t="s">
        <v>49</v>
      </c>
    </row>
    <row r="296" customFormat="false" ht="15" hidden="false" customHeight="false" outlineLevel="0" collapsed="false">
      <c r="A296" s="0" t="s">
        <v>3193</v>
      </c>
      <c r="B296" s="0" t="s">
        <v>49</v>
      </c>
      <c r="C296" s="0" t="s">
        <v>3194</v>
      </c>
      <c r="D296" s="0" t="s">
        <v>49</v>
      </c>
      <c r="E296" s="0" t="s">
        <v>49</v>
      </c>
      <c r="F296" s="0" t="s">
        <v>49</v>
      </c>
      <c r="G296" s="0" t="s">
        <v>49</v>
      </c>
      <c r="H296" s="0" t="s">
        <v>49</v>
      </c>
      <c r="I296" s="0" t="s">
        <v>49</v>
      </c>
      <c r="J296" s="0" t="s">
        <v>49</v>
      </c>
      <c r="K296" s="0" t="s">
        <v>49</v>
      </c>
      <c r="L296" s="0" t="s">
        <v>49</v>
      </c>
      <c r="M296" s="0" t="s">
        <v>49</v>
      </c>
      <c r="N296" s="0" t="s">
        <v>49</v>
      </c>
    </row>
    <row r="297" customFormat="false" ht="15" hidden="false" customHeight="false" outlineLevel="0" collapsed="false">
      <c r="A297" s="0" t="s">
        <v>3195</v>
      </c>
      <c r="B297" s="0" t="s">
        <v>2056</v>
      </c>
      <c r="C297" s="0" t="s">
        <v>2057</v>
      </c>
      <c r="D297" s="0" t="s">
        <v>2058</v>
      </c>
      <c r="E297" s="0" t="s">
        <v>2059</v>
      </c>
      <c r="F297" s="0" t="s">
        <v>49</v>
      </c>
      <c r="G297" s="0" t="s">
        <v>3196</v>
      </c>
      <c r="H297" s="0" t="s">
        <v>3197</v>
      </c>
      <c r="I297" s="0" t="str">
        <f aca="false">HYPERLINK("https://omim.org/entry/615441", "615441")</f>
        <v>615441</v>
      </c>
      <c r="J297" s="0" t="s">
        <v>49</v>
      </c>
      <c r="K297" s="0" t="s">
        <v>49</v>
      </c>
      <c r="L297" s="0" t="s">
        <v>49</v>
      </c>
      <c r="M297" s="0" t="s">
        <v>49</v>
      </c>
      <c r="N297" s="0" t="s">
        <v>49</v>
      </c>
    </row>
    <row r="298" customFormat="false" ht="15" hidden="false" customHeight="false" outlineLevel="0" collapsed="false">
      <c r="A298" s="0" t="s">
        <v>3198</v>
      </c>
      <c r="B298" s="0" t="s">
        <v>504</v>
      </c>
      <c r="C298" s="0" t="s">
        <v>505</v>
      </c>
      <c r="D298" s="0" t="s">
        <v>506</v>
      </c>
      <c r="E298" s="0" t="s">
        <v>49</v>
      </c>
      <c r="F298" s="0" t="s">
        <v>3199</v>
      </c>
      <c r="G298" s="0" t="s">
        <v>3200</v>
      </c>
      <c r="H298" s="0" t="s">
        <v>3201</v>
      </c>
      <c r="I298" s="0" t="s">
        <v>49</v>
      </c>
      <c r="J298" s="0" t="s">
        <v>49</v>
      </c>
      <c r="K298" s="0" t="s">
        <v>49</v>
      </c>
      <c r="L298" s="0" t="s">
        <v>49</v>
      </c>
      <c r="M298" s="0" t="s">
        <v>49</v>
      </c>
      <c r="N298" s="0" t="s">
        <v>49</v>
      </c>
    </row>
    <row r="299" customFormat="false" ht="15" hidden="false" customHeight="false" outlineLevel="0" collapsed="false">
      <c r="A299" s="0" t="s">
        <v>3202</v>
      </c>
      <c r="B299" s="0" t="s">
        <v>1418</v>
      </c>
      <c r="C299" s="0" t="s">
        <v>1419</v>
      </c>
      <c r="D299" s="0" t="s">
        <v>1420</v>
      </c>
      <c r="E299" s="0" t="s">
        <v>1421</v>
      </c>
      <c r="F299" s="0" t="s">
        <v>3203</v>
      </c>
      <c r="G299" s="0" t="s">
        <v>3204</v>
      </c>
      <c r="H299" s="0" t="s">
        <v>3205</v>
      </c>
      <c r="I299" s="0" t="str">
        <f aca="false">HYPERLINK("https://omim.org/entry/604559", "604559")</f>
        <v>604559</v>
      </c>
      <c r="J299" s="0" t="s">
        <v>49</v>
      </c>
      <c r="K299" s="0" t="s">
        <v>49</v>
      </c>
      <c r="L299" s="0" t="s">
        <v>49</v>
      </c>
      <c r="M299" s="0" t="s">
        <v>49</v>
      </c>
      <c r="N299" s="0" t="s">
        <v>49</v>
      </c>
    </row>
    <row r="300" customFormat="false" ht="15" hidden="false" customHeight="false" outlineLevel="0" collapsed="false">
      <c r="A300" s="0" t="s">
        <v>3206</v>
      </c>
      <c r="B300" s="0" t="s">
        <v>334</v>
      </c>
      <c r="C300" s="0" t="s">
        <v>335</v>
      </c>
      <c r="D300" s="0" t="s">
        <v>336</v>
      </c>
      <c r="E300" s="0" t="s">
        <v>49</v>
      </c>
      <c r="F300" s="0" t="s">
        <v>3207</v>
      </c>
      <c r="G300" s="0" t="s">
        <v>49</v>
      </c>
      <c r="H300" s="0" t="s">
        <v>49</v>
      </c>
      <c r="I300" s="0" t="s">
        <v>49</v>
      </c>
      <c r="J300" s="0" t="s">
        <v>49</v>
      </c>
      <c r="K300" s="0" t="s">
        <v>49</v>
      </c>
      <c r="L300" s="0" t="s">
        <v>49</v>
      </c>
      <c r="M300" s="0" t="s">
        <v>49</v>
      </c>
      <c r="N300" s="0" t="s">
        <v>49</v>
      </c>
    </row>
    <row r="301" customFormat="false" ht="15" hidden="false" customHeight="false" outlineLevel="0" collapsed="false">
      <c r="A301" s="0" t="s">
        <v>3208</v>
      </c>
      <c r="B301" s="0" t="s">
        <v>1436</v>
      </c>
      <c r="C301" s="0" t="s">
        <v>1437</v>
      </c>
      <c r="D301" s="0" t="s">
        <v>1438</v>
      </c>
      <c r="E301" s="0" t="s">
        <v>1439</v>
      </c>
      <c r="F301" s="0" t="s">
        <v>49</v>
      </c>
      <c r="G301" s="0" t="s">
        <v>3209</v>
      </c>
      <c r="H301" s="0" t="s">
        <v>3210</v>
      </c>
      <c r="I301" s="0" t="str">
        <f aca="false">HYPERLINK("https://omim.org/entry/612390", "612390")</f>
        <v>612390</v>
      </c>
      <c r="J301" s="0" t="s">
        <v>49</v>
      </c>
      <c r="K301" s="0" t="s">
        <v>49</v>
      </c>
      <c r="L301" s="0" t="s">
        <v>49</v>
      </c>
      <c r="M301" s="0" t="s">
        <v>49</v>
      </c>
      <c r="N301" s="0" t="s">
        <v>49</v>
      </c>
    </row>
    <row r="302" customFormat="false" ht="15" hidden="false" customHeight="false" outlineLevel="0" collapsed="false">
      <c r="A302" s="0" t="s">
        <v>3211</v>
      </c>
      <c r="B302" s="0" t="s">
        <v>1619</v>
      </c>
      <c r="C302" s="0" t="s">
        <v>1620</v>
      </c>
      <c r="D302" s="0" t="s">
        <v>1621</v>
      </c>
      <c r="E302" s="0" t="s">
        <v>49</v>
      </c>
      <c r="F302" s="0" t="s">
        <v>3212</v>
      </c>
      <c r="G302" s="0" t="s">
        <v>3213</v>
      </c>
      <c r="H302" s="0" t="s">
        <v>3214</v>
      </c>
      <c r="I302" s="0" t="s">
        <v>49</v>
      </c>
      <c r="J302" s="0" t="s">
        <v>49</v>
      </c>
      <c r="K302" s="0" t="s">
        <v>49</v>
      </c>
      <c r="L302" s="0" t="s">
        <v>49</v>
      </c>
      <c r="M302" s="0" t="s">
        <v>49</v>
      </c>
      <c r="N302" s="0" t="s">
        <v>49</v>
      </c>
    </row>
    <row r="303" customFormat="false" ht="15" hidden="false" customHeight="false" outlineLevel="0" collapsed="false">
      <c r="A303" s="0" t="s">
        <v>3215</v>
      </c>
      <c r="B303" s="0" t="s">
        <v>1037</v>
      </c>
      <c r="C303" s="0" t="s">
        <v>1038</v>
      </c>
      <c r="D303" s="0" t="s">
        <v>1039</v>
      </c>
      <c r="E303" s="0" t="s">
        <v>1040</v>
      </c>
      <c r="F303" s="0" t="s">
        <v>3216</v>
      </c>
      <c r="G303" s="0" t="s">
        <v>3217</v>
      </c>
      <c r="H303" s="0" t="s">
        <v>3218</v>
      </c>
      <c r="I303" s="0" t="str">
        <f aca="false">HYPERLINK("https://omim.org/entry/275200", "275200")</f>
        <v>275200</v>
      </c>
      <c r="J303" s="0" t="str">
        <f aca="false">HYPERLINK("https://omim.org/entry/603373", "603373")</f>
        <v>603373</v>
      </c>
      <c r="K303" s="0" t="str">
        <f aca="false">HYPERLINK("https://omim.org/entry/609152", "609152")</f>
        <v>609152</v>
      </c>
      <c r="L303" s="0" t="s">
        <v>49</v>
      </c>
      <c r="M303" s="0" t="s">
        <v>49</v>
      </c>
      <c r="N303" s="0" t="s">
        <v>49</v>
      </c>
    </row>
    <row r="304" customFormat="false" ht="15" hidden="false" customHeight="false" outlineLevel="0" collapsed="false">
      <c r="A304" s="0" t="s">
        <v>3219</v>
      </c>
      <c r="B304" s="0" t="s">
        <v>49</v>
      </c>
      <c r="C304" s="0" t="s">
        <v>3220</v>
      </c>
      <c r="D304" s="0" t="s">
        <v>49</v>
      </c>
      <c r="E304" s="0" t="s">
        <v>49</v>
      </c>
      <c r="F304" s="0" t="s">
        <v>49</v>
      </c>
      <c r="G304" s="0" t="s">
        <v>49</v>
      </c>
      <c r="H304" s="0" t="s">
        <v>49</v>
      </c>
      <c r="I304" s="0" t="s">
        <v>49</v>
      </c>
      <c r="J304" s="0" t="s">
        <v>49</v>
      </c>
      <c r="K304" s="0" t="s">
        <v>49</v>
      </c>
      <c r="L304" s="0" t="s">
        <v>49</v>
      </c>
      <c r="M304" s="0" t="s">
        <v>49</v>
      </c>
      <c r="N304" s="0" t="s">
        <v>49</v>
      </c>
    </row>
    <row r="305" customFormat="false" ht="15" hidden="false" customHeight="false" outlineLevel="0" collapsed="false">
      <c r="A305" s="0" t="s">
        <v>3221</v>
      </c>
      <c r="B305" s="0" t="s">
        <v>1660</v>
      </c>
      <c r="C305" s="0" t="s">
        <v>1661</v>
      </c>
      <c r="D305" s="0" t="s">
        <v>1662</v>
      </c>
      <c r="E305" s="0" t="s">
        <v>1663</v>
      </c>
      <c r="F305" s="0" t="s">
        <v>3222</v>
      </c>
      <c r="G305" s="0" t="s">
        <v>3223</v>
      </c>
      <c r="H305" s="0" t="s">
        <v>3224</v>
      </c>
      <c r="I305" s="0" t="str">
        <f aca="false">HYPERLINK("https://omim.org/entry/603689", "603689")</f>
        <v>603689</v>
      </c>
      <c r="J305" s="0" t="str">
        <f aca="false">HYPERLINK("https://omim.org/entry/613765", "613765")</f>
        <v>613765</v>
      </c>
      <c r="K305" s="0" t="str">
        <f aca="false">HYPERLINK("https://omim.org/entry/604145", "604145")</f>
        <v>604145</v>
      </c>
      <c r="L305" s="0" t="str">
        <f aca="false">HYPERLINK("https://omim.org/entry/600334", "600334")</f>
        <v>600334</v>
      </c>
      <c r="M305" s="0" t="str">
        <f aca="false">HYPERLINK("https://omim.org/entry/608807", "608807")</f>
        <v>608807</v>
      </c>
      <c r="N305" s="0" t="str">
        <f aca="false">HYPERLINK("https://omim.org/entry/611705", "611705")</f>
        <v>611705</v>
      </c>
    </row>
    <row r="306" customFormat="false" ht="15" hidden="false" customHeight="false" outlineLevel="0" collapsed="false">
      <c r="A306" s="0" t="s">
        <v>3225</v>
      </c>
      <c r="B306" s="0" t="s">
        <v>1063</v>
      </c>
      <c r="C306" s="0" t="s">
        <v>3226</v>
      </c>
      <c r="D306" s="0" t="s">
        <v>1065</v>
      </c>
      <c r="E306" s="0" t="s">
        <v>1066</v>
      </c>
      <c r="F306" s="0" t="s">
        <v>49</v>
      </c>
      <c r="G306" s="0" t="s">
        <v>3227</v>
      </c>
      <c r="H306" s="0" t="s">
        <v>3228</v>
      </c>
      <c r="I306" s="0" t="str">
        <f aca="false">HYPERLINK("https://omim.org/entry/105830", "105830")</f>
        <v>105830</v>
      </c>
      <c r="J306" s="0" t="s">
        <v>49</v>
      </c>
      <c r="K306" s="0" t="s">
        <v>49</v>
      </c>
      <c r="L306" s="0" t="s">
        <v>49</v>
      </c>
      <c r="M306" s="0" t="s">
        <v>49</v>
      </c>
      <c r="N306" s="0" t="s">
        <v>49</v>
      </c>
    </row>
    <row r="307" customFormat="false" ht="15" hidden="false" customHeight="false" outlineLevel="0" collapsed="false">
      <c r="A307" s="0" t="s">
        <v>3229</v>
      </c>
      <c r="B307" s="0" t="s">
        <v>2187</v>
      </c>
      <c r="C307" s="0" t="s">
        <v>2188</v>
      </c>
      <c r="D307" s="0" t="s">
        <v>2189</v>
      </c>
      <c r="E307" s="0" t="s">
        <v>49</v>
      </c>
      <c r="F307" s="0" t="s">
        <v>3230</v>
      </c>
      <c r="G307" s="0" t="s">
        <v>3231</v>
      </c>
      <c r="H307" s="0" t="s">
        <v>3232</v>
      </c>
      <c r="I307" s="0" t="s">
        <v>49</v>
      </c>
      <c r="J307" s="0" t="s">
        <v>49</v>
      </c>
      <c r="K307" s="0" t="s">
        <v>49</v>
      </c>
      <c r="L307" s="0" t="s">
        <v>49</v>
      </c>
      <c r="M307" s="0" t="s">
        <v>49</v>
      </c>
      <c r="N307" s="0" t="s">
        <v>49</v>
      </c>
    </row>
    <row r="308" customFormat="false" ht="15" hidden="false" customHeight="false" outlineLevel="0" collapsed="false">
      <c r="A308" s="0" t="s">
        <v>3233</v>
      </c>
      <c r="B308" s="0" t="s">
        <v>806</v>
      </c>
      <c r="C308" s="0" t="s">
        <v>807</v>
      </c>
      <c r="D308" s="0" t="s">
        <v>808</v>
      </c>
      <c r="E308" s="0" t="s">
        <v>49</v>
      </c>
      <c r="F308" s="0" t="s">
        <v>3234</v>
      </c>
      <c r="G308" s="0" t="s">
        <v>3235</v>
      </c>
      <c r="H308" s="0" t="s">
        <v>2422</v>
      </c>
      <c r="I308" s="0" t="s">
        <v>49</v>
      </c>
      <c r="J308" s="0" t="s">
        <v>49</v>
      </c>
      <c r="K308" s="0" t="s">
        <v>49</v>
      </c>
      <c r="L308" s="0" t="s">
        <v>49</v>
      </c>
      <c r="M308" s="0" t="s">
        <v>49</v>
      </c>
      <c r="N308" s="0" t="s">
        <v>49</v>
      </c>
    </row>
    <row r="309" customFormat="false" ht="15" hidden="false" customHeight="false" outlineLevel="0" collapsed="false">
      <c r="A309" s="0" t="s">
        <v>3236</v>
      </c>
      <c r="B309" s="0" t="s">
        <v>116</v>
      </c>
      <c r="C309" s="0" t="s">
        <v>117</v>
      </c>
      <c r="D309" s="0" t="s">
        <v>118</v>
      </c>
      <c r="E309" s="0" t="s">
        <v>119</v>
      </c>
      <c r="F309" s="0" t="s">
        <v>3237</v>
      </c>
      <c r="G309" s="0" t="s">
        <v>49</v>
      </c>
      <c r="H309" s="0" t="s">
        <v>49</v>
      </c>
      <c r="I309" s="0" t="str">
        <f aca="false">HYPERLINK("https://omim.org/entry/143500", "143500")</f>
        <v>143500</v>
      </c>
      <c r="J309" s="0" t="str">
        <f aca="false">HYPERLINK("https://omim.org/entry/218800", "218800")</f>
        <v>218800</v>
      </c>
      <c r="K309" s="0" t="str">
        <f aca="false">HYPERLINK("https://omim.org/entry/606785", "606785")</f>
        <v>606785</v>
      </c>
      <c r="L309" s="0" t="s">
        <v>49</v>
      </c>
      <c r="M309" s="0" t="s">
        <v>49</v>
      </c>
      <c r="N309" s="0" t="s">
        <v>49</v>
      </c>
    </row>
    <row r="310" customFormat="false" ht="15" hidden="false" customHeight="false" outlineLevel="0" collapsed="false">
      <c r="A310" s="0" t="s">
        <v>3238</v>
      </c>
      <c r="B310" s="0" t="s">
        <v>639</v>
      </c>
      <c r="C310" s="0" t="s">
        <v>640</v>
      </c>
      <c r="D310" s="0" t="s">
        <v>49</v>
      </c>
      <c r="E310" s="0" t="s">
        <v>49</v>
      </c>
      <c r="F310" s="0" t="s">
        <v>49</v>
      </c>
      <c r="G310" s="0" t="s">
        <v>3239</v>
      </c>
      <c r="H310" s="0" t="s">
        <v>3240</v>
      </c>
      <c r="I310" s="0" t="s">
        <v>49</v>
      </c>
      <c r="J310" s="0" t="s">
        <v>49</v>
      </c>
      <c r="K310" s="0" t="s">
        <v>49</v>
      </c>
      <c r="L310" s="0" t="s">
        <v>49</v>
      </c>
      <c r="M310" s="0" t="s">
        <v>49</v>
      </c>
      <c r="N310" s="0" t="s">
        <v>49</v>
      </c>
    </row>
    <row r="311" customFormat="false" ht="15" hidden="false" customHeight="false" outlineLevel="0" collapsed="false">
      <c r="A311" s="0" t="s">
        <v>3241</v>
      </c>
      <c r="B311" s="0" t="s">
        <v>49</v>
      </c>
      <c r="C311" s="0" t="s">
        <v>262</v>
      </c>
      <c r="D311" s="0" t="s">
        <v>49</v>
      </c>
      <c r="E311" s="0" t="s">
        <v>49</v>
      </c>
      <c r="F311" s="0" t="s">
        <v>49</v>
      </c>
      <c r="G311" s="0" t="s">
        <v>49</v>
      </c>
      <c r="H311" s="0" t="s">
        <v>49</v>
      </c>
      <c r="I311" s="0" t="s">
        <v>49</v>
      </c>
      <c r="J311" s="0" t="s">
        <v>49</v>
      </c>
      <c r="K311" s="0" t="s">
        <v>49</v>
      </c>
      <c r="L311" s="0" t="s">
        <v>49</v>
      </c>
      <c r="M311" s="0" t="s">
        <v>49</v>
      </c>
      <c r="N311" s="0" t="s">
        <v>49</v>
      </c>
    </row>
    <row r="312" customFormat="false" ht="15" hidden="false" customHeight="false" outlineLevel="0" collapsed="false">
      <c r="A312" s="0" t="s">
        <v>3242</v>
      </c>
      <c r="B312" s="0" t="s">
        <v>863</v>
      </c>
      <c r="C312" s="0" t="s">
        <v>864</v>
      </c>
      <c r="D312" s="0" t="s">
        <v>865</v>
      </c>
      <c r="E312" s="0" t="s">
        <v>866</v>
      </c>
      <c r="F312" s="0" t="s">
        <v>3243</v>
      </c>
      <c r="G312" s="0" t="s">
        <v>3244</v>
      </c>
      <c r="H312" s="0" t="s">
        <v>3245</v>
      </c>
      <c r="I312" s="0" t="s">
        <v>49</v>
      </c>
      <c r="J312" s="0" t="s">
        <v>49</v>
      </c>
      <c r="K312" s="0" t="s">
        <v>49</v>
      </c>
      <c r="L312" s="0" t="s">
        <v>49</v>
      </c>
      <c r="M312" s="0" t="s">
        <v>49</v>
      </c>
      <c r="N312" s="0" t="s">
        <v>49</v>
      </c>
    </row>
    <row r="313" customFormat="false" ht="15" hidden="false" customHeight="false" outlineLevel="0" collapsed="false">
      <c r="A313" s="0" t="s">
        <v>3246</v>
      </c>
      <c r="B313" s="0" t="s">
        <v>1577</v>
      </c>
      <c r="C313" s="0" t="s">
        <v>1578</v>
      </c>
      <c r="D313" s="0" t="s">
        <v>1579</v>
      </c>
      <c r="E313" s="0" t="s">
        <v>1580</v>
      </c>
      <c r="F313" s="0" t="s">
        <v>49</v>
      </c>
      <c r="G313" s="0" t="s">
        <v>3247</v>
      </c>
      <c r="H313" s="0" t="s">
        <v>49</v>
      </c>
      <c r="I313" s="0" t="str">
        <f aca="false">HYPERLINK("https://omim.org/entry/615992", "615992")</f>
        <v>615992</v>
      </c>
      <c r="J313" s="0" t="str">
        <f aca="false">HYPERLINK("https://omim.org/entry/217085", "217085")</f>
        <v>217085</v>
      </c>
      <c r="K313" s="0" t="s">
        <v>49</v>
      </c>
      <c r="L313" s="0" t="s">
        <v>49</v>
      </c>
      <c r="M313" s="0" t="s">
        <v>49</v>
      </c>
      <c r="N313" s="0" t="s">
        <v>49</v>
      </c>
    </row>
    <row r="314" customFormat="false" ht="15" hidden="false" customHeight="false" outlineLevel="0" collapsed="false">
      <c r="A314" s="0" t="s">
        <v>3248</v>
      </c>
      <c r="B314" s="0" t="s">
        <v>569</v>
      </c>
      <c r="C314" s="0" t="s">
        <v>570</v>
      </c>
      <c r="D314" s="0" t="s">
        <v>49</v>
      </c>
      <c r="E314" s="0" t="s">
        <v>49</v>
      </c>
      <c r="F314" s="0" t="s">
        <v>2432</v>
      </c>
      <c r="G314" s="0" t="s">
        <v>3249</v>
      </c>
      <c r="H314" s="0" t="s">
        <v>3250</v>
      </c>
      <c r="I314" s="0" t="s">
        <v>49</v>
      </c>
      <c r="J314" s="0" t="s">
        <v>49</v>
      </c>
      <c r="K314" s="0" t="s">
        <v>49</v>
      </c>
      <c r="L314" s="0" t="s">
        <v>49</v>
      </c>
      <c r="M314" s="0" t="s">
        <v>49</v>
      </c>
      <c r="N314" s="0" t="s">
        <v>49</v>
      </c>
    </row>
    <row r="315" customFormat="false" ht="15" hidden="false" customHeight="false" outlineLevel="0" collapsed="false">
      <c r="A315" s="0" t="s">
        <v>3251</v>
      </c>
      <c r="B315" s="0" t="s">
        <v>2220</v>
      </c>
      <c r="C315" s="0" t="s">
        <v>2221</v>
      </c>
      <c r="D315" s="0" t="s">
        <v>49</v>
      </c>
      <c r="E315" s="0" t="s">
        <v>49</v>
      </c>
      <c r="F315" s="0" t="s">
        <v>49</v>
      </c>
      <c r="G315" s="0" t="s">
        <v>49</v>
      </c>
      <c r="H315" s="0" t="s">
        <v>49</v>
      </c>
      <c r="I315" s="0" t="s">
        <v>49</v>
      </c>
      <c r="J315" s="0" t="s">
        <v>49</v>
      </c>
      <c r="K315" s="0" t="s">
        <v>49</v>
      </c>
      <c r="L315" s="0" t="s">
        <v>49</v>
      </c>
      <c r="M315" s="0" t="s">
        <v>49</v>
      </c>
      <c r="N315" s="0" t="s">
        <v>49</v>
      </c>
    </row>
    <row r="316" customFormat="false" ht="15" hidden="false" customHeight="false" outlineLevel="0" collapsed="false">
      <c r="A316" s="0" t="s">
        <v>3252</v>
      </c>
      <c r="B316" s="0" t="s">
        <v>726</v>
      </c>
      <c r="C316" s="0" t="s">
        <v>727</v>
      </c>
      <c r="D316" s="0" t="s">
        <v>728</v>
      </c>
      <c r="E316" s="0" t="s">
        <v>729</v>
      </c>
      <c r="F316" s="0" t="s">
        <v>3253</v>
      </c>
      <c r="G316" s="0" t="s">
        <v>3254</v>
      </c>
      <c r="H316" s="0" t="s">
        <v>3255</v>
      </c>
      <c r="I316" s="0" t="str">
        <f aca="false">HYPERLINK("https://omim.org/entry/613270", "613270")</f>
        <v>613270</v>
      </c>
      <c r="J316" s="0" t="s">
        <v>49</v>
      </c>
      <c r="K316" s="0" t="s">
        <v>49</v>
      </c>
      <c r="L316" s="0" t="s">
        <v>49</v>
      </c>
      <c r="M316" s="0" t="s">
        <v>49</v>
      </c>
      <c r="N316" s="0" t="s">
        <v>49</v>
      </c>
    </row>
    <row r="317" customFormat="false" ht="15" hidden="false" customHeight="false" outlineLevel="0" collapsed="false">
      <c r="A317" s="0" t="s">
        <v>3256</v>
      </c>
      <c r="B317" s="0" t="s">
        <v>1945</v>
      </c>
      <c r="C317" s="0" t="s">
        <v>1946</v>
      </c>
      <c r="D317" s="0" t="s">
        <v>1947</v>
      </c>
      <c r="E317" s="0" t="s">
        <v>49</v>
      </c>
      <c r="F317" s="0" t="s">
        <v>3257</v>
      </c>
      <c r="G317" s="0" t="s">
        <v>3258</v>
      </c>
      <c r="H317" s="0" t="s">
        <v>3259</v>
      </c>
      <c r="I317" s="0" t="s">
        <v>49</v>
      </c>
      <c r="J317" s="0" t="s">
        <v>49</v>
      </c>
      <c r="K317" s="0" t="s">
        <v>49</v>
      </c>
      <c r="L317" s="0" t="s">
        <v>49</v>
      </c>
      <c r="M317" s="0" t="s">
        <v>49</v>
      </c>
      <c r="N317" s="0" t="s">
        <v>49</v>
      </c>
    </row>
    <row r="318" customFormat="false" ht="15" hidden="false" customHeight="false" outlineLevel="0" collapsed="false">
      <c r="A318" s="0" t="s">
        <v>3260</v>
      </c>
      <c r="B318" s="0" t="s">
        <v>1712</v>
      </c>
      <c r="C318" s="0" t="s">
        <v>1713</v>
      </c>
      <c r="D318" s="0" t="s">
        <v>49</v>
      </c>
      <c r="E318" s="0" t="s">
        <v>49</v>
      </c>
      <c r="F318" s="0" t="s">
        <v>3261</v>
      </c>
      <c r="G318" s="0" t="s">
        <v>3262</v>
      </c>
      <c r="H318" s="0" t="s">
        <v>3263</v>
      </c>
      <c r="I318" s="0" t="s">
        <v>49</v>
      </c>
      <c r="J318" s="0" t="s">
        <v>49</v>
      </c>
      <c r="K318" s="0" t="s">
        <v>49</v>
      </c>
      <c r="L318" s="0" t="s">
        <v>49</v>
      </c>
      <c r="M318" s="0" t="s">
        <v>49</v>
      </c>
      <c r="N318" s="0" t="s">
        <v>49</v>
      </c>
    </row>
    <row r="319" customFormat="false" ht="15" hidden="false" customHeight="false" outlineLevel="0" collapsed="false">
      <c r="A319" s="0" t="s">
        <v>3264</v>
      </c>
      <c r="B319" s="0" t="s">
        <v>1375</v>
      </c>
      <c r="C319" s="0" t="s">
        <v>1376</v>
      </c>
      <c r="D319" s="0" t="s">
        <v>794</v>
      </c>
      <c r="E319" s="0" t="s">
        <v>49</v>
      </c>
      <c r="F319" s="0" t="s">
        <v>49</v>
      </c>
      <c r="G319" s="0" t="s">
        <v>3265</v>
      </c>
      <c r="H319" s="0" t="s">
        <v>49</v>
      </c>
      <c r="I319" s="0" t="s">
        <v>49</v>
      </c>
      <c r="J319" s="0" t="s">
        <v>49</v>
      </c>
      <c r="K319" s="0" t="s">
        <v>49</v>
      </c>
      <c r="L319" s="0" t="s">
        <v>49</v>
      </c>
      <c r="M319" s="0" t="s">
        <v>49</v>
      </c>
      <c r="N319" s="0" t="s">
        <v>49</v>
      </c>
    </row>
    <row r="320" customFormat="false" ht="15" hidden="false" customHeight="false" outlineLevel="0" collapsed="false">
      <c r="A320" s="0" t="s">
        <v>3266</v>
      </c>
      <c r="B320" s="0" t="s">
        <v>792</v>
      </c>
      <c r="C320" s="0" t="s">
        <v>793</v>
      </c>
      <c r="D320" s="0" t="s">
        <v>794</v>
      </c>
      <c r="E320" s="0" t="s">
        <v>49</v>
      </c>
      <c r="F320" s="0" t="s">
        <v>3267</v>
      </c>
      <c r="G320" s="0" t="s">
        <v>3268</v>
      </c>
      <c r="H320" s="0" t="s">
        <v>3269</v>
      </c>
      <c r="I320" s="0" t="s">
        <v>49</v>
      </c>
      <c r="J320" s="0" t="s">
        <v>49</v>
      </c>
      <c r="K320" s="0" t="s">
        <v>49</v>
      </c>
      <c r="L320" s="0" t="s">
        <v>49</v>
      </c>
      <c r="M320" s="0" t="s">
        <v>49</v>
      </c>
      <c r="N320" s="0" t="s">
        <v>49</v>
      </c>
    </row>
    <row r="321" customFormat="false" ht="15" hidden="false" customHeight="false" outlineLevel="0" collapsed="false">
      <c r="A321" s="0" t="s">
        <v>3270</v>
      </c>
      <c r="B321" s="0" t="s">
        <v>1379</v>
      </c>
      <c r="C321" s="0" t="s">
        <v>1380</v>
      </c>
      <c r="D321" s="0" t="s">
        <v>794</v>
      </c>
      <c r="E321" s="0" t="s">
        <v>49</v>
      </c>
      <c r="F321" s="0" t="s">
        <v>49</v>
      </c>
      <c r="G321" s="0" t="s">
        <v>3271</v>
      </c>
      <c r="H321" s="0" t="s">
        <v>3272</v>
      </c>
      <c r="I321" s="0" t="s">
        <v>49</v>
      </c>
      <c r="J321" s="0" t="s">
        <v>49</v>
      </c>
      <c r="K321" s="0" t="s">
        <v>49</v>
      </c>
      <c r="L321" s="0" t="s">
        <v>49</v>
      </c>
      <c r="M321" s="0" t="s">
        <v>49</v>
      </c>
      <c r="N321" s="0" t="s">
        <v>49</v>
      </c>
    </row>
    <row r="322" customFormat="false" ht="15" hidden="false" customHeight="false" outlineLevel="0" collapsed="false">
      <c r="A322" s="0" t="s">
        <v>3273</v>
      </c>
      <c r="B322" s="0" t="s">
        <v>1368</v>
      </c>
      <c r="C322" s="0" t="s">
        <v>1369</v>
      </c>
      <c r="D322" s="0" t="s">
        <v>1370</v>
      </c>
      <c r="E322" s="0" t="s">
        <v>49</v>
      </c>
      <c r="F322" s="0" t="s">
        <v>49</v>
      </c>
      <c r="G322" s="0" t="s">
        <v>49</v>
      </c>
      <c r="H322" s="0" t="s">
        <v>49</v>
      </c>
      <c r="I322" s="0" t="s">
        <v>49</v>
      </c>
      <c r="J322" s="0" t="s">
        <v>49</v>
      </c>
      <c r="K322" s="0" t="s">
        <v>49</v>
      </c>
      <c r="L322" s="0" t="s">
        <v>49</v>
      </c>
      <c r="M322" s="0" t="s">
        <v>49</v>
      </c>
      <c r="N322" s="0" t="s">
        <v>49</v>
      </c>
    </row>
    <row r="323" customFormat="false" ht="15" hidden="false" customHeight="false" outlineLevel="0" collapsed="false">
      <c r="A323" s="0" t="s">
        <v>3274</v>
      </c>
      <c r="B323" s="0" t="s">
        <v>1390</v>
      </c>
      <c r="C323" s="0" t="s">
        <v>1391</v>
      </c>
      <c r="D323" s="0" t="s">
        <v>794</v>
      </c>
      <c r="E323" s="0" t="s">
        <v>49</v>
      </c>
      <c r="F323" s="0" t="s">
        <v>49</v>
      </c>
      <c r="G323" s="0" t="s">
        <v>49</v>
      </c>
      <c r="H323" s="0" t="s">
        <v>49</v>
      </c>
      <c r="I323" s="0" t="s">
        <v>49</v>
      </c>
      <c r="J323" s="0" t="s">
        <v>49</v>
      </c>
      <c r="K323" s="0" t="s">
        <v>49</v>
      </c>
      <c r="L323" s="0" t="s">
        <v>49</v>
      </c>
      <c r="M323" s="0" t="s">
        <v>49</v>
      </c>
      <c r="N323" s="0" t="s">
        <v>49</v>
      </c>
    </row>
    <row r="324" customFormat="false" ht="15" hidden="false" customHeight="false" outlineLevel="0" collapsed="false">
      <c r="A324" s="0" t="s">
        <v>3275</v>
      </c>
      <c r="B324" s="0" t="s">
        <v>2107</v>
      </c>
      <c r="C324" s="0" t="s">
        <v>2108</v>
      </c>
      <c r="D324" s="0" t="s">
        <v>2109</v>
      </c>
      <c r="E324" s="0" t="s">
        <v>49</v>
      </c>
      <c r="F324" s="0" t="s">
        <v>3276</v>
      </c>
      <c r="G324" s="0" t="s">
        <v>3277</v>
      </c>
      <c r="H324" s="0" t="s">
        <v>49</v>
      </c>
      <c r="I324" s="0" t="s">
        <v>49</v>
      </c>
      <c r="J324" s="0" t="s">
        <v>49</v>
      </c>
      <c r="K324" s="0" t="s">
        <v>49</v>
      </c>
      <c r="L324" s="0" t="s">
        <v>49</v>
      </c>
      <c r="M324" s="0" t="s">
        <v>49</v>
      </c>
      <c r="N324" s="0" t="s">
        <v>49</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TotalTime>
  <Application>LibreOffice/7.3.4.2$Linux_X86_64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2022-07-30T07:03:23Z</dcterms:created>
  <dc:creator>openpyxl</dc:creator>
  <dc:description/>
  <dc:language>en-US</dc:language>
  <cp:lastModifiedBy/>
  <dcterms:modified xsi:type="dcterms:W3CDTF">2022-08-03T19:21:12Z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